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aterproef.sharepoint.com/sites/AanbestedingGC-MS/Gedeelde documenten/General/"/>
    </mc:Choice>
  </mc:AlternateContent>
  <xr:revisionPtr revIDLastSave="522" documentId="8_{EAEC69E1-1766-43D9-BEEA-D7942641A775}" xr6:coauthVersionLast="47" xr6:coauthVersionMax="47" xr10:uidLastSave="{79725CBD-569C-41F4-9010-54B1CE46FDEC}"/>
  <bookViews>
    <workbookView xWindow="-120" yWindow="-120" windowWidth="29040" windowHeight="15840" xr2:uid="{4DBFF3A3-C693-45B9-9554-68B52F9A9BD6}"/>
  </bookViews>
  <sheets>
    <sheet name="Sequence + methode WB" sheetId="9" r:id="rId1"/>
    <sheet name="Rapportage formulier WB" sheetId="6" r:id="rId2"/>
    <sheet name="Sequence + methode OW" sheetId="14" r:id="rId3"/>
    <sheet name="Rapportage formulier OW" sheetId="15" r:id="rId4"/>
    <sheet name="Eindscore" sheetId="16" r:id="rId5"/>
    <sheet name="Concentraties" sheetId="12" r:id="rId6"/>
    <sheet name="Punten verdeling" sheetId="7" r:id="rId7"/>
  </sheets>
  <definedNames>
    <definedName name="OW_AG_G">'Punten verdeling'!$F$38</definedName>
    <definedName name="OW_AG_O">'Punten verdeling'!$F$40</definedName>
    <definedName name="OW_AG_U">'Punten verdeling'!$F$37</definedName>
    <definedName name="OW_AG_V">'Punten verdeling'!$F$39</definedName>
    <definedName name="OW_HH_RG_G">'Punten verdeling'!#REF!</definedName>
    <definedName name="OW_HH_RG_O">'Punten verdeling'!#REF!</definedName>
    <definedName name="OW_HH_RG_U">'Punten verdeling'!#REF!</definedName>
    <definedName name="OW_HH_RG_V">'Punten verdeling'!#REF!</definedName>
    <definedName name="OW_Lin_G">'Punten verdeling'!$F$54</definedName>
    <definedName name="OW_Lin_O">'Punten verdeling'!$F$56</definedName>
    <definedName name="OW_Lin_U">'Punten verdeling'!$F$53</definedName>
    <definedName name="OW_Lin_V">'Punten verdeling'!$F$55</definedName>
    <definedName name="OW_Punt_MAX">'Punten verdeling'!$G$57</definedName>
    <definedName name="OW_Punten_AG">'Rapportage formulier OW'!$Y$18</definedName>
    <definedName name="OW_PuntenCM_RSD">'Rapportage formulier OW'!#REF!</definedName>
    <definedName name="OW_PuntenCM_TV">'Rapportage formulier OW'!$U$40</definedName>
    <definedName name="OW_PuntenLineariteit">'Rapportage formulier OW'!$AE$62</definedName>
    <definedName name="OW_PuntenRatio">'Rapportage formulier OW'!$AE$51</definedName>
    <definedName name="OW_PuntenRG_RSD">'Rapportage formulier OW'!#REF!</definedName>
    <definedName name="OW_PuntenRG_TV">'Rapportage formulier OW'!$AA$29</definedName>
    <definedName name="OW_RATIO_G">'Punten verdeling'!$F$50</definedName>
    <definedName name="OW_RATIO_O">'Punten verdeling'!$F$52</definedName>
    <definedName name="OW_RATIO_U">'Punten verdeling'!$F$49</definedName>
    <definedName name="OW_RATIO_V">'Punten verdeling'!$F$51</definedName>
    <definedName name="OW_TV_CM_G">'Punten verdeling'!$F$46</definedName>
    <definedName name="OW_TV_CM_O">'Punten verdeling'!$F$48</definedName>
    <definedName name="OW_TV_CM_U">'Punten verdeling'!$F$45</definedName>
    <definedName name="OW_TV_CM_V">'Punten verdeling'!$F$47</definedName>
    <definedName name="OW_TV_RG_G">'Punten verdeling'!$F$42</definedName>
    <definedName name="OW_TV_RG_O">'Punten verdeling'!$F$44</definedName>
    <definedName name="OW_TV_RG_U">'Punten verdeling'!$F$41</definedName>
    <definedName name="OW_TV_RG_V">'Punten verdeling'!$F$43</definedName>
    <definedName name="WB_AG_G">'Punten verdeling'!$F$10</definedName>
    <definedName name="WB_AG_O">'Punten verdeling'!$F$12</definedName>
    <definedName name="WB_AG_PAK_G">'Punten verdeling'!$F$14</definedName>
    <definedName name="WB_AG_PAK_O">'Punten verdeling'!$F$16</definedName>
    <definedName name="WB_AG_PAK_U">'Punten verdeling'!$F$13</definedName>
    <definedName name="WB_AG_PAK_V">'Punten verdeling'!$F$15</definedName>
    <definedName name="WB_AG_U">'Punten verdeling'!$F$9</definedName>
    <definedName name="WB_AG_V">'Punten verdeling'!$F$11</definedName>
    <definedName name="WB_HH_RG_G">'Punten verdeling'!#REF!</definedName>
    <definedName name="WB_HH_RG_O">'Punten verdeling'!#REF!</definedName>
    <definedName name="WB_HH_RG_U">'Punten verdeling'!#REF!</definedName>
    <definedName name="WB_HH_RG_V">'Punten verdeling'!#REF!</definedName>
    <definedName name="WB_Lin_G">'Punten verdeling'!$F$30</definedName>
    <definedName name="WB_Lin_O">'Punten verdeling'!$F$32</definedName>
    <definedName name="WB_Lin_U">'Punten verdeling'!$F$29</definedName>
    <definedName name="WB_Lin_V">'Punten verdeling'!$F$31</definedName>
    <definedName name="WB_Punt_MAX">'Punten verdeling'!$G$33</definedName>
    <definedName name="WB_Punten_AG">'Rapportage formulier WB'!$Y$20</definedName>
    <definedName name="WB_PuntenCM_RSD">'Rapportage formulier WB'!#REF!</definedName>
    <definedName name="WB_PuntenCM_TV">'Rapportage formulier WB'!$U$46</definedName>
    <definedName name="WB_PuntenLineariteit">'Rapportage formulier WB'!$AE$72</definedName>
    <definedName name="WB_PuntenRatio">'Rapportage formulier WB'!$AE$59</definedName>
    <definedName name="WB_PuntenRG_RSD">'Rapportage formulier WB'!#REF!</definedName>
    <definedName name="WB_PuntenRG_TV">'Rapportage formulier WB'!$AA$33</definedName>
    <definedName name="WB_RATIO_G">'Punten verdeling'!$F$26</definedName>
    <definedName name="WB_RATIO_O">'Punten verdeling'!$F$28</definedName>
    <definedName name="WB_RATIO_U">'Punten verdeling'!$F$25</definedName>
    <definedName name="WB_RATIO_V">'Punten verdeling'!$F$27</definedName>
    <definedName name="WB_TV_CM_G">'Punten verdeling'!$F$22</definedName>
    <definedName name="WB_TV_CM_O">'Punten verdeling'!$F$24</definedName>
    <definedName name="WB_TV_CM_U">'Punten verdeling'!$F$21</definedName>
    <definedName name="WB_TV_CM_V">'Punten verdeling'!$F$23</definedName>
    <definedName name="WB_TV_RG_G">'Punten verdeling'!$F$18</definedName>
    <definedName name="WB_TV_RG_O">'Punten verdeling'!$F$20</definedName>
    <definedName name="WB_TV_RG_U">'Punten verdeling'!$F$17</definedName>
    <definedName name="WB_TV_RG_V">'Punten verdeling'!$F$19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7" l="1"/>
  <c r="G9" i="7"/>
  <c r="O24" i="6"/>
  <c r="P24" i="6"/>
  <c r="Q24" i="6"/>
  <c r="R24" i="6"/>
  <c r="S24" i="6"/>
  <c r="T24" i="6"/>
  <c r="U24" i="6"/>
  <c r="V24" i="6"/>
  <c r="O25" i="6"/>
  <c r="P25" i="6"/>
  <c r="Q25" i="6"/>
  <c r="R25" i="6"/>
  <c r="S25" i="6"/>
  <c r="T25" i="6"/>
  <c r="U25" i="6"/>
  <c r="V25" i="6"/>
  <c r="O26" i="6"/>
  <c r="P26" i="6"/>
  <c r="Q26" i="6"/>
  <c r="R26" i="6"/>
  <c r="S26" i="6"/>
  <c r="T26" i="6"/>
  <c r="U26" i="6"/>
  <c r="V26" i="6"/>
  <c r="O27" i="6"/>
  <c r="P27" i="6"/>
  <c r="Q27" i="6"/>
  <c r="R27" i="6"/>
  <c r="S27" i="6"/>
  <c r="T27" i="6"/>
  <c r="U27" i="6"/>
  <c r="V27" i="6"/>
  <c r="O28" i="6"/>
  <c r="P28" i="6"/>
  <c r="Q28" i="6"/>
  <c r="R28" i="6"/>
  <c r="S28" i="6"/>
  <c r="T28" i="6"/>
  <c r="U28" i="6"/>
  <c r="V28" i="6"/>
  <c r="O29" i="6"/>
  <c r="P29" i="6"/>
  <c r="Q29" i="6"/>
  <c r="R29" i="6"/>
  <c r="S29" i="6"/>
  <c r="T29" i="6"/>
  <c r="U29" i="6"/>
  <c r="V29" i="6"/>
  <c r="O30" i="6"/>
  <c r="P30" i="6"/>
  <c r="Q30" i="6"/>
  <c r="R30" i="6"/>
  <c r="S30" i="6"/>
  <c r="T30" i="6"/>
  <c r="U30" i="6"/>
  <c r="V30" i="6"/>
  <c r="O31" i="6"/>
  <c r="P31" i="6"/>
  <c r="Q31" i="6"/>
  <c r="R31" i="6"/>
  <c r="S31" i="6"/>
  <c r="T31" i="6"/>
  <c r="U31" i="6"/>
  <c r="V31" i="6"/>
  <c r="O32" i="6"/>
  <c r="P32" i="6"/>
  <c r="Q32" i="6"/>
  <c r="R32" i="6"/>
  <c r="S32" i="6"/>
  <c r="T32" i="6"/>
  <c r="U32" i="6"/>
  <c r="V32" i="6"/>
  <c r="Q23" i="6"/>
  <c r="P23" i="6"/>
  <c r="V23" i="6"/>
  <c r="T11" i="6"/>
  <c r="T12" i="6"/>
  <c r="T13" i="6"/>
  <c r="T14" i="6"/>
  <c r="T15" i="6"/>
  <c r="T16" i="6"/>
  <c r="T17" i="6"/>
  <c r="T18" i="6"/>
  <c r="T19" i="6"/>
  <c r="T10" i="6"/>
  <c r="G53" i="7"/>
  <c r="G49" i="7"/>
  <c r="G45" i="7"/>
  <c r="G41" i="7"/>
  <c r="G37" i="7"/>
  <c r="G57" i="7" s="1"/>
  <c r="G29" i="7"/>
  <c r="G25" i="7"/>
  <c r="G21" i="7"/>
  <c r="G17" i="7"/>
  <c r="B23" i="12" l="1"/>
  <c r="B24" i="12"/>
  <c r="B25" i="12"/>
  <c r="B26" i="12"/>
  <c r="B27" i="12"/>
  <c r="B28" i="12"/>
  <c r="B29" i="12"/>
  <c r="B22" i="12"/>
  <c r="B10" i="15"/>
  <c r="B11" i="15"/>
  <c r="B12" i="15"/>
  <c r="B13" i="15"/>
  <c r="B14" i="15"/>
  <c r="B15" i="15"/>
  <c r="B16" i="15"/>
  <c r="B17" i="15"/>
  <c r="I270" i="15"/>
  <c r="I269" i="15"/>
  <c r="I268" i="15"/>
  <c r="I267" i="15"/>
  <c r="I266" i="15"/>
  <c r="I265" i="15"/>
  <c r="I264" i="15"/>
  <c r="I263" i="15"/>
  <c r="I259" i="15"/>
  <c r="I258" i="15"/>
  <c r="I257" i="15"/>
  <c r="I256" i="15"/>
  <c r="I255" i="15"/>
  <c r="I254" i="15"/>
  <c r="I253" i="15"/>
  <c r="I252" i="15"/>
  <c r="I248" i="15"/>
  <c r="I247" i="15"/>
  <c r="I246" i="15"/>
  <c r="I245" i="15"/>
  <c r="I244" i="15"/>
  <c r="I243" i="15"/>
  <c r="I242" i="15"/>
  <c r="I241" i="15"/>
  <c r="I237" i="15"/>
  <c r="I236" i="15"/>
  <c r="I235" i="15"/>
  <c r="I234" i="15"/>
  <c r="I233" i="15"/>
  <c r="I232" i="15"/>
  <c r="I231" i="15"/>
  <c r="I230" i="15"/>
  <c r="I226" i="15"/>
  <c r="I225" i="15"/>
  <c r="I224" i="15"/>
  <c r="I223" i="15"/>
  <c r="I222" i="15"/>
  <c r="I221" i="15"/>
  <c r="I220" i="15"/>
  <c r="I219" i="15"/>
  <c r="I215" i="15"/>
  <c r="I214" i="15"/>
  <c r="I213" i="15"/>
  <c r="I212" i="15"/>
  <c r="I211" i="15"/>
  <c r="I210" i="15"/>
  <c r="I209" i="15"/>
  <c r="I208" i="15"/>
  <c r="I204" i="15"/>
  <c r="I203" i="15"/>
  <c r="I202" i="15"/>
  <c r="I201" i="15"/>
  <c r="I200" i="15"/>
  <c r="I199" i="15"/>
  <c r="I198" i="15"/>
  <c r="I197" i="15"/>
  <c r="I193" i="15"/>
  <c r="I192" i="15"/>
  <c r="I191" i="15"/>
  <c r="I190" i="15"/>
  <c r="I189" i="15"/>
  <c r="I188" i="15"/>
  <c r="I187" i="15"/>
  <c r="I186" i="15"/>
  <c r="I182" i="15"/>
  <c r="I181" i="15"/>
  <c r="I180" i="15"/>
  <c r="I179" i="15"/>
  <c r="I178" i="15"/>
  <c r="I177" i="15"/>
  <c r="I176" i="15"/>
  <c r="I175" i="15"/>
  <c r="I171" i="15"/>
  <c r="I170" i="15"/>
  <c r="I169" i="15"/>
  <c r="I168" i="15"/>
  <c r="I167" i="15"/>
  <c r="I166" i="15"/>
  <c r="I165" i="15"/>
  <c r="I164" i="15"/>
  <c r="I160" i="15"/>
  <c r="I159" i="15"/>
  <c r="I158" i="15"/>
  <c r="I157" i="15"/>
  <c r="I156" i="15"/>
  <c r="I155" i="15"/>
  <c r="I154" i="15"/>
  <c r="I153" i="15"/>
  <c r="I149" i="15"/>
  <c r="I148" i="15"/>
  <c r="I147" i="15"/>
  <c r="I146" i="15"/>
  <c r="I145" i="15"/>
  <c r="I144" i="15"/>
  <c r="I143" i="15"/>
  <c r="I142" i="15"/>
  <c r="I138" i="15"/>
  <c r="I137" i="15"/>
  <c r="I136" i="15"/>
  <c r="I135" i="15"/>
  <c r="I134" i="15"/>
  <c r="I133" i="15"/>
  <c r="I132" i="15"/>
  <c r="I131" i="15"/>
  <c r="I127" i="15"/>
  <c r="I126" i="15"/>
  <c r="I125" i="15"/>
  <c r="I124" i="15"/>
  <c r="I123" i="15"/>
  <c r="I122" i="15"/>
  <c r="I121" i="15"/>
  <c r="I120" i="15"/>
  <c r="I116" i="15"/>
  <c r="I115" i="15"/>
  <c r="I114" i="15"/>
  <c r="I113" i="15"/>
  <c r="I112" i="15"/>
  <c r="I111" i="15"/>
  <c r="I110" i="15"/>
  <c r="I109" i="15"/>
  <c r="I105" i="15"/>
  <c r="I104" i="15"/>
  <c r="I103" i="15"/>
  <c r="I102" i="15"/>
  <c r="I101" i="15"/>
  <c r="I100" i="15"/>
  <c r="I99" i="15"/>
  <c r="I98" i="15"/>
  <c r="I94" i="15"/>
  <c r="I93" i="15"/>
  <c r="I92" i="15"/>
  <c r="I91" i="15"/>
  <c r="I90" i="15"/>
  <c r="I89" i="15"/>
  <c r="I88" i="15"/>
  <c r="I87" i="15"/>
  <c r="I83" i="15"/>
  <c r="I82" i="15"/>
  <c r="I81" i="15"/>
  <c r="I80" i="15"/>
  <c r="I79" i="15"/>
  <c r="I78" i="15"/>
  <c r="I77" i="15"/>
  <c r="I76" i="15"/>
  <c r="I72" i="15"/>
  <c r="I71" i="15"/>
  <c r="I70" i="15"/>
  <c r="I69" i="15"/>
  <c r="I68" i="15"/>
  <c r="I67" i="15"/>
  <c r="I66" i="15"/>
  <c r="I65" i="15"/>
  <c r="I61" i="15"/>
  <c r="I60" i="15"/>
  <c r="I59" i="15"/>
  <c r="I58" i="15"/>
  <c r="I57" i="15"/>
  <c r="I56" i="15"/>
  <c r="I55" i="15"/>
  <c r="I54" i="15"/>
  <c r="I50" i="15"/>
  <c r="I49" i="15"/>
  <c r="I48" i="15"/>
  <c r="I47" i="15"/>
  <c r="I46" i="15"/>
  <c r="I45" i="15"/>
  <c r="I44" i="15"/>
  <c r="I43" i="15"/>
  <c r="I39" i="15"/>
  <c r="I38" i="15"/>
  <c r="I37" i="15"/>
  <c r="I36" i="15"/>
  <c r="I35" i="15"/>
  <c r="I34" i="15"/>
  <c r="I33" i="15"/>
  <c r="I32" i="15"/>
  <c r="I28" i="15"/>
  <c r="I27" i="15"/>
  <c r="I26" i="15"/>
  <c r="I25" i="15"/>
  <c r="I24" i="15"/>
  <c r="I23" i="15"/>
  <c r="I22" i="15"/>
  <c r="I21" i="15"/>
  <c r="I17" i="15"/>
  <c r="I16" i="15"/>
  <c r="I15" i="15"/>
  <c r="I14" i="15"/>
  <c r="I13" i="15"/>
  <c r="I12" i="15"/>
  <c r="I11" i="15"/>
  <c r="I10" i="15"/>
  <c r="L76" i="6"/>
  <c r="L75" i="6"/>
  <c r="C17" i="15" l="1"/>
  <c r="L17" i="15"/>
  <c r="C16" i="15"/>
  <c r="L16" i="15"/>
  <c r="C15" i="15"/>
  <c r="L15" i="15"/>
  <c r="C14" i="15"/>
  <c r="L14" i="15"/>
  <c r="C13" i="15"/>
  <c r="L13" i="15"/>
  <c r="C12" i="15"/>
  <c r="L12" i="15"/>
  <c r="C11" i="15"/>
  <c r="L11" i="15"/>
  <c r="C10" i="15"/>
  <c r="L10" i="15"/>
  <c r="M75" i="6"/>
  <c r="N75" i="6"/>
  <c r="M76" i="6"/>
  <c r="N76" i="6"/>
  <c r="B263" i="15"/>
  <c r="C263" i="15" s="1"/>
  <c r="B252" i="15"/>
  <c r="C252" i="15" s="1"/>
  <c r="B241" i="15"/>
  <c r="C241" i="15" s="1"/>
  <c r="B230" i="15"/>
  <c r="C230" i="15" s="1"/>
  <c r="B219" i="15"/>
  <c r="C219" i="15" s="1"/>
  <c r="B208" i="15"/>
  <c r="C208" i="15" s="1"/>
  <c r="B197" i="15"/>
  <c r="C197" i="15" s="1"/>
  <c r="B186" i="15"/>
  <c r="C186" i="15" s="1"/>
  <c r="B175" i="15"/>
  <c r="C175" i="15" s="1"/>
  <c r="B164" i="15"/>
  <c r="C164" i="15" s="1"/>
  <c r="B153" i="15"/>
  <c r="C153" i="15" s="1"/>
  <c r="B142" i="15"/>
  <c r="C142" i="15" s="1"/>
  <c r="B131" i="15"/>
  <c r="C131" i="15" s="1"/>
  <c r="B120" i="15"/>
  <c r="C120" i="15" s="1"/>
  <c r="B109" i="15"/>
  <c r="C109" i="15" s="1"/>
  <c r="B98" i="15"/>
  <c r="C98" i="15" s="1"/>
  <c r="B87" i="15"/>
  <c r="C87" i="15" s="1"/>
  <c r="B76" i="15"/>
  <c r="C76" i="15" s="1"/>
  <c r="B65" i="15"/>
  <c r="C65" i="15" s="1"/>
  <c r="B54" i="15"/>
  <c r="C54" i="15" s="1"/>
  <c r="B43" i="15"/>
  <c r="C43" i="15" s="1"/>
  <c r="B32" i="15"/>
  <c r="C32" i="15" s="1"/>
  <c r="B21" i="15"/>
  <c r="C21" i="15" s="1"/>
  <c r="M10" i="15"/>
  <c r="B264" i="15"/>
  <c r="C264" i="15" s="1"/>
  <c r="B253" i="15"/>
  <c r="C253" i="15" s="1"/>
  <c r="B242" i="15"/>
  <c r="C242" i="15" s="1"/>
  <c r="B231" i="15"/>
  <c r="C231" i="15" s="1"/>
  <c r="B220" i="15"/>
  <c r="C220" i="15" s="1"/>
  <c r="B209" i="15"/>
  <c r="C209" i="15" s="1"/>
  <c r="B198" i="15"/>
  <c r="C198" i="15" s="1"/>
  <c r="B187" i="15"/>
  <c r="C187" i="15" s="1"/>
  <c r="B176" i="15"/>
  <c r="C176" i="15" s="1"/>
  <c r="B165" i="15"/>
  <c r="C165" i="15" s="1"/>
  <c r="B154" i="15"/>
  <c r="C154" i="15" s="1"/>
  <c r="B143" i="15"/>
  <c r="C143" i="15" s="1"/>
  <c r="B132" i="15"/>
  <c r="C132" i="15" s="1"/>
  <c r="B121" i="15"/>
  <c r="C121" i="15" s="1"/>
  <c r="B110" i="15"/>
  <c r="C110" i="15" s="1"/>
  <c r="B99" i="15"/>
  <c r="C99" i="15" s="1"/>
  <c r="B88" i="15"/>
  <c r="C88" i="15" s="1"/>
  <c r="B77" i="15"/>
  <c r="C77" i="15" s="1"/>
  <c r="B66" i="15"/>
  <c r="C66" i="15" s="1"/>
  <c r="B55" i="15"/>
  <c r="C55" i="15" s="1"/>
  <c r="B44" i="15"/>
  <c r="C44" i="15" s="1"/>
  <c r="B33" i="15"/>
  <c r="C33" i="15" s="1"/>
  <c r="B22" i="15"/>
  <c r="C22" i="15" s="1"/>
  <c r="M11" i="15"/>
  <c r="B265" i="15"/>
  <c r="C265" i="15" s="1"/>
  <c r="B254" i="15"/>
  <c r="C254" i="15" s="1"/>
  <c r="B243" i="15"/>
  <c r="C243" i="15" s="1"/>
  <c r="B232" i="15"/>
  <c r="C232" i="15" s="1"/>
  <c r="B221" i="15"/>
  <c r="C221" i="15" s="1"/>
  <c r="B210" i="15"/>
  <c r="C210" i="15" s="1"/>
  <c r="B199" i="15"/>
  <c r="C199" i="15" s="1"/>
  <c r="B188" i="15"/>
  <c r="C188" i="15" s="1"/>
  <c r="B177" i="15"/>
  <c r="C177" i="15" s="1"/>
  <c r="B166" i="15"/>
  <c r="C166" i="15" s="1"/>
  <c r="B155" i="15"/>
  <c r="C155" i="15" s="1"/>
  <c r="B144" i="15"/>
  <c r="C144" i="15" s="1"/>
  <c r="B133" i="15"/>
  <c r="C133" i="15" s="1"/>
  <c r="B122" i="15"/>
  <c r="C122" i="15" s="1"/>
  <c r="B111" i="15"/>
  <c r="C111" i="15" s="1"/>
  <c r="B100" i="15"/>
  <c r="C100" i="15" s="1"/>
  <c r="B89" i="15"/>
  <c r="C89" i="15" s="1"/>
  <c r="B78" i="15"/>
  <c r="C78" i="15" s="1"/>
  <c r="B67" i="15"/>
  <c r="C67" i="15" s="1"/>
  <c r="B56" i="15"/>
  <c r="C56" i="15" s="1"/>
  <c r="B45" i="15"/>
  <c r="C45" i="15" s="1"/>
  <c r="B34" i="15"/>
  <c r="C34" i="15" s="1"/>
  <c r="B23" i="15"/>
  <c r="C23" i="15" s="1"/>
  <c r="M12" i="15"/>
  <c r="B266" i="15"/>
  <c r="C266" i="15" s="1"/>
  <c r="B255" i="15"/>
  <c r="C255" i="15" s="1"/>
  <c r="B244" i="15"/>
  <c r="C244" i="15" s="1"/>
  <c r="B233" i="15"/>
  <c r="C233" i="15" s="1"/>
  <c r="B222" i="15"/>
  <c r="C222" i="15" s="1"/>
  <c r="B211" i="15"/>
  <c r="C211" i="15" s="1"/>
  <c r="B200" i="15"/>
  <c r="C200" i="15" s="1"/>
  <c r="B189" i="15"/>
  <c r="C189" i="15" s="1"/>
  <c r="B178" i="15"/>
  <c r="C178" i="15" s="1"/>
  <c r="B167" i="15"/>
  <c r="C167" i="15" s="1"/>
  <c r="B156" i="15"/>
  <c r="C156" i="15" s="1"/>
  <c r="B145" i="15"/>
  <c r="C145" i="15" s="1"/>
  <c r="B134" i="15"/>
  <c r="C134" i="15" s="1"/>
  <c r="B123" i="15"/>
  <c r="C123" i="15" s="1"/>
  <c r="B112" i="15"/>
  <c r="C112" i="15" s="1"/>
  <c r="B101" i="15"/>
  <c r="C101" i="15" s="1"/>
  <c r="B90" i="15"/>
  <c r="C90" i="15" s="1"/>
  <c r="B79" i="15"/>
  <c r="C79" i="15" s="1"/>
  <c r="B68" i="15"/>
  <c r="C68" i="15" s="1"/>
  <c r="B57" i="15"/>
  <c r="C57" i="15" s="1"/>
  <c r="B46" i="15"/>
  <c r="C46" i="15" s="1"/>
  <c r="B35" i="15"/>
  <c r="C35" i="15" s="1"/>
  <c r="B24" i="15"/>
  <c r="C24" i="15" s="1"/>
  <c r="M13" i="15"/>
  <c r="B267" i="15"/>
  <c r="C267" i="15" s="1"/>
  <c r="B256" i="15"/>
  <c r="C256" i="15" s="1"/>
  <c r="B245" i="15"/>
  <c r="C245" i="15" s="1"/>
  <c r="B234" i="15"/>
  <c r="C234" i="15" s="1"/>
  <c r="B223" i="15"/>
  <c r="C223" i="15" s="1"/>
  <c r="B212" i="15"/>
  <c r="C212" i="15" s="1"/>
  <c r="B201" i="15"/>
  <c r="C201" i="15" s="1"/>
  <c r="B190" i="15"/>
  <c r="C190" i="15" s="1"/>
  <c r="B179" i="15"/>
  <c r="C179" i="15" s="1"/>
  <c r="B168" i="15"/>
  <c r="C168" i="15" s="1"/>
  <c r="B157" i="15"/>
  <c r="C157" i="15" s="1"/>
  <c r="B146" i="15"/>
  <c r="C146" i="15" s="1"/>
  <c r="B135" i="15"/>
  <c r="C135" i="15" s="1"/>
  <c r="B124" i="15"/>
  <c r="C124" i="15" s="1"/>
  <c r="B113" i="15"/>
  <c r="C113" i="15" s="1"/>
  <c r="B102" i="15"/>
  <c r="C102" i="15" s="1"/>
  <c r="B91" i="15"/>
  <c r="C91" i="15" s="1"/>
  <c r="B80" i="15"/>
  <c r="C80" i="15" s="1"/>
  <c r="B69" i="15"/>
  <c r="C69" i="15" s="1"/>
  <c r="B58" i="15"/>
  <c r="C58" i="15" s="1"/>
  <c r="B47" i="15"/>
  <c r="C47" i="15" s="1"/>
  <c r="B36" i="15"/>
  <c r="C36" i="15" s="1"/>
  <c r="B25" i="15"/>
  <c r="C25" i="15" s="1"/>
  <c r="M14" i="15"/>
  <c r="B268" i="15"/>
  <c r="C268" i="15" s="1"/>
  <c r="B257" i="15"/>
  <c r="C257" i="15" s="1"/>
  <c r="B246" i="15"/>
  <c r="C246" i="15" s="1"/>
  <c r="B235" i="15"/>
  <c r="C235" i="15" s="1"/>
  <c r="B224" i="15"/>
  <c r="C224" i="15" s="1"/>
  <c r="B213" i="15"/>
  <c r="C213" i="15" s="1"/>
  <c r="B202" i="15"/>
  <c r="C202" i="15" s="1"/>
  <c r="B191" i="15"/>
  <c r="C191" i="15" s="1"/>
  <c r="B180" i="15"/>
  <c r="C180" i="15" s="1"/>
  <c r="B169" i="15"/>
  <c r="C169" i="15" s="1"/>
  <c r="B158" i="15"/>
  <c r="C158" i="15" s="1"/>
  <c r="B147" i="15"/>
  <c r="C147" i="15" s="1"/>
  <c r="B136" i="15"/>
  <c r="C136" i="15" s="1"/>
  <c r="B125" i="15"/>
  <c r="C125" i="15" s="1"/>
  <c r="B114" i="15"/>
  <c r="C114" i="15" s="1"/>
  <c r="B103" i="15"/>
  <c r="C103" i="15" s="1"/>
  <c r="B92" i="15"/>
  <c r="C92" i="15" s="1"/>
  <c r="B81" i="15"/>
  <c r="C81" i="15" s="1"/>
  <c r="B70" i="15"/>
  <c r="C70" i="15" s="1"/>
  <c r="B59" i="15"/>
  <c r="C59" i="15" s="1"/>
  <c r="B48" i="15"/>
  <c r="C48" i="15" s="1"/>
  <c r="B37" i="15"/>
  <c r="C37" i="15" s="1"/>
  <c r="B26" i="15"/>
  <c r="C26" i="15" s="1"/>
  <c r="M15" i="15"/>
  <c r="B269" i="15"/>
  <c r="C269" i="15" s="1"/>
  <c r="B258" i="15"/>
  <c r="C258" i="15" s="1"/>
  <c r="B247" i="15"/>
  <c r="C247" i="15" s="1"/>
  <c r="B236" i="15"/>
  <c r="C236" i="15" s="1"/>
  <c r="B225" i="15"/>
  <c r="C225" i="15" s="1"/>
  <c r="B214" i="15"/>
  <c r="C214" i="15" s="1"/>
  <c r="B203" i="15"/>
  <c r="C203" i="15" s="1"/>
  <c r="B192" i="15"/>
  <c r="C192" i="15" s="1"/>
  <c r="B181" i="15"/>
  <c r="C181" i="15" s="1"/>
  <c r="B170" i="15"/>
  <c r="C170" i="15" s="1"/>
  <c r="B159" i="15"/>
  <c r="C159" i="15" s="1"/>
  <c r="B148" i="15"/>
  <c r="C148" i="15" s="1"/>
  <c r="B137" i="15"/>
  <c r="C137" i="15" s="1"/>
  <c r="B126" i="15"/>
  <c r="C126" i="15" s="1"/>
  <c r="B115" i="15"/>
  <c r="C115" i="15" s="1"/>
  <c r="B104" i="15"/>
  <c r="C104" i="15" s="1"/>
  <c r="B93" i="15"/>
  <c r="C93" i="15" s="1"/>
  <c r="B82" i="15"/>
  <c r="C82" i="15" s="1"/>
  <c r="B71" i="15"/>
  <c r="C71" i="15" s="1"/>
  <c r="B60" i="15"/>
  <c r="C60" i="15" s="1"/>
  <c r="B49" i="15"/>
  <c r="C49" i="15" s="1"/>
  <c r="B38" i="15"/>
  <c r="C38" i="15" s="1"/>
  <c r="B27" i="15"/>
  <c r="C27" i="15" s="1"/>
  <c r="M16" i="15"/>
  <c r="B270" i="15"/>
  <c r="C270" i="15" s="1"/>
  <c r="B259" i="15"/>
  <c r="C259" i="15" s="1"/>
  <c r="B248" i="15"/>
  <c r="C248" i="15" s="1"/>
  <c r="B237" i="15"/>
  <c r="C237" i="15" s="1"/>
  <c r="B226" i="15"/>
  <c r="C226" i="15" s="1"/>
  <c r="B215" i="15"/>
  <c r="C215" i="15" s="1"/>
  <c r="B204" i="15"/>
  <c r="C204" i="15" s="1"/>
  <c r="B193" i="15"/>
  <c r="C193" i="15" s="1"/>
  <c r="B182" i="15"/>
  <c r="C182" i="15" s="1"/>
  <c r="B171" i="15"/>
  <c r="C171" i="15" s="1"/>
  <c r="B160" i="15"/>
  <c r="C160" i="15" s="1"/>
  <c r="B149" i="15"/>
  <c r="C149" i="15" s="1"/>
  <c r="B138" i="15"/>
  <c r="C138" i="15" s="1"/>
  <c r="B127" i="15"/>
  <c r="C127" i="15" s="1"/>
  <c r="B116" i="15"/>
  <c r="C116" i="15" s="1"/>
  <c r="B105" i="15"/>
  <c r="C105" i="15" s="1"/>
  <c r="B94" i="15"/>
  <c r="C94" i="15" s="1"/>
  <c r="B83" i="15"/>
  <c r="C83" i="15" s="1"/>
  <c r="B72" i="15"/>
  <c r="C72" i="15" s="1"/>
  <c r="B61" i="15"/>
  <c r="C61" i="15" s="1"/>
  <c r="B50" i="15"/>
  <c r="C50" i="15" s="1"/>
  <c r="B39" i="15"/>
  <c r="C39" i="15" s="1"/>
  <c r="B28" i="15"/>
  <c r="C28" i="15" s="1"/>
  <c r="M17" i="15"/>
  <c r="M78" i="6"/>
  <c r="N78" i="6" s="1"/>
  <c r="I3" i="6" s="1"/>
  <c r="C9" i="16" s="1"/>
  <c r="B9" i="12"/>
  <c r="B10" i="12"/>
  <c r="B11" i="12"/>
  <c r="B12" i="12"/>
  <c r="B13" i="12"/>
  <c r="B14" i="12"/>
  <c r="B15" i="12"/>
  <c r="B16" i="12"/>
  <c r="B17" i="12"/>
  <c r="B8" i="12"/>
  <c r="B11" i="6"/>
  <c r="C11" i="6" s="1"/>
  <c r="H11" i="6" s="1"/>
  <c r="B12" i="6"/>
  <c r="C12" i="6" s="1"/>
  <c r="H12" i="6" s="1"/>
  <c r="B13" i="6"/>
  <c r="C13" i="6" s="1"/>
  <c r="H13" i="6" s="1"/>
  <c r="B14" i="6"/>
  <c r="C14" i="6" s="1"/>
  <c r="H14" i="6" s="1"/>
  <c r="B15" i="6"/>
  <c r="C15" i="6" s="1"/>
  <c r="H15" i="6" s="1"/>
  <c r="B16" i="6"/>
  <c r="C16" i="6" s="1"/>
  <c r="H16" i="6" s="1"/>
  <c r="B17" i="6"/>
  <c r="C17" i="6" s="1"/>
  <c r="H17" i="6" s="1"/>
  <c r="B18" i="6"/>
  <c r="C18" i="6" s="1"/>
  <c r="H18" i="6" s="1"/>
  <c r="B19" i="6"/>
  <c r="C19" i="6" s="1"/>
  <c r="H19" i="6" s="1"/>
  <c r="B10" i="6"/>
  <c r="C10" i="6" s="1"/>
  <c r="H10" i="6" s="1"/>
  <c r="I211" i="6"/>
  <c r="I221" i="6"/>
  <c r="I236" i="6"/>
  <c r="I248" i="6"/>
  <c r="I264" i="6"/>
  <c r="I270" i="6"/>
  <c r="I283" i="6"/>
  <c r="I296" i="6"/>
  <c r="I309" i="6"/>
  <c r="I322" i="6"/>
  <c r="I17" i="6"/>
  <c r="I11" i="6"/>
  <c r="T10" i="15" l="1"/>
  <c r="T11" i="15"/>
  <c r="T12" i="15"/>
  <c r="T13" i="15"/>
  <c r="T14" i="15"/>
  <c r="T15" i="15"/>
  <c r="T16" i="15"/>
  <c r="T17" i="15"/>
  <c r="H10" i="15"/>
  <c r="H11" i="15"/>
  <c r="H12" i="15"/>
  <c r="H13" i="15"/>
  <c r="H14" i="15"/>
  <c r="H15" i="15"/>
  <c r="H16" i="15"/>
  <c r="H17" i="15"/>
  <c r="H28" i="15"/>
  <c r="H39" i="15"/>
  <c r="H50" i="15"/>
  <c r="H61" i="15"/>
  <c r="H72" i="15"/>
  <c r="H83" i="15"/>
  <c r="H94" i="15"/>
  <c r="H105" i="15"/>
  <c r="H116" i="15"/>
  <c r="H127" i="15"/>
  <c r="H138" i="15"/>
  <c r="H149" i="15"/>
  <c r="H160" i="15"/>
  <c r="H171" i="15"/>
  <c r="H182" i="15"/>
  <c r="H193" i="15"/>
  <c r="H204" i="15"/>
  <c r="H215" i="15"/>
  <c r="H226" i="15"/>
  <c r="H237" i="15"/>
  <c r="H248" i="15"/>
  <c r="H259" i="15"/>
  <c r="H270" i="15"/>
  <c r="H27" i="15"/>
  <c r="H38" i="15"/>
  <c r="H49" i="15"/>
  <c r="H60" i="15"/>
  <c r="H71" i="15"/>
  <c r="H82" i="15"/>
  <c r="H93" i="15"/>
  <c r="H104" i="15"/>
  <c r="H115" i="15"/>
  <c r="H126" i="15"/>
  <c r="H137" i="15"/>
  <c r="H148" i="15"/>
  <c r="H159" i="15"/>
  <c r="H170" i="15"/>
  <c r="H181" i="15"/>
  <c r="H192" i="15"/>
  <c r="H203" i="15"/>
  <c r="H214" i="15"/>
  <c r="H225" i="15"/>
  <c r="H236" i="15"/>
  <c r="H247" i="15"/>
  <c r="H258" i="15"/>
  <c r="H269" i="15"/>
  <c r="H26" i="15"/>
  <c r="H37" i="15"/>
  <c r="H48" i="15"/>
  <c r="H59" i="15"/>
  <c r="H70" i="15"/>
  <c r="H81" i="15"/>
  <c r="H92" i="15"/>
  <c r="H103" i="15"/>
  <c r="H114" i="15"/>
  <c r="H125" i="15"/>
  <c r="H136" i="15"/>
  <c r="H147" i="15"/>
  <c r="H158" i="15"/>
  <c r="H169" i="15"/>
  <c r="H180" i="15"/>
  <c r="H191" i="15"/>
  <c r="H202" i="15"/>
  <c r="H213" i="15"/>
  <c r="H224" i="15"/>
  <c r="H235" i="15"/>
  <c r="H246" i="15"/>
  <c r="H257" i="15"/>
  <c r="H268" i="15"/>
  <c r="H25" i="15"/>
  <c r="H36" i="15"/>
  <c r="H47" i="15"/>
  <c r="H58" i="15"/>
  <c r="H69" i="15"/>
  <c r="H80" i="15"/>
  <c r="H91" i="15"/>
  <c r="H102" i="15"/>
  <c r="H113" i="15"/>
  <c r="H124" i="15"/>
  <c r="H135" i="15"/>
  <c r="H146" i="15"/>
  <c r="H157" i="15"/>
  <c r="H168" i="15"/>
  <c r="H179" i="15"/>
  <c r="H190" i="15"/>
  <c r="H201" i="15"/>
  <c r="H212" i="15"/>
  <c r="H223" i="15"/>
  <c r="H234" i="15"/>
  <c r="H245" i="15"/>
  <c r="H256" i="15"/>
  <c r="H267" i="15"/>
  <c r="H24" i="15"/>
  <c r="H35" i="15"/>
  <c r="H46" i="15"/>
  <c r="H57" i="15"/>
  <c r="H68" i="15"/>
  <c r="H79" i="15"/>
  <c r="H90" i="15"/>
  <c r="H101" i="15"/>
  <c r="H112" i="15"/>
  <c r="H123" i="15"/>
  <c r="H134" i="15"/>
  <c r="H145" i="15"/>
  <c r="H156" i="15"/>
  <c r="H167" i="15"/>
  <c r="H178" i="15"/>
  <c r="H189" i="15"/>
  <c r="H200" i="15"/>
  <c r="H211" i="15"/>
  <c r="H222" i="15"/>
  <c r="H233" i="15"/>
  <c r="H244" i="15"/>
  <c r="H255" i="15"/>
  <c r="H266" i="15"/>
  <c r="H23" i="15"/>
  <c r="H34" i="15"/>
  <c r="H45" i="15"/>
  <c r="H56" i="15"/>
  <c r="H67" i="15"/>
  <c r="H78" i="15"/>
  <c r="H89" i="15"/>
  <c r="H100" i="15"/>
  <c r="H111" i="15"/>
  <c r="H122" i="15"/>
  <c r="H133" i="15"/>
  <c r="H144" i="15"/>
  <c r="H155" i="15"/>
  <c r="H166" i="15"/>
  <c r="H177" i="15"/>
  <c r="H188" i="15"/>
  <c r="H199" i="15"/>
  <c r="H210" i="15"/>
  <c r="H221" i="15"/>
  <c r="H232" i="15"/>
  <c r="H243" i="15"/>
  <c r="H254" i="15"/>
  <c r="H265" i="15"/>
  <c r="H22" i="15"/>
  <c r="H33" i="15"/>
  <c r="H44" i="15"/>
  <c r="H55" i="15"/>
  <c r="H66" i="15"/>
  <c r="H77" i="15"/>
  <c r="H88" i="15"/>
  <c r="H99" i="15"/>
  <c r="H110" i="15"/>
  <c r="H121" i="15"/>
  <c r="H132" i="15"/>
  <c r="H143" i="15"/>
  <c r="H154" i="15"/>
  <c r="H165" i="15"/>
  <c r="H176" i="15"/>
  <c r="H187" i="15"/>
  <c r="H198" i="15"/>
  <c r="H209" i="15"/>
  <c r="H220" i="15"/>
  <c r="H231" i="15"/>
  <c r="H242" i="15"/>
  <c r="H253" i="15"/>
  <c r="H264" i="15"/>
  <c r="H21" i="15"/>
  <c r="H32" i="15"/>
  <c r="H43" i="15"/>
  <c r="H54" i="15"/>
  <c r="H65" i="15"/>
  <c r="H76" i="15"/>
  <c r="H87" i="15"/>
  <c r="H98" i="15"/>
  <c r="H109" i="15"/>
  <c r="H120" i="15"/>
  <c r="H131" i="15"/>
  <c r="H142" i="15"/>
  <c r="H153" i="15"/>
  <c r="H164" i="15"/>
  <c r="H175" i="15"/>
  <c r="H186" i="15"/>
  <c r="H197" i="15"/>
  <c r="H208" i="15"/>
  <c r="H219" i="15"/>
  <c r="H230" i="15"/>
  <c r="H241" i="15"/>
  <c r="H252" i="15"/>
  <c r="H263" i="15"/>
  <c r="L39" i="15"/>
  <c r="M39" i="15" s="1"/>
  <c r="L28" i="15"/>
  <c r="P28" i="15" s="1"/>
  <c r="U17" i="15"/>
  <c r="S17" i="15"/>
  <c r="R17" i="15"/>
  <c r="Q17" i="15"/>
  <c r="P17" i="15"/>
  <c r="O17" i="15"/>
  <c r="N17" i="15"/>
  <c r="V17" i="15" s="1"/>
  <c r="L38" i="15"/>
  <c r="M38" i="15" s="1"/>
  <c r="L27" i="15"/>
  <c r="P27" i="15" s="1"/>
  <c r="U16" i="15"/>
  <c r="S16" i="15"/>
  <c r="R16" i="15"/>
  <c r="Q16" i="15"/>
  <c r="P16" i="15"/>
  <c r="O16" i="15"/>
  <c r="N16" i="15"/>
  <c r="V16" i="15" s="1"/>
  <c r="L37" i="15"/>
  <c r="M37" i="15" s="1"/>
  <c r="L26" i="15"/>
  <c r="P26" i="15" s="1"/>
  <c r="U15" i="15"/>
  <c r="S15" i="15"/>
  <c r="R15" i="15"/>
  <c r="Q15" i="15"/>
  <c r="P15" i="15"/>
  <c r="O15" i="15"/>
  <c r="N15" i="15"/>
  <c r="V15" i="15" s="1"/>
  <c r="L36" i="15"/>
  <c r="M36" i="15" s="1"/>
  <c r="L25" i="15"/>
  <c r="P25" i="15" s="1"/>
  <c r="U14" i="15"/>
  <c r="S14" i="15"/>
  <c r="R14" i="15"/>
  <c r="Q14" i="15"/>
  <c r="P14" i="15"/>
  <c r="O14" i="15"/>
  <c r="N14" i="15"/>
  <c r="V14" i="15" s="1"/>
  <c r="L35" i="15"/>
  <c r="M35" i="15" s="1"/>
  <c r="L24" i="15"/>
  <c r="P24" i="15" s="1"/>
  <c r="U13" i="15"/>
  <c r="S13" i="15"/>
  <c r="R13" i="15"/>
  <c r="Q13" i="15"/>
  <c r="P13" i="15"/>
  <c r="O13" i="15"/>
  <c r="N13" i="15"/>
  <c r="V13" i="15" s="1"/>
  <c r="L34" i="15"/>
  <c r="M34" i="15" s="1"/>
  <c r="L23" i="15"/>
  <c r="P23" i="15" s="1"/>
  <c r="U12" i="15"/>
  <c r="S12" i="15"/>
  <c r="R12" i="15"/>
  <c r="Q12" i="15"/>
  <c r="P12" i="15"/>
  <c r="O12" i="15"/>
  <c r="N12" i="15"/>
  <c r="V12" i="15" s="1"/>
  <c r="L33" i="15"/>
  <c r="M33" i="15" s="1"/>
  <c r="L22" i="15"/>
  <c r="P22" i="15" s="1"/>
  <c r="U11" i="15"/>
  <c r="S11" i="15"/>
  <c r="R11" i="15"/>
  <c r="Q11" i="15"/>
  <c r="P11" i="15"/>
  <c r="O11" i="15"/>
  <c r="N11" i="15"/>
  <c r="V11" i="15" s="1"/>
  <c r="L32" i="15"/>
  <c r="M32" i="15" s="1"/>
  <c r="L21" i="15"/>
  <c r="P21" i="15" s="1"/>
  <c r="U10" i="15"/>
  <c r="S10" i="15"/>
  <c r="R10" i="15"/>
  <c r="Q10" i="15"/>
  <c r="P10" i="15"/>
  <c r="O10" i="15"/>
  <c r="N10" i="15"/>
  <c r="V10" i="15" s="1"/>
  <c r="C89" i="6"/>
  <c r="C90" i="6"/>
  <c r="C91" i="6"/>
  <c r="C92" i="6"/>
  <c r="C93" i="6"/>
  <c r="C94" i="6"/>
  <c r="C95" i="6"/>
  <c r="C96" i="6"/>
  <c r="C97" i="6"/>
  <c r="C88" i="6"/>
  <c r="M21" i="15" l="1"/>
  <c r="V21" i="15"/>
  <c r="M22" i="15"/>
  <c r="V22" i="15"/>
  <c r="M23" i="15"/>
  <c r="V23" i="15"/>
  <c r="M24" i="15"/>
  <c r="V24" i="15"/>
  <c r="M25" i="15"/>
  <c r="V25" i="15"/>
  <c r="M26" i="15"/>
  <c r="V26" i="15"/>
  <c r="M27" i="15"/>
  <c r="V27" i="15"/>
  <c r="M28" i="15"/>
  <c r="V28" i="15"/>
  <c r="G33" i="7"/>
  <c r="W10" i="15"/>
  <c r="X10" i="15" s="1"/>
  <c r="Y10" i="15" s="1" a="1"/>
  <c r="Y10" i="15" s="1"/>
  <c r="L43" i="15"/>
  <c r="U21" i="15"/>
  <c r="T21" i="15"/>
  <c r="S21" i="15"/>
  <c r="R21" i="15"/>
  <c r="Q21" i="15"/>
  <c r="O21" i="15"/>
  <c r="W21" i="15" s="1"/>
  <c r="N21" i="15"/>
  <c r="L54" i="15"/>
  <c r="M54" i="15" s="1"/>
  <c r="P32" i="15"/>
  <c r="O32" i="15"/>
  <c r="Q32" i="15" s="1"/>
  <c r="N32" i="15"/>
  <c r="W11" i="15"/>
  <c r="X11" i="15" s="1"/>
  <c r="Y11" i="15" s="1" a="1"/>
  <c r="Y11" i="15" s="1"/>
  <c r="L44" i="15"/>
  <c r="U22" i="15"/>
  <c r="T22" i="15"/>
  <c r="S22" i="15"/>
  <c r="R22" i="15"/>
  <c r="Q22" i="15"/>
  <c r="O22" i="15"/>
  <c r="W22" i="15" s="1"/>
  <c r="N22" i="15"/>
  <c r="L55" i="15"/>
  <c r="P33" i="15"/>
  <c r="O33" i="15"/>
  <c r="Q33" i="15" s="1"/>
  <c r="N33" i="15"/>
  <c r="W12" i="15"/>
  <c r="X12" i="15" s="1"/>
  <c r="Y12" i="15" s="1" a="1"/>
  <c r="Y12" i="15" s="1"/>
  <c r="L45" i="15"/>
  <c r="U23" i="15"/>
  <c r="T23" i="15"/>
  <c r="S23" i="15"/>
  <c r="R23" i="15"/>
  <c r="Q23" i="15"/>
  <c r="O23" i="15"/>
  <c r="W23" i="15" s="1"/>
  <c r="N23" i="15"/>
  <c r="L56" i="15"/>
  <c r="P34" i="15"/>
  <c r="O34" i="15"/>
  <c r="Q34" i="15" s="1"/>
  <c r="N34" i="15"/>
  <c r="W13" i="15"/>
  <c r="X13" i="15" s="1"/>
  <c r="Y13" i="15" s="1" a="1"/>
  <c r="Y13" i="15" s="1"/>
  <c r="L46" i="15"/>
  <c r="U24" i="15"/>
  <c r="T24" i="15"/>
  <c r="S24" i="15"/>
  <c r="R24" i="15"/>
  <c r="Q24" i="15"/>
  <c r="O24" i="15"/>
  <c r="W24" i="15" s="1"/>
  <c r="N24" i="15"/>
  <c r="L57" i="15"/>
  <c r="P35" i="15"/>
  <c r="O35" i="15"/>
  <c r="Q35" i="15" s="1"/>
  <c r="N35" i="15"/>
  <c r="W14" i="15"/>
  <c r="X14" i="15" s="1"/>
  <c r="Y14" i="15" s="1" a="1"/>
  <c r="Y14" i="15" s="1"/>
  <c r="L47" i="15"/>
  <c r="U25" i="15"/>
  <c r="T25" i="15"/>
  <c r="S25" i="15"/>
  <c r="R25" i="15"/>
  <c r="Q25" i="15"/>
  <c r="O25" i="15"/>
  <c r="W25" i="15" s="1"/>
  <c r="N25" i="15"/>
  <c r="L58" i="15"/>
  <c r="P36" i="15"/>
  <c r="O36" i="15"/>
  <c r="Q36" i="15" s="1"/>
  <c r="N36" i="15"/>
  <c r="W15" i="15"/>
  <c r="X15" i="15" s="1"/>
  <c r="Y15" i="15" s="1" a="1"/>
  <c r="Y15" i="15" s="1"/>
  <c r="L48" i="15"/>
  <c r="U26" i="15"/>
  <c r="T26" i="15"/>
  <c r="S26" i="15"/>
  <c r="R26" i="15"/>
  <c r="Q26" i="15"/>
  <c r="O26" i="15"/>
  <c r="W26" i="15" s="1"/>
  <c r="N26" i="15"/>
  <c r="L59" i="15"/>
  <c r="P37" i="15"/>
  <c r="O37" i="15"/>
  <c r="Q37" i="15" s="1"/>
  <c r="N37" i="15"/>
  <c r="W16" i="15"/>
  <c r="X16" i="15" s="1"/>
  <c r="Y16" i="15" s="1" a="1"/>
  <c r="Y16" i="15" s="1"/>
  <c r="L49" i="15"/>
  <c r="U27" i="15"/>
  <c r="T27" i="15"/>
  <c r="S27" i="15"/>
  <c r="R27" i="15"/>
  <c r="Q27" i="15"/>
  <c r="O27" i="15"/>
  <c r="W27" i="15" s="1"/>
  <c r="N27" i="15"/>
  <c r="L60" i="15"/>
  <c r="P38" i="15"/>
  <c r="O38" i="15"/>
  <c r="Q38" i="15" s="1"/>
  <c r="N38" i="15"/>
  <c r="W17" i="15"/>
  <c r="X17" i="15" s="1"/>
  <c r="Y17" i="15" s="1" a="1"/>
  <c r="Y17" i="15" s="1"/>
  <c r="L50" i="15"/>
  <c r="U28" i="15"/>
  <c r="T28" i="15"/>
  <c r="S28" i="15"/>
  <c r="R28" i="15"/>
  <c r="Q28" i="15"/>
  <c r="O28" i="15"/>
  <c r="W28" i="15" s="1"/>
  <c r="N28" i="15"/>
  <c r="L61" i="15"/>
  <c r="P39" i="15"/>
  <c r="O39" i="15"/>
  <c r="Q39" i="15" s="1"/>
  <c r="N39" i="15"/>
  <c r="I10" i="6"/>
  <c r="I12" i="6"/>
  <c r="I13" i="6"/>
  <c r="I14" i="6"/>
  <c r="I15" i="6"/>
  <c r="I16" i="6"/>
  <c r="I18" i="6"/>
  <c r="I19" i="6"/>
  <c r="I140" i="6"/>
  <c r="I141" i="6"/>
  <c r="I142" i="6"/>
  <c r="I143" i="6"/>
  <c r="I144" i="6"/>
  <c r="I145" i="6"/>
  <c r="I146" i="6"/>
  <c r="I147" i="6"/>
  <c r="I148" i="6"/>
  <c r="I149" i="6"/>
  <c r="I127" i="6"/>
  <c r="I128" i="6"/>
  <c r="I129" i="6"/>
  <c r="I130" i="6"/>
  <c r="I131" i="6"/>
  <c r="I132" i="6"/>
  <c r="I133" i="6"/>
  <c r="I134" i="6"/>
  <c r="I135" i="6"/>
  <c r="I136" i="6"/>
  <c r="I114" i="6"/>
  <c r="I115" i="6"/>
  <c r="I116" i="6"/>
  <c r="I117" i="6"/>
  <c r="I118" i="6"/>
  <c r="I119" i="6"/>
  <c r="I120" i="6"/>
  <c r="I121" i="6"/>
  <c r="I122" i="6"/>
  <c r="I123" i="6"/>
  <c r="I102" i="6"/>
  <c r="I101" i="6"/>
  <c r="I103" i="6"/>
  <c r="I104" i="6"/>
  <c r="I105" i="6"/>
  <c r="I106" i="6"/>
  <c r="I107" i="6"/>
  <c r="I108" i="6"/>
  <c r="I109" i="6"/>
  <c r="I110" i="6"/>
  <c r="Y18" i="15" l="1"/>
  <c r="T39" i="15"/>
  <c r="S39" i="15"/>
  <c r="U39" i="15" s="1" a="1"/>
  <c r="U39" i="15" s="1"/>
  <c r="R39" i="15"/>
  <c r="Z61" i="15"/>
  <c r="Y61" i="15"/>
  <c r="X61" i="15"/>
  <c r="W61" i="15"/>
  <c r="V61" i="15"/>
  <c r="U61" i="15"/>
  <c r="T61" i="15"/>
  <c r="S61" i="15"/>
  <c r="R61" i="15"/>
  <c r="Q61" i="15"/>
  <c r="P61" i="15"/>
  <c r="O61" i="15"/>
  <c r="N61" i="15"/>
  <c r="M61" i="15"/>
  <c r="Z28" i="15"/>
  <c r="AA28" i="15" s="1" a="1"/>
  <c r="AA28" i="15" s="1"/>
  <c r="Y28" i="15"/>
  <c r="X28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T38" i="15"/>
  <c r="S38" i="15"/>
  <c r="U38" i="15" s="1" a="1"/>
  <c r="U38" i="15" s="1"/>
  <c r="R38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Z27" i="15"/>
  <c r="AA27" i="15" s="1" a="1"/>
  <c r="AA27" i="15" s="1"/>
  <c r="Y27" i="15"/>
  <c r="X27" i="15"/>
  <c r="AA49" i="15"/>
  <c r="Z49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T37" i="15"/>
  <c r="S37" i="15"/>
  <c r="U37" i="15" s="1" a="1"/>
  <c r="U37" i="15" s="1"/>
  <c r="R37" i="15"/>
  <c r="Z59" i="15"/>
  <c r="Y59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Z26" i="15"/>
  <c r="AA26" i="15" s="1" a="1"/>
  <c r="AA26" i="15" s="1"/>
  <c r="Y26" i="15"/>
  <c r="X26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T36" i="15"/>
  <c r="S36" i="15"/>
  <c r="U36" i="15" s="1" a="1"/>
  <c r="U36" i="15" s="1"/>
  <c r="R36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Z25" i="15"/>
  <c r="AA25" i="15" s="1" a="1"/>
  <c r="AA25" i="15" s="1"/>
  <c r="Y25" i="15"/>
  <c r="X25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T35" i="15"/>
  <c r="S35" i="15"/>
  <c r="U35" i="15" s="1" a="1"/>
  <c r="U35" i="15" s="1"/>
  <c r="R35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Z24" i="15"/>
  <c r="AA24" i="15" s="1" a="1"/>
  <c r="AA24" i="15" s="1"/>
  <c r="Y24" i="15"/>
  <c r="X24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T34" i="15"/>
  <c r="S34" i="15"/>
  <c r="U34" i="15" s="1" a="1"/>
  <c r="U34" i="15" s="1"/>
  <c r="R34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Z23" i="15"/>
  <c r="AA23" i="15" s="1" a="1"/>
  <c r="AA23" i="15" s="1"/>
  <c r="Y23" i="15"/>
  <c r="X23" i="15"/>
  <c r="AA45" i="15"/>
  <c r="Z45" i="15"/>
  <c r="Y45" i="15"/>
  <c r="X45" i="15"/>
  <c r="W45" i="15"/>
  <c r="V45" i="15"/>
  <c r="U45" i="15"/>
  <c r="T45" i="15"/>
  <c r="S45" i="15"/>
  <c r="R45" i="15"/>
  <c r="Q45" i="15"/>
  <c r="P45" i="15"/>
  <c r="O45" i="15"/>
  <c r="N45" i="15"/>
  <c r="M45" i="15"/>
  <c r="T33" i="15"/>
  <c r="S33" i="15"/>
  <c r="U33" i="15" s="1" a="1"/>
  <c r="U33" i="15" s="1"/>
  <c r="R33" i="15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Z22" i="15"/>
  <c r="AA22" i="15" s="1" a="1"/>
  <c r="AA22" i="15" s="1"/>
  <c r="Y22" i="15"/>
  <c r="X22" i="15"/>
  <c r="AA44" i="15"/>
  <c r="Z44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T32" i="15"/>
  <c r="S32" i="15"/>
  <c r="U32" i="15" s="1" a="1"/>
  <c r="U32" i="15" s="1"/>
  <c r="R32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Z21" i="15"/>
  <c r="Y21" i="15"/>
  <c r="X21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10" i="6"/>
  <c r="L36" i="6" s="1"/>
  <c r="L62" i="6" s="1"/>
  <c r="L11" i="6"/>
  <c r="L37" i="6" s="1"/>
  <c r="L63" i="6" s="1"/>
  <c r="L12" i="6"/>
  <c r="L38" i="6" s="1"/>
  <c r="L64" i="6" s="1"/>
  <c r="L13" i="6"/>
  <c r="L39" i="6" s="1"/>
  <c r="L65" i="6" s="1"/>
  <c r="L14" i="6"/>
  <c r="L40" i="6" s="1"/>
  <c r="L66" i="6" s="1"/>
  <c r="L15" i="6"/>
  <c r="L41" i="6" s="1"/>
  <c r="L67" i="6" s="1"/>
  <c r="L16" i="6"/>
  <c r="L42" i="6" s="1"/>
  <c r="L68" i="6" s="1"/>
  <c r="L17" i="6"/>
  <c r="L43" i="6" s="1"/>
  <c r="L69" i="6" s="1"/>
  <c r="L18" i="6"/>
  <c r="L44" i="6" s="1"/>
  <c r="L70" i="6" s="1"/>
  <c r="L19" i="6"/>
  <c r="L45" i="6" s="1"/>
  <c r="L71" i="6" s="1"/>
  <c r="B23" i="6"/>
  <c r="C23" i="6" s="1"/>
  <c r="L23" i="6"/>
  <c r="M36" i="6" s="1"/>
  <c r="B24" i="6"/>
  <c r="C24" i="6" s="1"/>
  <c r="L24" i="6"/>
  <c r="M37" i="6" s="1"/>
  <c r="B25" i="6"/>
  <c r="C25" i="6" s="1"/>
  <c r="L25" i="6"/>
  <c r="M38" i="6" s="1"/>
  <c r="B26" i="6"/>
  <c r="C26" i="6" s="1"/>
  <c r="L26" i="6"/>
  <c r="M39" i="6" s="1"/>
  <c r="B27" i="6"/>
  <c r="C27" i="6" s="1"/>
  <c r="L27" i="6"/>
  <c r="M40" i="6" s="1"/>
  <c r="B28" i="6"/>
  <c r="C28" i="6" s="1"/>
  <c r="L28" i="6"/>
  <c r="M41" i="6" s="1"/>
  <c r="B29" i="6"/>
  <c r="C29" i="6" s="1"/>
  <c r="L29" i="6"/>
  <c r="M42" i="6" s="1"/>
  <c r="B30" i="6"/>
  <c r="C30" i="6" s="1"/>
  <c r="L30" i="6"/>
  <c r="M43" i="6" s="1"/>
  <c r="B31" i="6"/>
  <c r="C31" i="6" s="1"/>
  <c r="L31" i="6"/>
  <c r="M44" i="6" s="1"/>
  <c r="B32" i="6"/>
  <c r="C32" i="6" s="1"/>
  <c r="L32" i="6"/>
  <c r="M45" i="6" s="1"/>
  <c r="B36" i="6"/>
  <c r="C36" i="6" s="1"/>
  <c r="B37" i="6"/>
  <c r="C37" i="6" s="1"/>
  <c r="B38" i="6"/>
  <c r="C38" i="6" s="1"/>
  <c r="B39" i="6"/>
  <c r="C39" i="6" s="1"/>
  <c r="B40" i="6"/>
  <c r="C40" i="6" s="1"/>
  <c r="B41" i="6"/>
  <c r="C41" i="6" s="1"/>
  <c r="B42" i="6"/>
  <c r="C42" i="6" s="1"/>
  <c r="B43" i="6"/>
  <c r="C43" i="6" s="1"/>
  <c r="B44" i="6"/>
  <c r="C44" i="6" s="1"/>
  <c r="B45" i="6"/>
  <c r="C45" i="6" s="1"/>
  <c r="B49" i="6"/>
  <c r="C49" i="6" s="1"/>
  <c r="B50" i="6"/>
  <c r="C50" i="6" s="1"/>
  <c r="B51" i="6"/>
  <c r="C51" i="6" s="1"/>
  <c r="B52" i="6"/>
  <c r="C52" i="6" s="1"/>
  <c r="B53" i="6"/>
  <c r="C53" i="6" s="1"/>
  <c r="B54" i="6"/>
  <c r="C54" i="6" s="1"/>
  <c r="B55" i="6"/>
  <c r="C55" i="6" s="1"/>
  <c r="B56" i="6"/>
  <c r="C56" i="6" s="1"/>
  <c r="B57" i="6"/>
  <c r="C57" i="6" s="1"/>
  <c r="B58" i="6"/>
  <c r="C58" i="6" s="1"/>
  <c r="B62" i="6"/>
  <c r="C62" i="6" s="1"/>
  <c r="B63" i="6"/>
  <c r="C63" i="6" s="1"/>
  <c r="B64" i="6"/>
  <c r="C64" i="6" s="1"/>
  <c r="B65" i="6"/>
  <c r="C65" i="6" s="1"/>
  <c r="B66" i="6"/>
  <c r="C66" i="6" s="1"/>
  <c r="B67" i="6"/>
  <c r="C67" i="6" s="1"/>
  <c r="B68" i="6"/>
  <c r="C68" i="6" s="1"/>
  <c r="B69" i="6"/>
  <c r="C69" i="6" s="1"/>
  <c r="B70" i="6"/>
  <c r="C70" i="6" s="1"/>
  <c r="B71" i="6"/>
  <c r="C71" i="6" s="1"/>
  <c r="B75" i="6"/>
  <c r="C75" i="6" s="1"/>
  <c r="H75" i="6" s="1"/>
  <c r="I75" i="6"/>
  <c r="B76" i="6"/>
  <c r="C76" i="6" s="1"/>
  <c r="H76" i="6" s="1"/>
  <c r="I76" i="6"/>
  <c r="B77" i="6"/>
  <c r="C77" i="6" s="1"/>
  <c r="H77" i="6" s="1"/>
  <c r="I77" i="6"/>
  <c r="B78" i="6"/>
  <c r="C78" i="6" s="1"/>
  <c r="H78" i="6" s="1"/>
  <c r="I78" i="6"/>
  <c r="B79" i="6"/>
  <c r="C79" i="6" s="1"/>
  <c r="H79" i="6" s="1"/>
  <c r="I79" i="6"/>
  <c r="B80" i="6"/>
  <c r="C80" i="6" s="1"/>
  <c r="H80" i="6" s="1"/>
  <c r="I80" i="6"/>
  <c r="B81" i="6"/>
  <c r="C81" i="6" s="1"/>
  <c r="H81" i="6" s="1"/>
  <c r="I81" i="6"/>
  <c r="B82" i="6"/>
  <c r="C82" i="6" s="1"/>
  <c r="H82" i="6" s="1"/>
  <c r="I82" i="6"/>
  <c r="B83" i="6"/>
  <c r="C83" i="6" s="1"/>
  <c r="H83" i="6" s="1"/>
  <c r="I83" i="6"/>
  <c r="B84" i="6"/>
  <c r="C84" i="6" s="1"/>
  <c r="H84" i="6" s="1"/>
  <c r="I84" i="6"/>
  <c r="H88" i="6"/>
  <c r="H89" i="6"/>
  <c r="H90" i="6"/>
  <c r="H91" i="6"/>
  <c r="H92" i="6"/>
  <c r="H93" i="6"/>
  <c r="H94" i="6"/>
  <c r="H95" i="6"/>
  <c r="H96" i="6"/>
  <c r="H97" i="6"/>
  <c r="B101" i="6"/>
  <c r="C101" i="6" s="1"/>
  <c r="H101" i="6" s="1"/>
  <c r="B102" i="6"/>
  <c r="C102" i="6" s="1"/>
  <c r="H102" i="6" s="1"/>
  <c r="B103" i="6"/>
  <c r="C103" i="6" s="1"/>
  <c r="H103" i="6" s="1"/>
  <c r="B104" i="6"/>
  <c r="C104" i="6" s="1"/>
  <c r="H104" i="6" s="1"/>
  <c r="B105" i="6"/>
  <c r="C105" i="6" s="1"/>
  <c r="H105" i="6" s="1"/>
  <c r="B106" i="6"/>
  <c r="C106" i="6" s="1"/>
  <c r="H106" i="6" s="1"/>
  <c r="B107" i="6"/>
  <c r="C107" i="6" s="1"/>
  <c r="H107" i="6" s="1"/>
  <c r="B108" i="6"/>
  <c r="C108" i="6" s="1"/>
  <c r="H108" i="6" s="1"/>
  <c r="B109" i="6"/>
  <c r="C109" i="6" s="1"/>
  <c r="H109" i="6" s="1"/>
  <c r="B110" i="6"/>
  <c r="C110" i="6" s="1"/>
  <c r="H110" i="6" s="1"/>
  <c r="B114" i="6"/>
  <c r="C114" i="6" s="1"/>
  <c r="H114" i="6" s="1"/>
  <c r="B115" i="6"/>
  <c r="C115" i="6" s="1"/>
  <c r="H115" i="6" s="1"/>
  <c r="B116" i="6"/>
  <c r="C116" i="6" s="1"/>
  <c r="H116" i="6" s="1"/>
  <c r="B117" i="6"/>
  <c r="C117" i="6" s="1"/>
  <c r="H117" i="6" s="1"/>
  <c r="B118" i="6"/>
  <c r="C118" i="6" s="1"/>
  <c r="H118" i="6" s="1"/>
  <c r="B119" i="6"/>
  <c r="C119" i="6" s="1"/>
  <c r="H119" i="6" s="1"/>
  <c r="B120" i="6"/>
  <c r="C120" i="6" s="1"/>
  <c r="H120" i="6" s="1"/>
  <c r="B121" i="6"/>
  <c r="C121" i="6" s="1"/>
  <c r="H121" i="6" s="1"/>
  <c r="B122" i="6"/>
  <c r="C122" i="6" s="1"/>
  <c r="H122" i="6" s="1"/>
  <c r="B123" i="6"/>
  <c r="C123" i="6" s="1"/>
  <c r="H123" i="6" s="1"/>
  <c r="B127" i="6"/>
  <c r="C127" i="6" s="1"/>
  <c r="H127" i="6" s="1"/>
  <c r="B128" i="6"/>
  <c r="C128" i="6" s="1"/>
  <c r="H128" i="6" s="1"/>
  <c r="B129" i="6"/>
  <c r="C129" i="6" s="1"/>
  <c r="H129" i="6" s="1"/>
  <c r="B130" i="6"/>
  <c r="C130" i="6" s="1"/>
  <c r="H130" i="6" s="1"/>
  <c r="B131" i="6"/>
  <c r="C131" i="6" s="1"/>
  <c r="H131" i="6" s="1"/>
  <c r="B132" i="6"/>
  <c r="C132" i="6" s="1"/>
  <c r="H132" i="6" s="1"/>
  <c r="B133" i="6"/>
  <c r="C133" i="6" s="1"/>
  <c r="H133" i="6" s="1"/>
  <c r="B134" i="6"/>
  <c r="C134" i="6" s="1"/>
  <c r="H134" i="6" s="1"/>
  <c r="B135" i="6"/>
  <c r="C135" i="6" s="1"/>
  <c r="H135" i="6" s="1"/>
  <c r="B136" i="6"/>
  <c r="C136" i="6" s="1"/>
  <c r="H136" i="6" s="1"/>
  <c r="B140" i="6"/>
  <c r="C140" i="6" s="1"/>
  <c r="H140" i="6" s="1"/>
  <c r="B141" i="6"/>
  <c r="C141" i="6" s="1"/>
  <c r="H141" i="6" s="1"/>
  <c r="B142" i="6"/>
  <c r="C142" i="6" s="1"/>
  <c r="H142" i="6" s="1"/>
  <c r="B143" i="6"/>
  <c r="C143" i="6" s="1"/>
  <c r="H143" i="6" s="1"/>
  <c r="B144" i="6"/>
  <c r="C144" i="6" s="1"/>
  <c r="H144" i="6" s="1"/>
  <c r="B145" i="6"/>
  <c r="C145" i="6" s="1"/>
  <c r="H145" i="6" s="1"/>
  <c r="B146" i="6"/>
  <c r="C146" i="6" s="1"/>
  <c r="H146" i="6" s="1"/>
  <c r="B147" i="6"/>
  <c r="C147" i="6" s="1"/>
  <c r="H147" i="6" s="1"/>
  <c r="B148" i="6"/>
  <c r="C148" i="6" s="1"/>
  <c r="H148" i="6" s="1"/>
  <c r="B149" i="6"/>
  <c r="C149" i="6" s="1"/>
  <c r="H149" i="6" s="1"/>
  <c r="B153" i="6"/>
  <c r="C153" i="6" s="1"/>
  <c r="H153" i="6" s="1"/>
  <c r="I153" i="6"/>
  <c r="B154" i="6"/>
  <c r="C154" i="6" s="1"/>
  <c r="H154" i="6" s="1"/>
  <c r="I154" i="6"/>
  <c r="B155" i="6"/>
  <c r="C155" i="6" s="1"/>
  <c r="H155" i="6" s="1"/>
  <c r="I155" i="6"/>
  <c r="B156" i="6"/>
  <c r="C156" i="6" s="1"/>
  <c r="H156" i="6" s="1"/>
  <c r="I156" i="6"/>
  <c r="B157" i="6"/>
  <c r="C157" i="6" s="1"/>
  <c r="H157" i="6" s="1"/>
  <c r="I157" i="6"/>
  <c r="B158" i="6"/>
  <c r="C158" i="6" s="1"/>
  <c r="H158" i="6" s="1"/>
  <c r="I158" i="6"/>
  <c r="B159" i="6"/>
  <c r="C159" i="6" s="1"/>
  <c r="H159" i="6" s="1"/>
  <c r="I159" i="6"/>
  <c r="B160" i="6"/>
  <c r="C160" i="6" s="1"/>
  <c r="H160" i="6" s="1"/>
  <c r="I160" i="6"/>
  <c r="B161" i="6"/>
  <c r="C161" i="6" s="1"/>
  <c r="H161" i="6" s="1"/>
  <c r="I161" i="6"/>
  <c r="B162" i="6"/>
  <c r="C162" i="6" s="1"/>
  <c r="H162" i="6" s="1"/>
  <c r="I162" i="6"/>
  <c r="B166" i="6"/>
  <c r="C166" i="6" s="1"/>
  <c r="H166" i="6" s="1"/>
  <c r="I166" i="6"/>
  <c r="B167" i="6"/>
  <c r="C167" i="6" s="1"/>
  <c r="H167" i="6" s="1"/>
  <c r="I167" i="6"/>
  <c r="B168" i="6"/>
  <c r="C168" i="6" s="1"/>
  <c r="H168" i="6" s="1"/>
  <c r="I168" i="6"/>
  <c r="B169" i="6"/>
  <c r="C169" i="6" s="1"/>
  <c r="H169" i="6" s="1"/>
  <c r="I169" i="6"/>
  <c r="B170" i="6"/>
  <c r="C170" i="6" s="1"/>
  <c r="H170" i="6" s="1"/>
  <c r="I170" i="6"/>
  <c r="B171" i="6"/>
  <c r="C171" i="6" s="1"/>
  <c r="H171" i="6" s="1"/>
  <c r="I171" i="6"/>
  <c r="B172" i="6"/>
  <c r="C172" i="6" s="1"/>
  <c r="H172" i="6" s="1"/>
  <c r="I172" i="6"/>
  <c r="B173" i="6"/>
  <c r="C173" i="6" s="1"/>
  <c r="H173" i="6" s="1"/>
  <c r="I173" i="6"/>
  <c r="B174" i="6"/>
  <c r="C174" i="6" s="1"/>
  <c r="H174" i="6" s="1"/>
  <c r="I174" i="6"/>
  <c r="B175" i="6"/>
  <c r="C175" i="6" s="1"/>
  <c r="H175" i="6" s="1"/>
  <c r="I175" i="6"/>
  <c r="B179" i="6"/>
  <c r="C179" i="6" s="1"/>
  <c r="H179" i="6" s="1"/>
  <c r="I179" i="6"/>
  <c r="B180" i="6"/>
  <c r="C180" i="6" s="1"/>
  <c r="H180" i="6" s="1"/>
  <c r="I180" i="6"/>
  <c r="B181" i="6"/>
  <c r="C181" i="6" s="1"/>
  <c r="H181" i="6" s="1"/>
  <c r="I181" i="6"/>
  <c r="B182" i="6"/>
  <c r="C182" i="6" s="1"/>
  <c r="H182" i="6" s="1"/>
  <c r="I182" i="6"/>
  <c r="B183" i="6"/>
  <c r="C183" i="6" s="1"/>
  <c r="H183" i="6" s="1"/>
  <c r="I183" i="6"/>
  <c r="B184" i="6"/>
  <c r="C184" i="6" s="1"/>
  <c r="H184" i="6" s="1"/>
  <c r="I184" i="6"/>
  <c r="B185" i="6"/>
  <c r="C185" i="6" s="1"/>
  <c r="H185" i="6" s="1"/>
  <c r="I185" i="6"/>
  <c r="B186" i="6"/>
  <c r="C186" i="6" s="1"/>
  <c r="H186" i="6" s="1"/>
  <c r="I186" i="6"/>
  <c r="B187" i="6"/>
  <c r="C187" i="6" s="1"/>
  <c r="H187" i="6" s="1"/>
  <c r="I187" i="6"/>
  <c r="B188" i="6"/>
  <c r="C188" i="6" s="1"/>
  <c r="H188" i="6" s="1"/>
  <c r="I188" i="6"/>
  <c r="B192" i="6"/>
  <c r="C192" i="6" s="1"/>
  <c r="H192" i="6" s="1"/>
  <c r="I192" i="6"/>
  <c r="B193" i="6"/>
  <c r="C193" i="6" s="1"/>
  <c r="H193" i="6" s="1"/>
  <c r="I193" i="6"/>
  <c r="B194" i="6"/>
  <c r="C194" i="6" s="1"/>
  <c r="H194" i="6" s="1"/>
  <c r="I194" i="6"/>
  <c r="B195" i="6"/>
  <c r="C195" i="6" s="1"/>
  <c r="H195" i="6" s="1"/>
  <c r="I195" i="6"/>
  <c r="B196" i="6"/>
  <c r="C196" i="6" s="1"/>
  <c r="H196" i="6" s="1"/>
  <c r="I196" i="6"/>
  <c r="B197" i="6"/>
  <c r="C197" i="6" s="1"/>
  <c r="H197" i="6" s="1"/>
  <c r="I197" i="6"/>
  <c r="B198" i="6"/>
  <c r="C198" i="6" s="1"/>
  <c r="H198" i="6" s="1"/>
  <c r="I198" i="6"/>
  <c r="B199" i="6"/>
  <c r="C199" i="6" s="1"/>
  <c r="H199" i="6" s="1"/>
  <c r="I199" i="6"/>
  <c r="B200" i="6"/>
  <c r="C200" i="6" s="1"/>
  <c r="H200" i="6" s="1"/>
  <c r="I200" i="6"/>
  <c r="B201" i="6"/>
  <c r="C201" i="6" s="1"/>
  <c r="H201" i="6" s="1"/>
  <c r="I201" i="6"/>
  <c r="B205" i="6"/>
  <c r="C205" i="6" s="1"/>
  <c r="H205" i="6" s="1"/>
  <c r="I205" i="6"/>
  <c r="B206" i="6"/>
  <c r="C206" i="6" s="1"/>
  <c r="H206" i="6" s="1"/>
  <c r="I206" i="6"/>
  <c r="B207" i="6"/>
  <c r="C207" i="6" s="1"/>
  <c r="H207" i="6" s="1"/>
  <c r="I207" i="6"/>
  <c r="B208" i="6"/>
  <c r="C208" i="6" s="1"/>
  <c r="H208" i="6" s="1"/>
  <c r="I208" i="6"/>
  <c r="B209" i="6"/>
  <c r="C209" i="6" s="1"/>
  <c r="H209" i="6" s="1"/>
  <c r="I209" i="6"/>
  <c r="B210" i="6"/>
  <c r="C210" i="6" s="1"/>
  <c r="H210" i="6" s="1"/>
  <c r="I210" i="6"/>
  <c r="B211" i="6"/>
  <c r="C211" i="6" s="1"/>
  <c r="H211" i="6" s="1"/>
  <c r="B212" i="6"/>
  <c r="C212" i="6" s="1"/>
  <c r="H212" i="6" s="1"/>
  <c r="I212" i="6"/>
  <c r="B213" i="6"/>
  <c r="C213" i="6" s="1"/>
  <c r="H213" i="6" s="1"/>
  <c r="I213" i="6"/>
  <c r="B214" i="6"/>
  <c r="C214" i="6" s="1"/>
  <c r="H214" i="6" s="1"/>
  <c r="I214" i="6"/>
  <c r="B218" i="6"/>
  <c r="C218" i="6" s="1"/>
  <c r="H218" i="6" s="1"/>
  <c r="I218" i="6"/>
  <c r="B219" i="6"/>
  <c r="C219" i="6" s="1"/>
  <c r="H219" i="6" s="1"/>
  <c r="I219" i="6"/>
  <c r="B220" i="6"/>
  <c r="C220" i="6" s="1"/>
  <c r="H220" i="6" s="1"/>
  <c r="I220" i="6"/>
  <c r="B221" i="6"/>
  <c r="C221" i="6" s="1"/>
  <c r="H221" i="6" s="1"/>
  <c r="B222" i="6"/>
  <c r="C222" i="6" s="1"/>
  <c r="H222" i="6" s="1"/>
  <c r="I222" i="6"/>
  <c r="B223" i="6"/>
  <c r="C223" i="6" s="1"/>
  <c r="H223" i="6" s="1"/>
  <c r="I223" i="6"/>
  <c r="B224" i="6"/>
  <c r="C224" i="6" s="1"/>
  <c r="H224" i="6" s="1"/>
  <c r="I224" i="6"/>
  <c r="B225" i="6"/>
  <c r="C225" i="6" s="1"/>
  <c r="H225" i="6" s="1"/>
  <c r="I225" i="6"/>
  <c r="B226" i="6"/>
  <c r="C226" i="6" s="1"/>
  <c r="H226" i="6" s="1"/>
  <c r="I226" i="6"/>
  <c r="B227" i="6"/>
  <c r="C227" i="6" s="1"/>
  <c r="H227" i="6" s="1"/>
  <c r="I227" i="6"/>
  <c r="B231" i="6"/>
  <c r="C231" i="6" s="1"/>
  <c r="H231" i="6" s="1"/>
  <c r="I231" i="6"/>
  <c r="B232" i="6"/>
  <c r="C232" i="6" s="1"/>
  <c r="H232" i="6" s="1"/>
  <c r="I232" i="6"/>
  <c r="B233" i="6"/>
  <c r="C233" i="6" s="1"/>
  <c r="H233" i="6" s="1"/>
  <c r="I233" i="6"/>
  <c r="B234" i="6"/>
  <c r="C234" i="6" s="1"/>
  <c r="H234" i="6" s="1"/>
  <c r="I234" i="6"/>
  <c r="B235" i="6"/>
  <c r="C235" i="6" s="1"/>
  <c r="H235" i="6" s="1"/>
  <c r="I235" i="6"/>
  <c r="B236" i="6"/>
  <c r="C236" i="6" s="1"/>
  <c r="H236" i="6" s="1"/>
  <c r="B237" i="6"/>
  <c r="C237" i="6" s="1"/>
  <c r="H237" i="6" s="1"/>
  <c r="I237" i="6"/>
  <c r="B238" i="6"/>
  <c r="C238" i="6" s="1"/>
  <c r="H238" i="6" s="1"/>
  <c r="I238" i="6"/>
  <c r="B239" i="6"/>
  <c r="C239" i="6" s="1"/>
  <c r="H239" i="6" s="1"/>
  <c r="I239" i="6"/>
  <c r="B240" i="6"/>
  <c r="C240" i="6" s="1"/>
  <c r="H240" i="6" s="1"/>
  <c r="I240" i="6"/>
  <c r="B244" i="6"/>
  <c r="C244" i="6" s="1"/>
  <c r="H244" i="6" s="1"/>
  <c r="I244" i="6"/>
  <c r="B245" i="6"/>
  <c r="C245" i="6" s="1"/>
  <c r="H245" i="6" s="1"/>
  <c r="I245" i="6"/>
  <c r="B246" i="6"/>
  <c r="C246" i="6" s="1"/>
  <c r="H246" i="6" s="1"/>
  <c r="I246" i="6"/>
  <c r="B247" i="6"/>
  <c r="C247" i="6" s="1"/>
  <c r="H247" i="6" s="1"/>
  <c r="I247" i="6"/>
  <c r="B248" i="6"/>
  <c r="C248" i="6" s="1"/>
  <c r="H248" i="6" s="1"/>
  <c r="B249" i="6"/>
  <c r="C249" i="6" s="1"/>
  <c r="H249" i="6" s="1"/>
  <c r="I249" i="6"/>
  <c r="B250" i="6"/>
  <c r="C250" i="6" s="1"/>
  <c r="H250" i="6" s="1"/>
  <c r="I250" i="6"/>
  <c r="B251" i="6"/>
  <c r="C251" i="6" s="1"/>
  <c r="H251" i="6" s="1"/>
  <c r="I251" i="6"/>
  <c r="B252" i="6"/>
  <c r="C252" i="6" s="1"/>
  <c r="H252" i="6" s="1"/>
  <c r="I252" i="6"/>
  <c r="B253" i="6"/>
  <c r="C253" i="6" s="1"/>
  <c r="H253" i="6" s="1"/>
  <c r="I253" i="6"/>
  <c r="B257" i="6"/>
  <c r="C257" i="6" s="1"/>
  <c r="H257" i="6" s="1"/>
  <c r="I257" i="6"/>
  <c r="B258" i="6"/>
  <c r="C258" i="6" s="1"/>
  <c r="H258" i="6" s="1"/>
  <c r="I258" i="6"/>
  <c r="B259" i="6"/>
  <c r="C259" i="6" s="1"/>
  <c r="H259" i="6" s="1"/>
  <c r="I259" i="6"/>
  <c r="B260" i="6"/>
  <c r="C260" i="6" s="1"/>
  <c r="H260" i="6" s="1"/>
  <c r="I260" i="6"/>
  <c r="B261" i="6"/>
  <c r="C261" i="6" s="1"/>
  <c r="H261" i="6" s="1"/>
  <c r="I261" i="6"/>
  <c r="B262" i="6"/>
  <c r="C262" i="6" s="1"/>
  <c r="H262" i="6" s="1"/>
  <c r="I262" i="6"/>
  <c r="B263" i="6"/>
  <c r="C263" i="6" s="1"/>
  <c r="H263" i="6" s="1"/>
  <c r="I263" i="6"/>
  <c r="B264" i="6"/>
  <c r="C264" i="6" s="1"/>
  <c r="H264" i="6" s="1"/>
  <c r="B265" i="6"/>
  <c r="C265" i="6" s="1"/>
  <c r="H265" i="6" s="1"/>
  <c r="I265" i="6"/>
  <c r="B266" i="6"/>
  <c r="C266" i="6" s="1"/>
  <c r="H266" i="6" s="1"/>
  <c r="I266" i="6"/>
  <c r="B270" i="6"/>
  <c r="C270" i="6" s="1"/>
  <c r="H270" i="6" s="1"/>
  <c r="B271" i="6"/>
  <c r="C271" i="6" s="1"/>
  <c r="H271" i="6" s="1"/>
  <c r="I271" i="6"/>
  <c r="B272" i="6"/>
  <c r="C272" i="6" s="1"/>
  <c r="H272" i="6" s="1"/>
  <c r="I272" i="6"/>
  <c r="B273" i="6"/>
  <c r="C273" i="6" s="1"/>
  <c r="H273" i="6" s="1"/>
  <c r="I273" i="6"/>
  <c r="B274" i="6"/>
  <c r="C274" i="6" s="1"/>
  <c r="H274" i="6" s="1"/>
  <c r="I274" i="6"/>
  <c r="B275" i="6"/>
  <c r="C275" i="6" s="1"/>
  <c r="H275" i="6" s="1"/>
  <c r="I275" i="6"/>
  <c r="B276" i="6"/>
  <c r="C276" i="6" s="1"/>
  <c r="H276" i="6" s="1"/>
  <c r="I276" i="6"/>
  <c r="B277" i="6"/>
  <c r="C277" i="6" s="1"/>
  <c r="H277" i="6" s="1"/>
  <c r="I277" i="6"/>
  <c r="B278" i="6"/>
  <c r="C278" i="6" s="1"/>
  <c r="H278" i="6" s="1"/>
  <c r="I278" i="6"/>
  <c r="B279" i="6"/>
  <c r="C279" i="6" s="1"/>
  <c r="H279" i="6" s="1"/>
  <c r="I279" i="6"/>
  <c r="B283" i="6"/>
  <c r="C283" i="6" s="1"/>
  <c r="H283" i="6" s="1"/>
  <c r="B284" i="6"/>
  <c r="C284" i="6" s="1"/>
  <c r="H284" i="6" s="1"/>
  <c r="I284" i="6"/>
  <c r="B285" i="6"/>
  <c r="C285" i="6" s="1"/>
  <c r="H285" i="6" s="1"/>
  <c r="I285" i="6"/>
  <c r="B286" i="6"/>
  <c r="C286" i="6" s="1"/>
  <c r="H286" i="6" s="1"/>
  <c r="I286" i="6"/>
  <c r="B287" i="6"/>
  <c r="C287" i="6" s="1"/>
  <c r="H287" i="6" s="1"/>
  <c r="I287" i="6"/>
  <c r="B288" i="6"/>
  <c r="C288" i="6" s="1"/>
  <c r="H288" i="6" s="1"/>
  <c r="I288" i="6"/>
  <c r="B289" i="6"/>
  <c r="C289" i="6" s="1"/>
  <c r="H289" i="6" s="1"/>
  <c r="I289" i="6"/>
  <c r="B290" i="6"/>
  <c r="C290" i="6" s="1"/>
  <c r="H290" i="6" s="1"/>
  <c r="I290" i="6"/>
  <c r="B291" i="6"/>
  <c r="C291" i="6" s="1"/>
  <c r="H291" i="6" s="1"/>
  <c r="I291" i="6"/>
  <c r="B292" i="6"/>
  <c r="C292" i="6" s="1"/>
  <c r="H292" i="6" s="1"/>
  <c r="I292" i="6"/>
  <c r="B296" i="6"/>
  <c r="C296" i="6" s="1"/>
  <c r="H296" i="6" s="1"/>
  <c r="B297" i="6"/>
  <c r="C297" i="6" s="1"/>
  <c r="H297" i="6" s="1"/>
  <c r="I297" i="6"/>
  <c r="B298" i="6"/>
  <c r="C298" i="6" s="1"/>
  <c r="H298" i="6" s="1"/>
  <c r="I298" i="6"/>
  <c r="B299" i="6"/>
  <c r="C299" i="6" s="1"/>
  <c r="H299" i="6" s="1"/>
  <c r="I299" i="6"/>
  <c r="B300" i="6"/>
  <c r="C300" i="6" s="1"/>
  <c r="H300" i="6" s="1"/>
  <c r="I300" i="6"/>
  <c r="B301" i="6"/>
  <c r="C301" i="6" s="1"/>
  <c r="H301" i="6" s="1"/>
  <c r="I301" i="6"/>
  <c r="B302" i="6"/>
  <c r="C302" i="6" s="1"/>
  <c r="H302" i="6" s="1"/>
  <c r="I302" i="6"/>
  <c r="B303" i="6"/>
  <c r="C303" i="6" s="1"/>
  <c r="H303" i="6" s="1"/>
  <c r="I303" i="6"/>
  <c r="B304" i="6"/>
  <c r="C304" i="6" s="1"/>
  <c r="H304" i="6" s="1"/>
  <c r="I304" i="6"/>
  <c r="B305" i="6"/>
  <c r="C305" i="6" s="1"/>
  <c r="H305" i="6" s="1"/>
  <c r="I305" i="6"/>
  <c r="B309" i="6"/>
  <c r="C309" i="6" s="1"/>
  <c r="H309" i="6" s="1"/>
  <c r="B310" i="6"/>
  <c r="C310" i="6" s="1"/>
  <c r="H310" i="6" s="1"/>
  <c r="I310" i="6"/>
  <c r="B311" i="6"/>
  <c r="C311" i="6" s="1"/>
  <c r="H311" i="6" s="1"/>
  <c r="I311" i="6"/>
  <c r="B312" i="6"/>
  <c r="C312" i="6" s="1"/>
  <c r="H312" i="6" s="1"/>
  <c r="I312" i="6"/>
  <c r="B313" i="6"/>
  <c r="C313" i="6" s="1"/>
  <c r="H313" i="6" s="1"/>
  <c r="I313" i="6"/>
  <c r="B314" i="6"/>
  <c r="C314" i="6" s="1"/>
  <c r="H314" i="6" s="1"/>
  <c r="I314" i="6"/>
  <c r="B315" i="6"/>
  <c r="C315" i="6" s="1"/>
  <c r="H315" i="6" s="1"/>
  <c r="I315" i="6"/>
  <c r="B316" i="6"/>
  <c r="C316" i="6" s="1"/>
  <c r="H316" i="6" s="1"/>
  <c r="I316" i="6"/>
  <c r="B317" i="6"/>
  <c r="C317" i="6" s="1"/>
  <c r="H317" i="6" s="1"/>
  <c r="I317" i="6"/>
  <c r="B318" i="6"/>
  <c r="C318" i="6" s="1"/>
  <c r="H318" i="6" s="1"/>
  <c r="I318" i="6"/>
  <c r="B322" i="6"/>
  <c r="C322" i="6" s="1"/>
  <c r="H322" i="6" s="1"/>
  <c r="B323" i="6"/>
  <c r="C323" i="6" s="1"/>
  <c r="H323" i="6" s="1"/>
  <c r="I323" i="6"/>
  <c r="B324" i="6"/>
  <c r="C324" i="6" s="1"/>
  <c r="H324" i="6" s="1"/>
  <c r="I324" i="6"/>
  <c r="B325" i="6"/>
  <c r="C325" i="6" s="1"/>
  <c r="H325" i="6" s="1"/>
  <c r="I325" i="6"/>
  <c r="B326" i="6"/>
  <c r="C326" i="6" s="1"/>
  <c r="H326" i="6" s="1"/>
  <c r="I326" i="6"/>
  <c r="B327" i="6"/>
  <c r="C327" i="6" s="1"/>
  <c r="H327" i="6" s="1"/>
  <c r="I327" i="6"/>
  <c r="B328" i="6"/>
  <c r="C328" i="6" s="1"/>
  <c r="H328" i="6" s="1"/>
  <c r="I328" i="6"/>
  <c r="B329" i="6"/>
  <c r="C329" i="6" s="1"/>
  <c r="H329" i="6" s="1"/>
  <c r="I329" i="6"/>
  <c r="B330" i="6"/>
  <c r="C330" i="6" s="1"/>
  <c r="H330" i="6" s="1"/>
  <c r="I330" i="6"/>
  <c r="B331" i="6"/>
  <c r="C331" i="6" s="1"/>
  <c r="H331" i="6" s="1"/>
  <c r="I331" i="6"/>
  <c r="AB43" i="15" l="1"/>
  <c r="AB44" i="15"/>
  <c r="AB45" i="15"/>
  <c r="AB46" i="15"/>
  <c r="AB47" i="15"/>
  <c r="AB48" i="15"/>
  <c r="AB49" i="15"/>
  <c r="AB50" i="15"/>
  <c r="AA21" i="15" a="1"/>
  <c r="AA21" i="15" s="1"/>
  <c r="AA29" i="15" s="1"/>
  <c r="U40" i="15"/>
  <c r="AD43" i="15"/>
  <c r="AE43" i="15" s="1" a="1"/>
  <c r="AE43" i="15" s="1"/>
  <c r="AC43" i="15"/>
  <c r="AD44" i="15"/>
  <c r="AE44" i="15" s="1" a="1"/>
  <c r="AE44" i="15" s="1"/>
  <c r="AC44" i="15"/>
  <c r="AD45" i="15"/>
  <c r="AE45" i="15" s="1" a="1"/>
  <c r="AE45" i="15" s="1"/>
  <c r="AC45" i="15"/>
  <c r="AD46" i="15"/>
  <c r="AE46" i="15" s="1" a="1"/>
  <c r="AE46" i="15" s="1"/>
  <c r="AC46" i="15"/>
  <c r="AD47" i="15"/>
  <c r="AE47" i="15" s="1" a="1"/>
  <c r="AE47" i="15" s="1"/>
  <c r="AC47" i="15"/>
  <c r="AD48" i="15"/>
  <c r="AE48" i="15" s="1" a="1"/>
  <c r="AE48" i="15" s="1"/>
  <c r="AC48" i="15"/>
  <c r="AD49" i="15"/>
  <c r="AE49" i="15" s="1" a="1"/>
  <c r="AE49" i="15" s="1"/>
  <c r="AC49" i="15"/>
  <c r="AD50" i="15"/>
  <c r="AE50" i="15" s="1" a="1"/>
  <c r="AE50" i="15" s="1"/>
  <c r="AC50" i="15"/>
  <c r="Z71" i="6"/>
  <c r="Z70" i="6"/>
  <c r="Z69" i="6"/>
  <c r="Z68" i="6"/>
  <c r="Z67" i="6"/>
  <c r="Z66" i="6"/>
  <c r="Z65" i="6"/>
  <c r="Z64" i="6"/>
  <c r="Z63" i="6"/>
  <c r="Z62" i="6"/>
  <c r="S71" i="6"/>
  <c r="S70" i="6"/>
  <c r="S69" i="6"/>
  <c r="S68" i="6"/>
  <c r="S67" i="6"/>
  <c r="S66" i="6"/>
  <c r="S65" i="6"/>
  <c r="S64" i="6"/>
  <c r="S63" i="6"/>
  <c r="S62" i="6"/>
  <c r="H71" i="6"/>
  <c r="I71" i="6"/>
  <c r="H70" i="6"/>
  <c r="I70" i="6"/>
  <c r="H69" i="6"/>
  <c r="I69" i="6"/>
  <c r="H68" i="6"/>
  <c r="I68" i="6"/>
  <c r="H67" i="6"/>
  <c r="I67" i="6"/>
  <c r="H66" i="6"/>
  <c r="I66" i="6"/>
  <c r="H65" i="6"/>
  <c r="I65" i="6"/>
  <c r="H64" i="6"/>
  <c r="I64" i="6"/>
  <c r="H63" i="6"/>
  <c r="I63" i="6"/>
  <c r="H62" i="6"/>
  <c r="I62" i="6"/>
  <c r="H58" i="6"/>
  <c r="I58" i="6"/>
  <c r="H57" i="6"/>
  <c r="I57" i="6"/>
  <c r="H56" i="6"/>
  <c r="I56" i="6"/>
  <c r="H55" i="6"/>
  <c r="I55" i="6"/>
  <c r="H54" i="6"/>
  <c r="I54" i="6"/>
  <c r="H53" i="6"/>
  <c r="I53" i="6"/>
  <c r="H52" i="6"/>
  <c r="I52" i="6"/>
  <c r="H51" i="6"/>
  <c r="I51" i="6"/>
  <c r="H50" i="6"/>
  <c r="I50" i="6"/>
  <c r="H49" i="6"/>
  <c r="I49" i="6"/>
  <c r="H45" i="6"/>
  <c r="I45" i="6"/>
  <c r="H44" i="6"/>
  <c r="I44" i="6"/>
  <c r="H43" i="6"/>
  <c r="I43" i="6"/>
  <c r="H42" i="6"/>
  <c r="I42" i="6"/>
  <c r="H41" i="6"/>
  <c r="I41" i="6"/>
  <c r="H40" i="6"/>
  <c r="I40" i="6"/>
  <c r="H39" i="6"/>
  <c r="I39" i="6"/>
  <c r="H38" i="6"/>
  <c r="I38" i="6"/>
  <c r="H37" i="6"/>
  <c r="I37" i="6"/>
  <c r="H36" i="6"/>
  <c r="I36" i="6"/>
  <c r="H32" i="6"/>
  <c r="I32" i="6"/>
  <c r="H31" i="6"/>
  <c r="I31" i="6"/>
  <c r="H30" i="6"/>
  <c r="I30" i="6"/>
  <c r="H29" i="6"/>
  <c r="I29" i="6"/>
  <c r="H28" i="6"/>
  <c r="I28" i="6"/>
  <c r="H27" i="6"/>
  <c r="I27" i="6"/>
  <c r="H26" i="6"/>
  <c r="I26" i="6"/>
  <c r="H25" i="6"/>
  <c r="I25" i="6"/>
  <c r="H24" i="6"/>
  <c r="I24" i="6"/>
  <c r="H23" i="6"/>
  <c r="I23" i="6"/>
  <c r="T71" i="6"/>
  <c r="U71" i="6"/>
  <c r="V71" i="6"/>
  <c r="W71" i="6"/>
  <c r="X71" i="6"/>
  <c r="Y71" i="6"/>
  <c r="N71" i="6"/>
  <c r="O71" i="6"/>
  <c r="P71" i="6"/>
  <c r="Q71" i="6"/>
  <c r="R71" i="6"/>
  <c r="M71" i="6"/>
  <c r="T70" i="6"/>
  <c r="U70" i="6"/>
  <c r="V70" i="6"/>
  <c r="W70" i="6"/>
  <c r="X70" i="6"/>
  <c r="Y70" i="6"/>
  <c r="N70" i="6"/>
  <c r="O70" i="6"/>
  <c r="P70" i="6"/>
  <c r="Q70" i="6"/>
  <c r="R70" i="6"/>
  <c r="M70" i="6"/>
  <c r="T69" i="6"/>
  <c r="U69" i="6"/>
  <c r="V69" i="6"/>
  <c r="W69" i="6"/>
  <c r="X69" i="6"/>
  <c r="Y69" i="6"/>
  <c r="N69" i="6"/>
  <c r="O69" i="6"/>
  <c r="P69" i="6"/>
  <c r="Q69" i="6"/>
  <c r="R69" i="6"/>
  <c r="M69" i="6"/>
  <c r="T68" i="6"/>
  <c r="U68" i="6"/>
  <c r="V68" i="6"/>
  <c r="W68" i="6"/>
  <c r="X68" i="6"/>
  <c r="Y68" i="6"/>
  <c r="N68" i="6"/>
  <c r="O68" i="6"/>
  <c r="P68" i="6"/>
  <c r="Q68" i="6"/>
  <c r="R68" i="6"/>
  <c r="M68" i="6"/>
  <c r="T67" i="6"/>
  <c r="U67" i="6"/>
  <c r="V67" i="6"/>
  <c r="W67" i="6"/>
  <c r="X67" i="6"/>
  <c r="Y67" i="6"/>
  <c r="N67" i="6"/>
  <c r="O67" i="6"/>
  <c r="P67" i="6"/>
  <c r="Q67" i="6"/>
  <c r="R67" i="6"/>
  <c r="M67" i="6"/>
  <c r="T66" i="6"/>
  <c r="U66" i="6"/>
  <c r="V66" i="6"/>
  <c r="W66" i="6"/>
  <c r="X66" i="6"/>
  <c r="Y66" i="6"/>
  <c r="N66" i="6"/>
  <c r="O66" i="6"/>
  <c r="P66" i="6"/>
  <c r="Q66" i="6"/>
  <c r="R66" i="6"/>
  <c r="M66" i="6"/>
  <c r="T65" i="6"/>
  <c r="U65" i="6"/>
  <c r="V65" i="6"/>
  <c r="W65" i="6"/>
  <c r="X65" i="6"/>
  <c r="Y65" i="6"/>
  <c r="N65" i="6"/>
  <c r="O65" i="6"/>
  <c r="P65" i="6"/>
  <c r="Q65" i="6"/>
  <c r="R65" i="6"/>
  <c r="M65" i="6"/>
  <c r="T64" i="6"/>
  <c r="U64" i="6"/>
  <c r="V64" i="6"/>
  <c r="W64" i="6"/>
  <c r="X64" i="6"/>
  <c r="Y64" i="6"/>
  <c r="N64" i="6"/>
  <c r="O64" i="6"/>
  <c r="P64" i="6"/>
  <c r="Q64" i="6"/>
  <c r="R64" i="6"/>
  <c r="M64" i="6"/>
  <c r="T63" i="6"/>
  <c r="U63" i="6"/>
  <c r="V63" i="6"/>
  <c r="W63" i="6"/>
  <c r="X63" i="6"/>
  <c r="Y63" i="6"/>
  <c r="N63" i="6"/>
  <c r="O63" i="6"/>
  <c r="P63" i="6"/>
  <c r="Q63" i="6"/>
  <c r="R63" i="6"/>
  <c r="M63" i="6"/>
  <c r="Y62" i="6"/>
  <c r="X62" i="6"/>
  <c r="W62" i="6"/>
  <c r="V62" i="6"/>
  <c r="T62" i="6"/>
  <c r="U62" i="6"/>
  <c r="R62" i="6"/>
  <c r="Q62" i="6"/>
  <c r="P62" i="6"/>
  <c r="O62" i="6"/>
  <c r="N62" i="6"/>
  <c r="M62" i="6"/>
  <c r="P45" i="6"/>
  <c r="O45" i="6"/>
  <c r="Q45" i="6" s="1"/>
  <c r="N45" i="6"/>
  <c r="P44" i="6"/>
  <c r="O44" i="6"/>
  <c r="Q44" i="6" s="1"/>
  <c r="N44" i="6"/>
  <c r="P43" i="6"/>
  <c r="O43" i="6"/>
  <c r="Q43" i="6" s="1"/>
  <c r="N43" i="6"/>
  <c r="P42" i="6"/>
  <c r="O42" i="6"/>
  <c r="Q42" i="6" s="1"/>
  <c r="N42" i="6"/>
  <c r="P41" i="6"/>
  <c r="O41" i="6"/>
  <c r="Q41" i="6" s="1"/>
  <c r="N41" i="6"/>
  <c r="P40" i="6"/>
  <c r="O40" i="6"/>
  <c r="Q40" i="6" s="1"/>
  <c r="N40" i="6"/>
  <c r="P39" i="6"/>
  <c r="O39" i="6"/>
  <c r="Q39" i="6" s="1"/>
  <c r="N39" i="6"/>
  <c r="P38" i="6"/>
  <c r="O38" i="6"/>
  <c r="Q38" i="6" s="1"/>
  <c r="N38" i="6"/>
  <c r="P37" i="6"/>
  <c r="O37" i="6"/>
  <c r="Q37" i="6" s="1"/>
  <c r="N37" i="6"/>
  <c r="P36" i="6"/>
  <c r="O36" i="6"/>
  <c r="Q36" i="6" s="1"/>
  <c r="N36" i="6"/>
  <c r="N19" i="6"/>
  <c r="O19" i="6"/>
  <c r="P19" i="6"/>
  <c r="Q19" i="6"/>
  <c r="R19" i="6"/>
  <c r="S19" i="6"/>
  <c r="U19" i="6"/>
  <c r="M19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U23" i="6"/>
  <c r="T23" i="6"/>
  <c r="S23" i="6"/>
  <c r="R23" i="6"/>
  <c r="O23" i="6"/>
  <c r="M23" i="6"/>
  <c r="U18" i="6"/>
  <c r="S18" i="6"/>
  <c r="R18" i="6"/>
  <c r="Q18" i="6"/>
  <c r="P18" i="6"/>
  <c r="O18" i="6"/>
  <c r="N18" i="6"/>
  <c r="M18" i="6"/>
  <c r="U17" i="6"/>
  <c r="S17" i="6"/>
  <c r="R17" i="6"/>
  <c r="Q17" i="6"/>
  <c r="P17" i="6"/>
  <c r="O17" i="6"/>
  <c r="N17" i="6"/>
  <c r="M17" i="6"/>
  <c r="U16" i="6"/>
  <c r="S16" i="6"/>
  <c r="R16" i="6"/>
  <c r="Q16" i="6"/>
  <c r="P16" i="6"/>
  <c r="O16" i="6"/>
  <c r="N16" i="6"/>
  <c r="M16" i="6"/>
  <c r="U15" i="6"/>
  <c r="S15" i="6"/>
  <c r="R15" i="6"/>
  <c r="Q15" i="6"/>
  <c r="P15" i="6"/>
  <c r="O15" i="6"/>
  <c r="N15" i="6"/>
  <c r="M15" i="6"/>
  <c r="U14" i="6"/>
  <c r="S14" i="6"/>
  <c r="R14" i="6"/>
  <c r="Q14" i="6"/>
  <c r="P14" i="6"/>
  <c r="O14" i="6"/>
  <c r="N14" i="6"/>
  <c r="M14" i="6"/>
  <c r="U13" i="6"/>
  <c r="S13" i="6"/>
  <c r="R13" i="6"/>
  <c r="Q13" i="6"/>
  <c r="P13" i="6"/>
  <c r="O13" i="6"/>
  <c r="N13" i="6"/>
  <c r="M13" i="6"/>
  <c r="U12" i="6"/>
  <c r="S12" i="6"/>
  <c r="R12" i="6"/>
  <c r="Q12" i="6"/>
  <c r="P12" i="6"/>
  <c r="O12" i="6"/>
  <c r="N12" i="6"/>
  <c r="M12" i="6"/>
  <c r="U11" i="6"/>
  <c r="S11" i="6"/>
  <c r="R11" i="6"/>
  <c r="Q11" i="6"/>
  <c r="P11" i="6"/>
  <c r="O11" i="6"/>
  <c r="N11" i="6"/>
  <c r="M11" i="6"/>
  <c r="U10" i="6"/>
  <c r="S10" i="6"/>
  <c r="R10" i="6"/>
  <c r="Q10" i="6"/>
  <c r="P10" i="6"/>
  <c r="O10" i="6"/>
  <c r="N10" i="6"/>
  <c r="V10" i="6" s="1"/>
  <c r="M10" i="6"/>
  <c r="L58" i="6"/>
  <c r="M58" i="6" s="1"/>
  <c r="L57" i="6"/>
  <c r="M57" i="6" s="1"/>
  <c r="L56" i="6"/>
  <c r="M56" i="6" s="1"/>
  <c r="L55" i="6"/>
  <c r="M55" i="6" s="1"/>
  <c r="L54" i="6"/>
  <c r="M54" i="6" s="1"/>
  <c r="L53" i="6"/>
  <c r="M53" i="6" s="1"/>
  <c r="L52" i="6"/>
  <c r="M52" i="6" s="1"/>
  <c r="L51" i="6"/>
  <c r="M51" i="6" s="1"/>
  <c r="L50" i="6"/>
  <c r="M50" i="6" s="1"/>
  <c r="L49" i="6"/>
  <c r="M49" i="6" s="1"/>
  <c r="W10" i="6" l="1"/>
  <c r="X10" i="6" s="1"/>
  <c r="Y10" i="6" a="1"/>
  <c r="Y10" i="6" s="1"/>
  <c r="AE51" i="15"/>
  <c r="AR40" i="15"/>
  <c r="T36" i="6"/>
  <c r="S36" i="6"/>
  <c r="U36" i="6" s="1" a="1"/>
  <c r="U36" i="6" s="1"/>
  <c r="R36" i="6"/>
  <c r="R37" i="6"/>
  <c r="S37" i="6"/>
  <c r="T37" i="6"/>
  <c r="R38" i="6"/>
  <c r="S38" i="6"/>
  <c r="T38" i="6"/>
  <c r="R39" i="6"/>
  <c r="S39" i="6"/>
  <c r="T39" i="6"/>
  <c r="R40" i="6"/>
  <c r="S40" i="6"/>
  <c r="T40" i="6"/>
  <c r="R41" i="6"/>
  <c r="S41" i="6"/>
  <c r="T41" i="6"/>
  <c r="R42" i="6"/>
  <c r="S42" i="6"/>
  <c r="T42" i="6"/>
  <c r="R43" i="6"/>
  <c r="S43" i="6"/>
  <c r="T43" i="6"/>
  <c r="R44" i="6"/>
  <c r="S44" i="6"/>
  <c r="T44" i="6"/>
  <c r="R45" i="6"/>
  <c r="S45" i="6"/>
  <c r="T45" i="6"/>
  <c r="AA49" i="6"/>
  <c r="Z49" i="6"/>
  <c r="Y49" i="6"/>
  <c r="X49" i="6"/>
  <c r="W49" i="6"/>
  <c r="V49" i="6"/>
  <c r="U49" i="6"/>
  <c r="T49" i="6"/>
  <c r="S49" i="6"/>
  <c r="R49" i="6"/>
  <c r="Q49" i="6"/>
  <c r="P49" i="6"/>
  <c r="AA50" i="6"/>
  <c r="Z50" i="6"/>
  <c r="Y50" i="6"/>
  <c r="X50" i="6"/>
  <c r="W50" i="6"/>
  <c r="V50" i="6"/>
  <c r="U50" i="6"/>
  <c r="T50" i="6"/>
  <c r="S50" i="6"/>
  <c r="R50" i="6"/>
  <c r="Q50" i="6"/>
  <c r="P50" i="6"/>
  <c r="AA51" i="6"/>
  <c r="Z51" i="6"/>
  <c r="Y51" i="6"/>
  <c r="X51" i="6"/>
  <c r="W51" i="6"/>
  <c r="V51" i="6"/>
  <c r="U51" i="6"/>
  <c r="T51" i="6"/>
  <c r="S51" i="6"/>
  <c r="R51" i="6"/>
  <c r="Q51" i="6"/>
  <c r="P51" i="6"/>
  <c r="AA52" i="6"/>
  <c r="Z52" i="6"/>
  <c r="Y52" i="6"/>
  <c r="X52" i="6"/>
  <c r="W52" i="6"/>
  <c r="V52" i="6"/>
  <c r="U52" i="6"/>
  <c r="T52" i="6"/>
  <c r="S52" i="6"/>
  <c r="R52" i="6"/>
  <c r="Q52" i="6"/>
  <c r="P52" i="6"/>
  <c r="AA53" i="6"/>
  <c r="Z53" i="6"/>
  <c r="Y53" i="6"/>
  <c r="X53" i="6"/>
  <c r="W53" i="6"/>
  <c r="V53" i="6"/>
  <c r="U53" i="6"/>
  <c r="T53" i="6"/>
  <c r="S53" i="6"/>
  <c r="R53" i="6"/>
  <c r="Q53" i="6"/>
  <c r="P53" i="6"/>
  <c r="AA54" i="6"/>
  <c r="Z54" i="6"/>
  <c r="Y54" i="6"/>
  <c r="X54" i="6"/>
  <c r="W54" i="6"/>
  <c r="V54" i="6"/>
  <c r="U54" i="6"/>
  <c r="T54" i="6"/>
  <c r="S54" i="6"/>
  <c r="R54" i="6"/>
  <c r="Q54" i="6"/>
  <c r="P54" i="6"/>
  <c r="AA55" i="6"/>
  <c r="Z55" i="6"/>
  <c r="Y55" i="6"/>
  <c r="X55" i="6"/>
  <c r="W55" i="6"/>
  <c r="V55" i="6"/>
  <c r="U55" i="6"/>
  <c r="T55" i="6"/>
  <c r="S55" i="6"/>
  <c r="R55" i="6"/>
  <c r="Q55" i="6"/>
  <c r="P55" i="6"/>
  <c r="AA56" i="6"/>
  <c r="Z56" i="6"/>
  <c r="Y56" i="6"/>
  <c r="X56" i="6"/>
  <c r="W56" i="6"/>
  <c r="V56" i="6"/>
  <c r="U56" i="6"/>
  <c r="T56" i="6"/>
  <c r="S56" i="6"/>
  <c r="R56" i="6"/>
  <c r="Q56" i="6"/>
  <c r="P56" i="6"/>
  <c r="AA57" i="6"/>
  <c r="Z57" i="6"/>
  <c r="Y57" i="6"/>
  <c r="X57" i="6"/>
  <c r="W57" i="6"/>
  <c r="V57" i="6"/>
  <c r="U57" i="6"/>
  <c r="T57" i="6"/>
  <c r="S57" i="6"/>
  <c r="R57" i="6"/>
  <c r="Q57" i="6"/>
  <c r="P57" i="6"/>
  <c r="AA58" i="6"/>
  <c r="Z58" i="6"/>
  <c r="Y58" i="6"/>
  <c r="X58" i="6"/>
  <c r="W58" i="6"/>
  <c r="V58" i="6"/>
  <c r="U58" i="6"/>
  <c r="T58" i="6"/>
  <c r="S58" i="6"/>
  <c r="R58" i="6"/>
  <c r="Q58" i="6"/>
  <c r="P58" i="6"/>
  <c r="O49" i="6"/>
  <c r="N49" i="6"/>
  <c r="AB49" i="6" s="1"/>
  <c r="O50" i="6"/>
  <c r="N50" i="6"/>
  <c r="AB50" i="6" s="1"/>
  <c r="O51" i="6"/>
  <c r="N51" i="6"/>
  <c r="AB51" i="6" s="1"/>
  <c r="O52" i="6"/>
  <c r="N52" i="6"/>
  <c r="AB52" i="6" s="1"/>
  <c r="O53" i="6"/>
  <c r="N53" i="6"/>
  <c r="AB53" i="6" s="1"/>
  <c r="O54" i="6"/>
  <c r="N54" i="6"/>
  <c r="AB54" i="6" s="1"/>
  <c r="O55" i="6"/>
  <c r="N55" i="6"/>
  <c r="AB55" i="6" s="1"/>
  <c r="O56" i="6"/>
  <c r="N56" i="6"/>
  <c r="AB56" i="6" s="1"/>
  <c r="O57" i="6"/>
  <c r="N57" i="6"/>
  <c r="AB57" i="6" s="1"/>
  <c r="O58" i="6"/>
  <c r="N58" i="6"/>
  <c r="AB58" i="6" s="1"/>
  <c r="W24" i="6"/>
  <c r="V11" i="6"/>
  <c r="V12" i="6"/>
  <c r="V13" i="6"/>
  <c r="V14" i="6"/>
  <c r="V15" i="6"/>
  <c r="V16" i="6"/>
  <c r="V17" i="6"/>
  <c r="V18" i="6"/>
  <c r="V19" i="6"/>
  <c r="W23" i="6"/>
  <c r="W25" i="6"/>
  <c r="W26" i="6"/>
  <c r="W27" i="6"/>
  <c r="W28" i="6"/>
  <c r="W29" i="6"/>
  <c r="W30" i="6"/>
  <c r="W31" i="6"/>
  <c r="W32" i="6"/>
  <c r="U45" i="6" l="1" a="1"/>
  <c r="U45" i="6" s="1"/>
  <c r="U44" i="6" a="1"/>
  <c r="U44" i="6" s="1"/>
  <c r="U43" i="6" a="1"/>
  <c r="U43" i="6" s="1"/>
  <c r="U42" i="6" a="1"/>
  <c r="U42" i="6" s="1"/>
  <c r="U41" i="6" a="1"/>
  <c r="U41" i="6" s="1"/>
  <c r="U40" i="6" a="1"/>
  <c r="U40" i="6" s="1"/>
  <c r="U39" i="6" a="1"/>
  <c r="U39" i="6" s="1"/>
  <c r="U38" i="6" a="1"/>
  <c r="U38" i="6" s="1"/>
  <c r="U37" i="6" a="1"/>
  <c r="U37" i="6" s="1"/>
  <c r="AD49" i="6"/>
  <c r="AE49" i="6" s="1" a="1"/>
  <c r="AE49" i="6" s="1"/>
  <c r="AC49" i="6"/>
  <c r="U46" i="6"/>
  <c r="Z32" i="6"/>
  <c r="AA32" i="6" s="1" a="1"/>
  <c r="AA32" i="6" s="1"/>
  <c r="Y32" i="6"/>
  <c r="X32" i="6"/>
  <c r="Z31" i="6"/>
  <c r="AA31" i="6" s="1" a="1"/>
  <c r="AA31" i="6" s="1"/>
  <c r="Y31" i="6"/>
  <c r="X31" i="6"/>
  <c r="Z30" i="6"/>
  <c r="AA30" i="6" s="1" a="1"/>
  <c r="AA30" i="6" s="1"/>
  <c r="Y30" i="6"/>
  <c r="X30" i="6"/>
  <c r="Z29" i="6"/>
  <c r="AA29" i="6" s="1" a="1"/>
  <c r="AA29" i="6" s="1"/>
  <c r="Y29" i="6"/>
  <c r="X29" i="6"/>
  <c r="Z28" i="6"/>
  <c r="AA28" i="6" s="1" a="1"/>
  <c r="AA28" i="6" s="1"/>
  <c r="Y28" i="6"/>
  <c r="X28" i="6"/>
  <c r="Z27" i="6"/>
  <c r="AA27" i="6" s="1" a="1"/>
  <c r="AA27" i="6" s="1"/>
  <c r="Y27" i="6"/>
  <c r="X27" i="6"/>
  <c r="Z26" i="6"/>
  <c r="AA26" i="6" s="1" a="1"/>
  <c r="AA26" i="6" s="1"/>
  <c r="Y26" i="6"/>
  <c r="X26" i="6"/>
  <c r="Z25" i="6"/>
  <c r="AA25" i="6" s="1" a="1"/>
  <c r="AA25" i="6" s="1"/>
  <c r="Y25" i="6"/>
  <c r="X25" i="6"/>
  <c r="Z23" i="6"/>
  <c r="AA23" i="6" s="1" a="1"/>
  <c r="AA23" i="6" s="1"/>
  <c r="Y23" i="6"/>
  <c r="X23" i="6"/>
  <c r="W18" i="6"/>
  <c r="X18" i="6" s="1"/>
  <c r="Y18" i="6" s="1" a="1"/>
  <c r="Y18" i="6" s="1"/>
  <c r="W17" i="6"/>
  <c r="X17" i="6" s="1"/>
  <c r="Y17" i="6" s="1" a="1"/>
  <c r="Y17" i="6" s="1"/>
  <c r="W16" i="6"/>
  <c r="X16" i="6" s="1"/>
  <c r="Y16" i="6" s="1" a="1"/>
  <c r="Y16" i="6" s="1"/>
  <c r="W15" i="6"/>
  <c r="X15" i="6" s="1"/>
  <c r="Y15" i="6" s="1" a="1"/>
  <c r="Y15" i="6" s="1"/>
  <c r="W14" i="6"/>
  <c r="X14" i="6" s="1"/>
  <c r="Y14" i="6" s="1" a="1"/>
  <c r="Y14" i="6" s="1"/>
  <c r="W13" i="6"/>
  <c r="X13" i="6" s="1"/>
  <c r="Y13" i="6" s="1" a="1"/>
  <c r="Y13" i="6" s="1"/>
  <c r="W12" i="6"/>
  <c r="X12" i="6" s="1"/>
  <c r="Y12" i="6" s="1" a="1"/>
  <c r="Y12" i="6" s="1"/>
  <c r="W11" i="6"/>
  <c r="X11" i="6" s="1"/>
  <c r="Y11" i="6" s="1" a="1"/>
  <c r="Y11" i="6" s="1"/>
  <c r="Z24" i="6"/>
  <c r="AA24" i="6" s="1" a="1"/>
  <c r="AA24" i="6" s="1"/>
  <c r="Y24" i="6"/>
  <c r="X24" i="6"/>
  <c r="W19" i="6"/>
  <c r="X19" i="6" s="1"/>
  <c r="Y19" i="6" s="1" a="1"/>
  <c r="Y19" i="6" s="1"/>
  <c r="AC50" i="6" l="1"/>
  <c r="AC51" i="6"/>
  <c r="AC52" i="6"/>
  <c r="AC53" i="6"/>
  <c r="AC54" i="6"/>
  <c r="AC55" i="6"/>
  <c r="AC56" i="6"/>
  <c r="AC57" i="6"/>
  <c r="AC58" i="6"/>
  <c r="AD50" i="6"/>
  <c r="AE50" i="6" s="1" a="1"/>
  <c r="AE50" i="6" s="1"/>
  <c r="AD51" i="6"/>
  <c r="AE51" i="6" s="1" a="1"/>
  <c r="AE51" i="6" s="1"/>
  <c r="AD52" i="6"/>
  <c r="AE52" i="6" s="1" a="1"/>
  <c r="AE52" i="6" s="1"/>
  <c r="AD53" i="6"/>
  <c r="AE53" i="6" s="1" a="1"/>
  <c r="AE53" i="6" s="1"/>
  <c r="AD54" i="6"/>
  <c r="AE54" i="6" s="1" a="1"/>
  <c r="AE54" i="6" s="1"/>
  <c r="AD55" i="6"/>
  <c r="AE55" i="6" s="1" a="1"/>
  <c r="AE55" i="6" s="1"/>
  <c r="AD56" i="6"/>
  <c r="AE56" i="6" s="1" a="1"/>
  <c r="AE56" i="6" s="1"/>
  <c r="AD57" i="6"/>
  <c r="AE57" i="6" s="1" a="1"/>
  <c r="AE57" i="6" s="1"/>
  <c r="AD58" i="6"/>
  <c r="AE58" i="6" s="1" a="1"/>
  <c r="AE58" i="6" s="1"/>
  <c r="AA33" i="6"/>
  <c r="AE59" i="6" l="1"/>
  <c r="Y20" i="6"/>
  <c r="AB63" i="6" l="1"/>
  <c r="AB64" i="6"/>
  <c r="AB65" i="6"/>
  <c r="AB66" i="6"/>
  <c r="AB67" i="6"/>
  <c r="AB68" i="6"/>
  <c r="AB69" i="6"/>
  <c r="AB70" i="6"/>
  <c r="AB71" i="6"/>
  <c r="AB62" i="6"/>
  <c r="AA63" i="6"/>
  <c r="AA64" i="6"/>
  <c r="AA65" i="6"/>
  <c r="AA66" i="6"/>
  <c r="AA67" i="6"/>
  <c r="AA68" i="6"/>
  <c r="AA69" i="6"/>
  <c r="AA70" i="6"/>
  <c r="AA71" i="6"/>
  <c r="AA62" i="6"/>
  <c r="AC71" i="6"/>
  <c r="AD71" i="6"/>
  <c r="AE71" i="6" s="1" a="1"/>
  <c r="AE71" i="6" s="1"/>
  <c r="AC70" i="6"/>
  <c r="AD70" i="6"/>
  <c r="AE70" i="6" s="1" a="1"/>
  <c r="AE70" i="6" s="1"/>
  <c r="AC69" i="6"/>
  <c r="AD69" i="6"/>
  <c r="AE69" i="6" s="1" a="1"/>
  <c r="AE69" i="6" s="1"/>
  <c r="AC68" i="6"/>
  <c r="AD68" i="6"/>
  <c r="AE68" i="6" s="1" a="1"/>
  <c r="AE68" i="6" s="1"/>
  <c r="AC67" i="6"/>
  <c r="AD67" i="6"/>
  <c r="AE67" i="6" s="1" a="1"/>
  <c r="AE67" i="6" s="1"/>
  <c r="AC66" i="6"/>
  <c r="AD66" i="6"/>
  <c r="AE66" i="6" s="1" a="1"/>
  <c r="AE66" i="6" s="1"/>
  <c r="AC65" i="6"/>
  <c r="AD65" i="6"/>
  <c r="AE65" i="6" s="1" a="1"/>
  <c r="AE65" i="6" s="1"/>
  <c r="AC64" i="6"/>
  <c r="AD64" i="6"/>
  <c r="AE64" i="6" s="1" a="1"/>
  <c r="AE64" i="6" s="1"/>
  <c r="AC63" i="6"/>
  <c r="AD63" i="6"/>
  <c r="AE63" i="6" s="1" a="1"/>
  <c r="AE63" i="6" s="1"/>
  <c r="AC62" i="6"/>
  <c r="AD62" i="6"/>
  <c r="AE62" i="6" s="1" a="1"/>
  <c r="AE62" i="6" s="1"/>
  <c r="AB61" i="15"/>
  <c r="AA61" i="15"/>
  <c r="AB60" i="15"/>
  <c r="AA60" i="15"/>
  <c r="AB59" i="15"/>
  <c r="AA59" i="15"/>
  <c r="AB58" i="15"/>
  <c r="AA58" i="15"/>
  <c r="AB57" i="15"/>
  <c r="AA57" i="15"/>
  <c r="AB56" i="15"/>
  <c r="AA56" i="15"/>
  <c r="AB55" i="15"/>
  <c r="AA55" i="15"/>
  <c r="AB54" i="15"/>
  <c r="AA54" i="15"/>
  <c r="AC61" i="15"/>
  <c r="AD61" i="15"/>
  <c r="AE61" i="15" s="1" a="1"/>
  <c r="AE61" i="15" s="1"/>
  <c r="AC60" i="15"/>
  <c r="AD60" i="15"/>
  <c r="AE60" i="15" s="1" a="1"/>
  <c r="AE60" i="15" s="1"/>
  <c r="AC59" i="15"/>
  <c r="AD59" i="15"/>
  <c r="AE59" i="15" s="1" a="1"/>
  <c r="AE59" i="15" s="1"/>
  <c r="AC58" i="15"/>
  <c r="AD58" i="15"/>
  <c r="AE58" i="15" s="1" a="1"/>
  <c r="AE58" i="15" s="1"/>
  <c r="AC57" i="15"/>
  <c r="AD57" i="15"/>
  <c r="AE57" i="15" s="1" a="1"/>
  <c r="AE57" i="15" s="1"/>
  <c r="AC56" i="15"/>
  <c r="AD56" i="15"/>
  <c r="AE56" i="15" s="1" a="1"/>
  <c r="AE56" i="15" s="1"/>
  <c r="AC55" i="15"/>
  <c r="AD55" i="15"/>
  <c r="AE55" i="15" s="1" a="1"/>
  <c r="AE55" i="15" s="1"/>
  <c r="AC54" i="15"/>
  <c r="AD54" i="15"/>
  <c r="AE54" i="15" l="1" a="1"/>
  <c r="AE54" i="15" s="1"/>
  <c r="AE62" i="15" s="1"/>
  <c r="I2" i="15" s="1"/>
  <c r="I3" i="15" s="1"/>
  <c r="C10" i="16" s="1"/>
  <c r="C11" i="16" s="1"/>
  <c r="AE72" i="6"/>
  <c r="I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<sst xmlns="http://schemas.openxmlformats.org/spreadsheetml/2006/main" count="1010" uniqueCount="212">
  <si>
    <t>Meetdatum</t>
  </si>
  <si>
    <t>Kalibratie 0</t>
  </si>
  <si>
    <t>Component</t>
  </si>
  <si>
    <t>Retentietijd (min)</t>
  </si>
  <si>
    <t>Terugvinding (%)</t>
  </si>
  <si>
    <t>Ratio (%)</t>
  </si>
  <si>
    <t>-</t>
  </si>
  <si>
    <t>Kalibratie 1</t>
  </si>
  <si>
    <t>Kalibratie 2</t>
  </si>
  <si>
    <t>Kalibratie 3</t>
  </si>
  <si>
    <t>Kalibratie 4</t>
  </si>
  <si>
    <t>Kalibratie 5</t>
  </si>
  <si>
    <t>Gem. Terugvinding (%)</t>
  </si>
  <si>
    <t>Leverancier</t>
  </si>
  <si>
    <r>
      <t>RSD</t>
    </r>
    <r>
      <rPr>
        <b/>
        <vertAlign val="subscript"/>
        <sz val="7"/>
        <color theme="1"/>
        <rFont val="Arial"/>
        <family val="2"/>
      </rPr>
      <t>r</t>
    </r>
  </si>
  <si>
    <t>Ratio</t>
  </si>
  <si>
    <t>Aantal metingen</t>
  </si>
  <si>
    <t xml:space="preserve">Aantal metingen </t>
  </si>
  <si>
    <r>
      <t>RSD</t>
    </r>
    <r>
      <rPr>
        <b/>
        <vertAlign val="subscript"/>
        <sz val="7"/>
        <color theme="1"/>
        <rFont val="Arial"/>
        <family val="2"/>
      </rPr>
      <t>r</t>
    </r>
    <r>
      <rPr>
        <b/>
        <sz val="7"/>
        <color theme="1"/>
        <rFont val="Arial"/>
        <family val="2"/>
      </rPr>
      <t xml:space="preserve"> (%) tov gem.</t>
    </r>
  </si>
  <si>
    <t>Ruwe resultaten</t>
  </si>
  <si>
    <t>Berekeningen en punten toekenning</t>
  </si>
  <si>
    <t>&gt;</t>
  </si>
  <si>
    <t>&lt;</t>
  </si>
  <si>
    <t>Totaal</t>
  </si>
  <si>
    <t>Punten per onderdeel</t>
  </si>
  <si>
    <t>Aantoonbaarheidsgrens</t>
  </si>
  <si>
    <t>min</t>
  </si>
  <si>
    <t>max</t>
  </si>
  <si>
    <t>eenheid</t>
  </si>
  <si>
    <t>%</t>
  </si>
  <si>
    <t>afwijking tov 100</t>
  </si>
  <si>
    <t>Punten (per component)</t>
  </si>
  <si>
    <t>punten</t>
  </si>
  <si>
    <t>TV (%) punten</t>
  </si>
  <si>
    <t>Max. aantal punten</t>
  </si>
  <si>
    <t>Totaal punten</t>
  </si>
  <si>
    <t>Meting</t>
  </si>
  <si>
    <t>type</t>
  </si>
  <si>
    <t>naam</t>
  </si>
  <si>
    <t>kal</t>
  </si>
  <si>
    <t>sample</t>
  </si>
  <si>
    <t>Injectie datum + tijd</t>
  </si>
  <si>
    <t>Gegevens sequence</t>
  </si>
  <si>
    <t>Injectie nummer</t>
  </si>
  <si>
    <t>Vergelijking kalibratielijn</t>
  </si>
  <si>
    <t>Precursor 2</t>
  </si>
  <si>
    <t>Precursor 1</t>
  </si>
  <si>
    <t>Quantitation overgang (area)</t>
  </si>
  <si>
    <t>Kwalification overgang (area)</t>
  </si>
  <si>
    <t>ja/nee</t>
  </si>
  <si>
    <t>Naam acquisitiemethode</t>
  </si>
  <si>
    <t>Type</t>
  </si>
  <si>
    <t>Merk analytische kolom</t>
  </si>
  <si>
    <t>Start tijd</t>
  </si>
  <si>
    <t>PCB 28</t>
  </si>
  <si>
    <t>44-DDD</t>
  </si>
  <si>
    <t>Antraceen</t>
  </si>
  <si>
    <t>Benzo(a)pyreen</t>
  </si>
  <si>
    <t>Benzo(ghi)peryleen</t>
  </si>
  <si>
    <t>Cis-chloordaan</t>
  </si>
  <si>
    <t>Endrin</t>
  </si>
  <si>
    <t>Hexachloorbutadieen</t>
  </si>
  <si>
    <t>Naftaleen</t>
  </si>
  <si>
    <t>Pentachloorbenzeen</t>
  </si>
  <si>
    <t>Temperatuurprogramma</t>
  </si>
  <si>
    <t xml:space="preserve">Aantoonbaarheidsgrens </t>
  </si>
  <si>
    <t>Hoge standaard</t>
  </si>
  <si>
    <t>Berekende concentratie (µg/L)</t>
  </si>
  <si>
    <t>Geaddeerde concentratie (µg/L)</t>
  </si>
  <si>
    <t>AG (µg/L) 9*RSDr</t>
  </si>
  <si>
    <t>Theoretische concentratie (µg/L)</t>
  </si>
  <si>
    <t>Gemiddelde (µg/L)</t>
  </si>
  <si>
    <t>CM 1</t>
  </si>
  <si>
    <t>CM 2</t>
  </si>
  <si>
    <t>RG 1</t>
  </si>
  <si>
    <t>RG 2</t>
  </si>
  <si>
    <t>RG 3</t>
  </si>
  <si>
    <t>RG 4</t>
  </si>
  <si>
    <t>RG 5</t>
  </si>
  <si>
    <t>RG 6</t>
  </si>
  <si>
    <t>RG 7</t>
  </si>
  <si>
    <t>RG 8</t>
  </si>
  <si>
    <t>Standaard Hoog</t>
  </si>
  <si>
    <t>Matrix waterbodem</t>
  </si>
  <si>
    <t>Concentratie waterbodem in µg/L (extract)</t>
  </si>
  <si>
    <t>Waterbodem extract (in hexaan)</t>
  </si>
  <si>
    <t xml:space="preserve">scheiding PCB28-PCB31 </t>
  </si>
  <si>
    <t xml:space="preserve">controlemonster 1 </t>
  </si>
  <si>
    <t xml:space="preserve">controlemonster 2 </t>
  </si>
  <si>
    <t xml:space="preserve">Methode gegevens </t>
  </si>
  <si>
    <t>Waterbodem</t>
  </si>
  <si>
    <t>Water</t>
  </si>
  <si>
    <t>spoel DCM</t>
  </si>
  <si>
    <t>Blanco hexaan</t>
  </si>
  <si>
    <t>Spoel hexaan</t>
  </si>
  <si>
    <t>µg/L</t>
  </si>
  <si>
    <t>Gemiddele BLM (µg/L)</t>
  </si>
  <si>
    <t>BLM 2</t>
  </si>
  <si>
    <t>BLM 1</t>
  </si>
  <si>
    <t>CheckSTD 3_1</t>
  </si>
  <si>
    <t>CheckSTD 3_2</t>
  </si>
  <si>
    <r>
      <t xml:space="preserve">Gemiddelde (µg/L) 
</t>
    </r>
    <r>
      <rPr>
        <b/>
        <sz val="5.5"/>
        <color theme="1"/>
        <rFont val="Arial"/>
        <family val="2"/>
      </rPr>
      <t>eerste 7 waarnemingen</t>
    </r>
  </si>
  <si>
    <t>pcb 31</t>
  </si>
  <si>
    <t>pcb 28</t>
  </si>
  <si>
    <t>Terugvinding en Herhaalbaarheid RG</t>
  </si>
  <si>
    <t>Terugvinding CM</t>
  </si>
  <si>
    <t>Lineairiteit kalibratielijn</t>
  </si>
  <si>
    <t>N.v.t.</t>
  </si>
  <si>
    <t xml:space="preserve"> </t>
  </si>
  <si>
    <t xml:space="preserve">  </t>
  </si>
  <si>
    <t>PCB 31</t>
  </si>
  <si>
    <t>n.v.t</t>
  </si>
  <si>
    <t>n.v.t.</t>
  </si>
  <si>
    <t>Temperatuur (ºC)</t>
  </si>
  <si>
    <t>Snijpunt</t>
  </si>
  <si>
    <t>Kalibratie 0
(area)</t>
  </si>
  <si>
    <t>Kalibratie 1
(area)</t>
  </si>
  <si>
    <t>Kalibratie 2
(area)</t>
  </si>
  <si>
    <t>Kalibratie 3
(area)</t>
  </si>
  <si>
    <t>Kalibratie 4
(area)</t>
  </si>
  <si>
    <t>Kalibratie 5
(area)</t>
  </si>
  <si>
    <t>Richtings-
coëfficiënt</t>
  </si>
  <si>
    <t>Standaard Hoog
(area)</t>
  </si>
  <si>
    <t>Water (in DCM)</t>
  </si>
  <si>
    <t>Gebruik voorkolom</t>
  </si>
  <si>
    <t>lengte  m</t>
  </si>
  <si>
    <t>diameter  mm</t>
  </si>
  <si>
    <t>Lengte  m</t>
  </si>
  <si>
    <t>Diameter mm</t>
  </si>
  <si>
    <t>Piekbreedte op basislijn (min)</t>
  </si>
  <si>
    <t>Scheiding PCB 28-31</t>
  </si>
  <si>
    <t>R =</t>
  </si>
  <si>
    <t>R dient minimaal 0,5 te zijn</t>
  </si>
  <si>
    <t>Scheiding PCB moet voldoen om een eindscore voor dit onderdeel te verkrijgen</t>
  </si>
  <si>
    <t>Concentraties van de RG, TV en hoge standaard worden na sluitingsdatum inschrijving vrijgegeven. 
Tot die tijd is de eindscore zonder die punten berekend</t>
  </si>
  <si>
    <t>Alachloor</t>
  </si>
  <si>
    <t>Atrazine</t>
  </si>
  <si>
    <t>Chloorpyrifos-ethyl</t>
  </si>
  <si>
    <t>Flutianil</t>
  </si>
  <si>
    <t>Penconazool</t>
  </si>
  <si>
    <t>Terbutylazine</t>
  </si>
  <si>
    <t>Spoel DCM</t>
  </si>
  <si>
    <t>Blanco DCM</t>
  </si>
  <si>
    <t xml:space="preserve">Concentratie OW in ng/L </t>
  </si>
  <si>
    <t>De concentraties in de tabel zijn de concentraties omgerekend naar een watermonster inclusief de gehele voorbewerking.</t>
  </si>
  <si>
    <t>De concentraties in het extract zijn 17,5 maal hoger.</t>
  </si>
  <si>
    <t>Ratio spreiding</t>
  </si>
  <si>
    <t>terugvinding hoge standaard</t>
  </si>
  <si>
    <t>ng/L</t>
  </si>
  <si>
    <t>Oppervlaktewater</t>
  </si>
  <si>
    <t>Matrix Oppervlaktewater (extract in DCM)</t>
  </si>
  <si>
    <t>Theoretische concentratie (ng/L)</t>
  </si>
  <si>
    <t>Berekende concentratie (ng/L)</t>
  </si>
  <si>
    <t>Geaddeerde concentratie (ng/L)</t>
  </si>
  <si>
    <t>AG (ng/L) 9*RSDr</t>
  </si>
  <si>
    <t>Gemiddele BLM (ng/L)</t>
  </si>
  <si>
    <t>Gemiddelde (ng/L)</t>
  </si>
  <si>
    <t>Gemiddelde (ng/L) 
eerste 7 waarnemingen</t>
  </si>
  <si>
    <t>controlemonster</t>
  </si>
  <si>
    <t>RG</t>
  </si>
  <si>
    <t>Kal 0</t>
  </si>
  <si>
    <t>Kal 1</t>
  </si>
  <si>
    <t>Kal 2</t>
  </si>
  <si>
    <t>Kal 3</t>
  </si>
  <si>
    <t>Kal 4</t>
  </si>
  <si>
    <t>Kal 5</t>
  </si>
  <si>
    <t>BLM</t>
  </si>
  <si>
    <t xml:space="preserve">Kalibratie 0  </t>
  </si>
  <si>
    <t>Scheiding PCB28-31</t>
  </si>
  <si>
    <t>blanco hexaan</t>
  </si>
  <si>
    <t>Check standaard 3 1</t>
  </si>
  <si>
    <t>Check standaard 3 2</t>
  </si>
  <si>
    <t>blanco DCM</t>
  </si>
  <si>
    <t>Controlemonster 1</t>
  </si>
  <si>
    <t>Controlemonster 2</t>
  </si>
  <si>
    <t>Gemiddelde terugvinding AG</t>
  </si>
  <si>
    <t>Eindscore OW</t>
  </si>
  <si>
    <t>Eindscore WB</t>
  </si>
  <si>
    <t>Aantoonbaarheidsgrens PCB,OCB</t>
  </si>
  <si>
    <t>Aantoonbaarheidsgrens PAK</t>
  </si>
  <si>
    <t>Theoretische conc. (ng/L)
Kalibratie 0</t>
  </si>
  <si>
    <t>Theoretische conc. (ng/L)
Kalibratie 1</t>
  </si>
  <si>
    <t>Theoretische conc. (ng/L)
Kalibratie 2</t>
  </si>
  <si>
    <t>Theoretische conc. (ng/L)
Kalibratie 3</t>
  </si>
  <si>
    <t>Theoretische conc. (ng/L)
Kalibratie 4</t>
  </si>
  <si>
    <t>Theoretische conc. (ng/L)
Kalibratie 5</t>
  </si>
  <si>
    <t>Theoretische conc. (ng/L) 
Standaard Hoog</t>
  </si>
  <si>
    <t>Concentratie standaard hoog (ng/L)
(berekend met lineaire lijn)</t>
  </si>
  <si>
    <t>Terugvinding Hoge standaard (%)
(berekend met lineaire lijn)</t>
  </si>
  <si>
    <t>Theoretische conc. (µg/L)
Kalibratie 0</t>
  </si>
  <si>
    <t>Theoretische conc. (µg/L)
Kalibratie 1</t>
  </si>
  <si>
    <t>Theoretische conc. (µg/L)
Kalibratie 2</t>
  </si>
  <si>
    <t>Theoretische conc. (µg/L)
Kalibratie 3</t>
  </si>
  <si>
    <t>Theoretische conc. (µg/L)
Kalibratie 4</t>
  </si>
  <si>
    <t>Theoretische conc. (µg/L)
Kalibratie 5</t>
  </si>
  <si>
    <t>Theoretische conc. (µg/L) 
Standaard Hoog</t>
  </si>
  <si>
    <t>Concentratie standaard hoog (µg/L)
(berekend met lineaire lijn)</t>
  </si>
  <si>
    <t>Score Waterbodem</t>
  </si>
  <si>
    <t>Als de RSDr groter is dan 15%, dan worden er geen punten gegeven voor deze component.</t>
  </si>
  <si>
    <t>Als de RSDr groter is dan 10%, dan worden er geen punten gegeven voor deze component.</t>
  </si>
  <si>
    <t>Fragment 1</t>
  </si>
  <si>
    <t>Fragment 2</t>
  </si>
  <si>
    <t>Concentraties</t>
  </si>
  <si>
    <t>Onderdeel</t>
  </si>
  <si>
    <t>Score</t>
  </si>
  <si>
    <t>SCORE APPLICATIETEST</t>
  </si>
  <si>
    <t>Score Oppervlaktewater</t>
  </si>
  <si>
    <t>Fosalon</t>
  </si>
  <si>
    <t>Pyrimethanil</t>
  </si>
  <si>
    <t>Filmdikte µm</t>
  </si>
  <si>
    <t>Snelheid  (ºC/min)</t>
  </si>
  <si>
    <r>
      <t>Correlatie kalibratielijn (R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</si>
</sst>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h:mm;@"/>
    <numFmt numFmtId="166" formatCode="0.000"/>
    <numFmt numFmtId="167" formatCode="0.0000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7"/>
      <color theme="1"/>
      <name val="Arial"/>
      <family val="2"/>
    </font>
    <font>
      <b/>
      <vertAlign val="subscript"/>
      <sz val="7"/>
      <color theme="1"/>
      <name val="Arial"/>
      <family val="2"/>
    </font>
    <font>
      <sz val="18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25"/>
      <color theme="1"/>
      <name val="Arial"/>
      <family val="2"/>
    </font>
    <font>
      <sz val="16"/>
      <color rgb="FFFF0000"/>
      <name val="Arial"/>
      <family val="2"/>
    </font>
    <font>
      <b/>
      <sz val="5.5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45">
    <xf numFmtId="0" fontId="0" fillId="0" borderId="0" xfId="0"/>
    <xf numFmtId="0" fontId="0" fillId="3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/>
    </xf>
    <xf numFmtId="0" fontId="2" fillId="4" borderId="0" xfId="0" applyFont="1" applyFill="1"/>
    <xf numFmtId="0" fontId="0" fillId="4" borderId="5" xfId="0" applyFill="1" applyBorder="1"/>
    <xf numFmtId="0" fontId="1" fillId="4" borderId="0" xfId="0" applyFont="1" applyFill="1"/>
    <xf numFmtId="0" fontId="0" fillId="4" borderId="0" xfId="0" applyFill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4" fontId="0" fillId="4" borderId="5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0" fontId="1" fillId="2" borderId="5" xfId="0" applyFont="1" applyFill="1" applyBorder="1"/>
    <xf numFmtId="1" fontId="0" fillId="4" borderId="5" xfId="0" applyNumberForma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/>
    <xf numFmtId="1" fontId="0" fillId="4" borderId="0" xfId="0" applyNumberFormat="1" applyFill="1" applyAlignment="1">
      <alignment horizontal="right"/>
    </xf>
    <xf numFmtId="164" fontId="0" fillId="4" borderId="1" xfId="0" applyNumberFormat="1" applyFill="1" applyBorder="1" applyAlignment="1">
      <alignment horizontal="center" vertical="center"/>
    </xf>
    <xf numFmtId="164" fontId="0" fillId="4" borderId="0" xfId="0" applyNumberFormat="1" applyFill="1"/>
    <xf numFmtId="164" fontId="3" fillId="2" borderId="8" xfId="0" applyNumberFormat="1" applyFont="1" applyFill="1" applyBorder="1" applyAlignment="1">
      <alignment horizontal="center" vertical="center" wrapText="1"/>
    </xf>
    <xf numFmtId="164" fontId="0" fillId="3" borderId="5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0" fillId="2" borderId="12" xfId="0" applyFill="1" applyBorder="1"/>
    <xf numFmtId="0" fontId="0" fillId="4" borderId="12" xfId="0" applyFill="1" applyBorder="1" applyAlignment="1">
      <alignment horizontal="center" vertical="center"/>
    </xf>
    <xf numFmtId="0" fontId="0" fillId="4" borderId="12" xfId="0" applyFill="1" applyBorder="1"/>
    <xf numFmtId="0" fontId="0" fillId="4" borderId="5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3" xfId="0" applyFill="1" applyBorder="1"/>
    <xf numFmtId="0" fontId="0" fillId="4" borderId="13" xfId="0" applyFill="1" applyBorder="1" applyAlignment="1">
      <alignment horizontal="center" vertical="center"/>
    </xf>
    <xf numFmtId="0" fontId="1" fillId="2" borderId="13" xfId="0" applyFont="1" applyFill="1" applyBorder="1"/>
    <xf numFmtId="0" fontId="7" fillId="4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5" fillId="2" borderId="14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 vertical="center"/>
    </xf>
    <xf numFmtId="0" fontId="0" fillId="4" borderId="11" xfId="0" applyFill="1" applyBorder="1"/>
    <xf numFmtId="0" fontId="7" fillId="4" borderId="11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7" fillId="4" borderId="11" xfId="0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0" fillId="4" borderId="0" xfId="0" applyNumberFormat="1" applyFill="1" applyAlignment="1">
      <alignment horizontal="center"/>
    </xf>
    <xf numFmtId="164" fontId="0" fillId="4" borderId="11" xfId="0" applyNumberForma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>
      <alignment horizontal="center"/>
    </xf>
    <xf numFmtId="165" fontId="0" fillId="3" borderId="1" xfId="0" applyNumberFormat="1" applyFill="1" applyBorder="1" applyProtection="1">
      <protection locked="0"/>
    </xf>
    <xf numFmtId="0" fontId="7" fillId="4" borderId="0" xfId="0" applyFont="1" applyFill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vertical="center"/>
    </xf>
    <xf numFmtId="0" fontId="0" fillId="4" borderId="0" xfId="0" applyFont="1" applyFill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1" fillId="2" borderId="17" xfId="0" applyFont="1" applyFill="1" applyBorder="1"/>
    <xf numFmtId="164" fontId="0" fillId="3" borderId="20" xfId="0" applyNumberFormat="1" applyFill="1" applyBorder="1" applyAlignment="1" applyProtection="1">
      <alignment horizontal="center" vertical="center"/>
      <protection locked="0"/>
    </xf>
    <xf numFmtId="1" fontId="0" fillId="3" borderId="20" xfId="0" applyNumberFormat="1" applyFill="1" applyBorder="1" applyAlignment="1" applyProtection="1">
      <alignment horizontal="center" vertical="center"/>
      <protection locked="0"/>
    </xf>
    <xf numFmtId="164" fontId="0" fillId="3" borderId="19" xfId="0" applyNumberForma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>
      <alignment vertical="center"/>
    </xf>
    <xf numFmtId="0" fontId="8" fillId="4" borderId="0" xfId="0" applyFont="1" applyFill="1"/>
    <xf numFmtId="0" fontId="1" fillId="2" borderId="1" xfId="0" applyFont="1" applyFill="1" applyBorder="1" applyAlignment="1">
      <alignment vertical="center"/>
    </xf>
    <xf numFmtId="0" fontId="3" fillId="2" borderId="8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166" fontId="0" fillId="4" borderId="1" xfId="0" applyNumberFormat="1" applyFill="1" applyBorder="1" applyAlignment="1">
      <alignment horizontal="center" vertical="center"/>
    </xf>
    <xf numFmtId="166" fontId="0" fillId="4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167" fontId="0" fillId="4" borderId="1" xfId="0" applyNumberFormat="1" applyFon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 vertical="center"/>
    </xf>
    <xf numFmtId="0" fontId="0" fillId="4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center"/>
    </xf>
    <xf numFmtId="0" fontId="3" fillId="2" borderId="1" xfId="0" applyFont="1" applyFill="1" applyBorder="1"/>
    <xf numFmtId="10" fontId="0" fillId="4" borderId="0" xfId="0" applyNumberFormat="1" applyFill="1"/>
    <xf numFmtId="10" fontId="3" fillId="2" borderId="9" xfId="0" applyNumberFormat="1" applyFont="1" applyFill="1" applyBorder="1" applyAlignment="1">
      <alignment horizontal="center" vertical="center" wrapText="1"/>
    </xf>
    <xf numFmtId="10" fontId="0" fillId="4" borderId="6" xfId="0" applyNumberFormat="1" applyFill="1" applyBorder="1" applyAlignment="1">
      <alignment horizontal="center" vertical="center"/>
    </xf>
    <xf numFmtId="10" fontId="0" fillId="4" borderId="2" xfId="0" applyNumberFormat="1" applyFill="1" applyBorder="1" applyAlignment="1">
      <alignment horizontal="center" vertical="center"/>
    </xf>
    <xf numFmtId="10" fontId="0" fillId="4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10" fontId="0" fillId="4" borderId="16" xfId="0" applyNumberFormat="1" applyFill="1" applyBorder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67" fontId="0" fillId="3" borderId="5" xfId="0" applyNumberFormat="1" applyFill="1" applyBorder="1" applyAlignment="1" applyProtection="1">
      <alignment horizontal="center" vertical="center"/>
      <protection locked="0"/>
    </xf>
    <xf numFmtId="167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5" xfId="0" quotePrefix="1" applyNumberFormat="1" applyFill="1" applyBorder="1" applyAlignment="1" applyProtection="1">
      <alignment horizontal="center" vertical="center"/>
      <protection locked="0"/>
    </xf>
    <xf numFmtId="9" fontId="0" fillId="4" borderId="0" xfId="0" applyNumberFormat="1" applyFill="1"/>
    <xf numFmtId="9" fontId="3" fillId="2" borderId="9" xfId="0" applyNumberFormat="1" applyFont="1" applyFill="1" applyBorder="1" applyAlignment="1">
      <alignment horizontal="center" vertical="center" wrapText="1"/>
    </xf>
    <xf numFmtId="9" fontId="0" fillId="4" borderId="6" xfId="0" applyNumberFormat="1" applyFill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 vertical="center"/>
    </xf>
    <xf numFmtId="9" fontId="0" fillId="4" borderId="0" xfId="0" applyNumberFormat="1" applyFill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167" fontId="0" fillId="3" borderId="1" xfId="0" applyNumberFormat="1" applyFont="1" applyFill="1" applyBorder="1" applyAlignment="1" applyProtection="1">
      <alignment horizontal="center" vertical="center"/>
      <protection locked="0"/>
    </xf>
    <xf numFmtId="166" fontId="0" fillId="3" borderId="1" xfId="0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0" xfId="0" applyNumberFormat="1" applyFill="1"/>
    <xf numFmtId="0" fontId="15" fillId="4" borderId="0" xfId="0" applyFont="1" applyFill="1" applyAlignment="1">
      <alignment vertical="top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/>
    <xf numFmtId="2" fontId="2" fillId="4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2" fillId="4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2" fontId="16" fillId="4" borderId="1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0" fillId="4" borderId="18" xfId="0" applyFill="1" applyBorder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21" xfId="0" quotePrefix="1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</cellXfs>
  <cellStyles count="2">
    <cellStyle name="Standaard" xfId="0" builtinId="0"/>
    <cellStyle name="Standaard 2 2" xfId="1" xr:uid="{EF321FCB-9236-4280-8676-6DFFB112227B}"/>
  </cellStyles>
  <dxfs count="5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numFmt numFmtId="0" formatCode="General"/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4" formatCode="0.00%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B5E6A2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3</xdr:col>
      <xdr:colOff>418540</xdr:colOff>
      <xdr:row>5</xdr:row>
      <xdr:rowOff>113807</xdr:rowOff>
    </xdr:to>
    <xdr:pic>
      <xdr:nvPicPr>
        <xdr:cNvPr id="4" name="Afbeelding 3" descr="logo">
          <a:extLst>
            <a:ext uri="{FF2B5EF4-FFF2-40B4-BE49-F238E27FC236}">
              <a16:creationId xmlns:a16="http://schemas.microsoft.com/office/drawing/2014/main" id="{680F1CBB-AC36-457B-9A4E-DDFE064F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2152090" cy="84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51954</xdr:colOff>
      <xdr:row>0</xdr:row>
      <xdr:rowOff>60614</xdr:rowOff>
    </xdr:from>
    <xdr:to>
      <xdr:col>2</xdr:col>
      <xdr:colOff>576135</xdr:colOff>
      <xdr:row>4</xdr:row>
      <xdr:rowOff>41937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F28699B6-9117-4DE4-B270-E7FDA1C7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4" y="60614"/>
          <a:ext cx="2152090" cy="84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3</xdr:col>
      <xdr:colOff>399490</xdr:colOff>
      <xdr:row>5</xdr:row>
      <xdr:rowOff>113807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CF067054-F6D9-4F4B-91BA-9F79A40E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2152090" cy="84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77932</xdr:colOff>
      <xdr:row>0</xdr:row>
      <xdr:rowOff>51954</xdr:rowOff>
    </xdr:from>
    <xdr:to>
      <xdr:col>2</xdr:col>
      <xdr:colOff>602113</xdr:colOff>
      <xdr:row>4</xdr:row>
      <xdr:rowOff>33277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4184218B-698E-441A-AE07-8D33B0AA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51954"/>
          <a:ext cx="2152090" cy="84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1</xdr:col>
      <xdr:colOff>1676706</xdr:colOff>
      <xdr:row>5</xdr:row>
      <xdr:rowOff>86098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598A840B-035C-4397-8857-6FB56C91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2152956" cy="829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108238</xdr:colOff>
      <xdr:row>0</xdr:row>
      <xdr:rowOff>63211</xdr:rowOff>
    </xdr:from>
    <xdr:to>
      <xdr:col>2</xdr:col>
      <xdr:colOff>260078</xdr:colOff>
      <xdr:row>4</xdr:row>
      <xdr:rowOff>122466</xdr:rowOff>
    </xdr:to>
    <xdr:pic>
      <xdr:nvPicPr>
        <xdr:cNvPr id="4" name="Afbeelding 3" descr="logo">
          <a:extLst>
            <a:ext uri="{FF2B5EF4-FFF2-40B4-BE49-F238E27FC236}">
              <a16:creationId xmlns:a16="http://schemas.microsoft.com/office/drawing/2014/main" id="{A3949F64-6FF2-4374-8BBF-6952223A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38" y="63211"/>
          <a:ext cx="2152090" cy="840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1628215</xdr:colOff>
      <xdr:row>5</xdr:row>
      <xdr:rowOff>94757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B045BA1D-9343-471F-BE10-BEE62B91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152090" cy="84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1026B21-637F-4091-9B21-B36ADBC4AEEF}" name="WB_Kalibratie0" displayName="WB_Kalibratie0" ref="B9:I19" totalsRowShown="0" headerRowDxfId="591" dataDxfId="589" headerRowBorderDxfId="590" tableBorderDxfId="588" totalsRowBorderDxfId="587">
  <autoFilter ref="B9:I19" xr:uid="{DBBB033C-1534-4D3D-878C-0813AF80BE7B}"/>
  <tableColumns count="8">
    <tableColumn id="1" xr3:uid="{41BE15BB-AD85-458F-A97B-A28ED6ACAA84}" name="Component" dataDxfId="586">
      <calculatedColumnFormula>'Sequence + methode WB'!I10</calculatedColumnFormula>
    </tableColumn>
    <tableColumn id="2" xr3:uid="{A77D2275-A459-42A6-BD64-51F22C18E0C7}" name="Theoretische concentratie (µg/L)" dataDxfId="585">
      <calculatedColumnFormula>IF(VLOOKUP(WB_Kalibratie0[[#This Row],[Component]],Concentraties!$B$8:$L$17,2,FALSE)="","",VLOOKUP(WB_Kalibratie0[[#This Row],[Component]],Concentraties!$B$8:$L$17,2,FALSE))</calculatedColumnFormula>
    </tableColumn>
    <tableColumn id="3" xr3:uid="{215326BB-755D-42A3-8F77-E6EB46B554E0}" name="Retentietijd (min)" dataDxfId="584"/>
    <tableColumn id="5" xr3:uid="{6903866B-B85D-461D-8551-420FFF36B2DF}" name="Quantitation overgang (area)" dataDxfId="583"/>
    <tableColumn id="7" xr3:uid="{3B15E04C-9FCA-4501-9D43-FB7F551936DE}" name="Kwalification overgang (area)" dataDxfId="582"/>
    <tableColumn id="8" xr3:uid="{ED638002-7E16-438F-92CB-9AF85A0494EB}" name="Berekende concentratie (µg/L)" dataDxfId="581"/>
    <tableColumn id="9" xr3:uid="{4D60C53B-C02B-415C-91F7-5858206FF0B0}" name="Terugvinding (%)" dataDxfId="580">
      <calculatedColumnFormula>IFERROR(IF(C10="-","N.v.t.",IF(G10="","",100*G10/C10)),"")</calculatedColumnFormula>
    </tableColumn>
    <tableColumn id="10" xr3:uid="{1F329DE8-F3A3-4896-AC33-0D298075F4B2}" name="Ratio (%)" dataDxfId="579">
      <calculatedColumnFormula>IFERROR(MIN(E10,F10)/MAX(E10,F10),"")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99191189-20AA-4AA4-BC2C-78B6C804556B}" name="WB_BLM_1" displayName="WB_BLM_1" ref="B126:I136" totalsRowShown="0" headerRowDxfId="481" headerRowBorderDxfId="480" tableBorderDxfId="479" totalsRowBorderDxfId="478">
  <autoFilter ref="B126:I136" xr:uid="{D5B71C82-C0BA-41FB-BE55-D53B8D64ABF0}"/>
  <tableColumns count="8">
    <tableColumn id="1" xr3:uid="{D2BD60FF-CF66-43B1-B9E4-0830EBAB8D56}" name="Component" dataDxfId="477"/>
    <tableColumn id="2" xr3:uid="{577D8C91-0897-4EAE-84F7-D666A4B692A9}" name="Theoretische concentratie (µg/L)" dataDxfId="476">
      <calculatedColumnFormula>VLOOKUP(WB_BLM_1[[#This Row],[Component]],Concentraties!$B$8:$L$17,2,FALSE)</calculatedColumnFormula>
    </tableColumn>
    <tableColumn id="3" xr3:uid="{E63CB56E-24CF-4CE3-A9F4-532919D26047}" name="Retentietijd (min)" dataDxfId="475"/>
    <tableColumn id="5" xr3:uid="{E12A2A44-94C8-4FB3-BF3B-196CD3BB2484}" name="Quantitation overgang (area)" dataDxfId="474"/>
    <tableColumn id="7" xr3:uid="{CC3ADFD1-2A6D-4802-A517-35F408FF33A4}" name="Kwalification overgang (area)" dataDxfId="473"/>
    <tableColumn id="8" xr3:uid="{B4A0BBFA-FF29-4042-8C70-BA8CCF622018}" name="Berekende concentratie (µg/L)" dataDxfId="472"/>
    <tableColumn id="9" xr3:uid="{D4AFBC11-1036-458A-828B-A84A7E00CF4A}" name="Terugvinding (%)" dataDxfId="471">
      <calculatedColumnFormula>IFERROR(IF(C127="-","N.v.t.",IF(G127="","",100*G127/C127)),"")</calculatedColumnFormula>
    </tableColumn>
    <tableColumn id="10" xr3:uid="{4964D611-74DC-48E2-99B3-CEA65D8FA8E4}" name="Ratio (%)" dataDxfId="470">
      <calculatedColumnFormula>IFERROR(MIN(E127,F127)/MAX(E127,F127),"")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2EF0B461-3F65-418E-ABCF-82B053A24E19}" name="WB_CM_1" displayName="WB_CM_1" ref="B139:I149" totalsRowShown="0" headerRowDxfId="469" headerRowBorderDxfId="468" tableBorderDxfId="467" totalsRowBorderDxfId="466">
  <autoFilter ref="B139:I149" xr:uid="{9F4AD14F-D5FD-42A4-8F4A-A8AC84A03856}"/>
  <tableColumns count="8">
    <tableColumn id="1" xr3:uid="{856C0AB7-A69B-452A-8960-2B1E9E1A5376}" name="Component" dataDxfId="465"/>
    <tableColumn id="2" xr3:uid="{EE0F7C20-F73E-446A-8EB5-46DB8D2E8ED5}" name="Theoretische concentratie (µg/L)" dataDxfId="464">
      <calculatedColumnFormula>VLOOKUP(WB_CM_1[[#This Row],[Component]],Concentraties!$B$8:$L$17,8,FALSE)</calculatedColumnFormula>
    </tableColumn>
    <tableColumn id="3" xr3:uid="{D9A13509-082A-4930-8BC0-73AC5332DED5}" name="Retentietijd (min)" dataDxfId="463"/>
    <tableColumn id="5" xr3:uid="{96DCA587-B904-4FA1-B73F-85C82BB5BDA3}" name="Quantitation overgang (area)" dataDxfId="462"/>
    <tableColumn id="7" xr3:uid="{DAFAFED5-54ED-40B5-A751-13865C033BBD}" name="Kwalification overgang (area)" dataDxfId="461"/>
    <tableColumn id="8" xr3:uid="{D3C93914-B125-4FC6-B198-59B47E3541CF}" name="Berekende concentratie (µg/L)" dataDxfId="460"/>
    <tableColumn id="9" xr3:uid="{9177DC2F-D0F3-4D84-B5C3-DBA67154B82A}" name="Terugvinding (%)" dataDxfId="459">
      <calculatedColumnFormula>IFERROR(IF(C140="-","N.v.t.",IF(G140="","",100*G140/C140)),"")</calculatedColumnFormula>
    </tableColumn>
    <tableColumn id="10" xr3:uid="{B88154F7-8530-4D4C-B329-2E2D38F06A06}" name="Ratio (%)" dataDxfId="458">
      <calculatedColumnFormula>IFERROR(MIN(E140,F140)/MAX(E140,F140),"")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6B89DA8-28D2-479B-ADCE-D2B4DEA9BE63}" name="WB_CM_2" displayName="WB_CM_2" ref="B152:I162" totalsRowShown="0" headerRowDxfId="457" headerRowBorderDxfId="456" tableBorderDxfId="455" totalsRowBorderDxfId="454">
  <autoFilter ref="B152:I162" xr:uid="{7A17437B-D769-4DE6-BE6F-28EF957D947E}"/>
  <sortState xmlns:xlrd2="http://schemas.microsoft.com/office/spreadsheetml/2017/richdata2" ref="B153:I162">
    <sortCondition descending="1" ref="G152:G162"/>
  </sortState>
  <tableColumns count="8">
    <tableColumn id="1" xr3:uid="{301334DD-A923-47CB-BEEF-9583C0C64D38}" name="Component" dataDxfId="453"/>
    <tableColumn id="2" xr3:uid="{85E730C0-A0EE-4BAF-A9F6-4E73BC467C23}" name="Theoretische concentratie (µg/L)" dataDxfId="452">
      <calculatedColumnFormula>VLOOKUP(WB_CM_2[[#This Row],[Component]],Concentraties!$B$8:$L$17,8,FALSE)</calculatedColumnFormula>
    </tableColumn>
    <tableColumn id="3" xr3:uid="{F1E89B7C-303A-49DC-A5CF-17E6E2575D1C}" name="Retentietijd (min)" dataDxfId="451"/>
    <tableColumn id="5" xr3:uid="{2C835174-F201-40C5-9E87-408CDBAB0640}" name="Quantitation overgang (area)" dataDxfId="450"/>
    <tableColumn id="7" xr3:uid="{7090EF12-05F6-4120-8C02-0FCDE1587473}" name="Kwalification overgang (area)" dataDxfId="449"/>
    <tableColumn id="8" xr3:uid="{F4AF8601-B3A4-4510-B9EE-5D0A09374EF9}" name="Berekende concentratie (µg/L)" dataDxfId="448"/>
    <tableColumn id="9" xr3:uid="{9FF631EE-A8E3-44E5-A6B4-E51BC4220490}" name="Terugvinding (%)" dataDxfId="447">
      <calculatedColumnFormula>IFERROR(IF(C153="-","N.v.t.",IF(G153="","",100*G153/C153)),"")</calculatedColumnFormula>
    </tableColumn>
    <tableColumn id="10" xr3:uid="{321D3FEC-662C-4494-936D-0A2500D00306}" name="Ratio (%)" dataDxfId="446">
      <calculatedColumnFormula>IFERROR(MIN(E153,F153)/MAX(E153,F153),"")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D12C71D0-8679-4A51-B4A5-20337C424A9D}" name="WB_CheckSTD3_1" displayName="WB_CheckSTD3_1" ref="B165:I175" totalsRowShown="0" headerRowDxfId="445" headerRowBorderDxfId="444" tableBorderDxfId="443" totalsRowBorderDxfId="442">
  <autoFilter ref="B165:I175" xr:uid="{A14A9168-0912-4EC1-8258-5ED0D49319F4}"/>
  <tableColumns count="8">
    <tableColumn id="1" xr3:uid="{7048BD76-9A98-4745-B58C-47A9719F0C0B}" name="Component" dataDxfId="441"/>
    <tableColumn id="2" xr3:uid="{B992DF0A-C4A7-4922-BC85-994C17916247}" name="Theoretische concentratie (µg/L)" dataDxfId="440">
      <calculatedColumnFormula>VLOOKUP(WB_CheckSTD3_1[[#This Row],[Component]],Concentraties!$B$8:$L$17,5,FALSE)</calculatedColumnFormula>
    </tableColumn>
    <tableColumn id="3" xr3:uid="{B87EFD48-BC3C-421C-B11A-9E56BC1DAA30}" name="Retentietijd (min)" dataDxfId="439"/>
    <tableColumn id="5" xr3:uid="{827BE347-8F7B-4276-B948-0E2C5BE1ABA9}" name="Quantitation overgang (area)" dataDxfId="438"/>
    <tableColumn id="7" xr3:uid="{08CE79B3-1A97-4FC1-B4F3-725A101E9896}" name="Kwalification overgang (area)" dataDxfId="437"/>
    <tableColumn id="8" xr3:uid="{DE251121-8BEF-435D-B6B5-5D1B1B166F2D}" name="Berekende concentratie (µg/L)" dataDxfId="436"/>
    <tableColumn id="9" xr3:uid="{5E26FB24-AFB3-4D2C-8A62-B2E061597190}" name="Terugvinding (%)" dataDxfId="435">
      <calculatedColumnFormula>IFERROR(IF(C166="-","N.v.t.",IF(G166="","",100*G166/C166)),"")</calculatedColumnFormula>
    </tableColumn>
    <tableColumn id="10" xr3:uid="{F42A1697-A89A-4BE2-9993-C556924BD56A}" name="Ratio (%)" dataDxfId="434">
      <calculatedColumnFormula>IFERROR(MIN(E166,F166)/MAX(E166,F166),"")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D905F9F4-7B5E-4908-930F-19744E708A30}" name="SpoelHexaan2" displayName="SpoelHexaan2" ref="B178:I188" totalsRowShown="0" headerRowDxfId="433" headerRowBorderDxfId="432" tableBorderDxfId="431" totalsRowBorderDxfId="430">
  <autoFilter ref="B178:I188" xr:uid="{7067610E-4582-4255-B858-D8038465F03F}"/>
  <tableColumns count="8">
    <tableColumn id="1" xr3:uid="{16F42754-0439-4D1C-B4BD-74AD16F8A167}" name="Component" dataDxfId="429"/>
    <tableColumn id="2" xr3:uid="{90D5FB01-A207-4D1E-8DB4-8AE3A3AFF6E6}" name="Theoretische concentratie (µg/L)" dataDxfId="428">
      <calculatedColumnFormula>VLOOKUP(SpoelHexaan2[[#This Row],[Component]],Concentraties!$B$8:$L$17,2,FALSE)</calculatedColumnFormula>
    </tableColumn>
    <tableColumn id="3" xr3:uid="{F7C000B0-698E-4694-ABDB-701D32323254}" name="Retentietijd (min)" dataDxfId="427"/>
    <tableColumn id="5" xr3:uid="{42698C13-AB16-4501-8A84-513168257BD3}" name="Quantitation overgang (area)" dataDxfId="426"/>
    <tableColumn id="7" xr3:uid="{447F3BAC-0E49-4F9E-BA82-6B73A1D7D925}" name="Kwalification overgang (area)" dataDxfId="425"/>
    <tableColumn id="8" xr3:uid="{C860693C-8F4A-4793-B7B9-607F6D267B36}" name="Berekende concentratie (µg/L)" dataDxfId="424"/>
    <tableColumn id="9" xr3:uid="{1D960336-3AE1-49D9-B364-71FB8B7270F9}" name="Terugvinding (%)" dataDxfId="423">
      <calculatedColumnFormula>IFERROR(IF(C179="-","N.v.t.",IF(G179="","",100*G179/C179)),"")</calculatedColumnFormula>
    </tableColumn>
    <tableColumn id="10" xr3:uid="{601F94FA-B7D9-4867-8AB4-973B18E24E4D}" name="Ratio (%)" dataDxfId="422">
      <calculatedColumnFormula>IFERROR(MIN(E179,F179)/MAX(E179,F179),"")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311E2E8E-80C8-4139-9AA6-AA20B05DBC48}" name="WB_BLM_2" displayName="WB_BLM_2" ref="B191:I201" totalsRowShown="0" headerRowDxfId="421" headerRowBorderDxfId="420" tableBorderDxfId="419" totalsRowBorderDxfId="418">
  <autoFilter ref="B191:I201" xr:uid="{3835E8D2-00EE-498E-8516-DCD3F2BAC41C}"/>
  <tableColumns count="8">
    <tableColumn id="1" xr3:uid="{814BAF6D-ED23-4465-930E-1F6122BB51E4}" name="Component" dataDxfId="417"/>
    <tableColumn id="2" xr3:uid="{D70B1C92-7E8A-488E-A9E7-8C9726C733C6}" name="Theoretische concentratie (µg/L)" dataDxfId="416">
      <calculatedColumnFormula>VLOOKUP(WB_BLM_2[[#This Row],[Component]],Concentraties!$B$8:$L$17,2,FALSE)</calculatedColumnFormula>
    </tableColumn>
    <tableColumn id="3" xr3:uid="{D7039B9C-F9DD-4D64-8A8D-B12DEC8CCB9D}" name="Retentietijd (min)" dataDxfId="415"/>
    <tableColumn id="5" xr3:uid="{B58D234A-BB8A-469C-9D81-DEE28881E8F3}" name="Quantitation overgang (area)" dataDxfId="414"/>
    <tableColumn id="7" xr3:uid="{FC9AD254-0D76-42E5-9CAF-7C57BCCA4EF9}" name="Kwalification overgang (area)" dataDxfId="413"/>
    <tableColumn id="8" xr3:uid="{40AA5E45-597A-443E-9FE2-241B39E50005}" name="Berekende concentratie (µg/L)" dataDxfId="412"/>
    <tableColumn id="9" xr3:uid="{93F3D992-A78F-4321-844D-5A94E9F6183F}" name="Terugvinding (%)" dataDxfId="411">
      <calculatedColumnFormula>IFERROR(IF(C192="-","N.v.t.",IF(G192="","",100*G192/C192)),"")</calculatedColumnFormula>
    </tableColumn>
    <tableColumn id="10" xr3:uid="{0652033D-0676-4785-9740-28CAA55416C0}" name="Ratio (%)" dataDxfId="410">
      <calculatedColumnFormula>IFERROR(MIN(E192,F192)/MAX(E192,F192),"")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8CD516C-4404-4139-83A7-F689D3124563}" name="WB_RG_1" displayName="WB_RG_1" ref="B204:I214" totalsRowShown="0" headerRowDxfId="409" headerRowBorderDxfId="408" tableBorderDxfId="407" totalsRowBorderDxfId="406">
  <autoFilter ref="B204:I214" xr:uid="{246EC7A8-375D-4363-828B-B2F76C58CAA8}"/>
  <tableColumns count="8">
    <tableColumn id="1" xr3:uid="{091E27DD-244E-4685-8F27-BF475781F85A}" name="Component" dataDxfId="405"/>
    <tableColumn id="2" xr3:uid="{E06C6962-3AE3-42F5-9C7F-1E2142250483}" name="Theoretische concentratie (µg/L)" dataDxfId="404">
      <calculatedColumnFormula>VLOOKUP(WB_RG_1[[#This Row],[Component]],Concentraties!$B$8:$L$17,10,FALSE)</calculatedColumnFormula>
    </tableColumn>
    <tableColumn id="3" xr3:uid="{F01578E8-E491-4B03-B7E9-F293280B92DB}" name="Retentietijd (min)" dataDxfId="403"/>
    <tableColumn id="5" xr3:uid="{3BD6C8E0-CEED-49CB-A162-421378EAA565}" name="Quantitation overgang (area)" dataDxfId="402"/>
    <tableColumn id="7" xr3:uid="{D74AF01B-B639-431A-9772-8E8F2C9468C4}" name="Kwalification overgang (area)" dataDxfId="401"/>
    <tableColumn id="8" xr3:uid="{7EB67B28-0BAB-4FA2-BC0F-0262D1BC8B26}" name="Berekende concentratie (µg/L)" dataDxfId="400"/>
    <tableColumn id="9" xr3:uid="{05B49E62-853D-41BC-8BBD-FDFD44AFE5B8}" name="Terugvinding (%)" dataDxfId="399">
      <calculatedColumnFormula>IFERROR(IF(C205="-","N.v.t.",IF(G205="","",100*G205/C205)),"")</calculatedColumnFormula>
    </tableColumn>
    <tableColumn id="10" xr3:uid="{09FF77E4-65F1-48E3-91DE-7CF4DDEF912A}" name="Ratio (%)" dataDxfId="398">
      <calculatedColumnFormula>IFERROR(MIN(E205,F205)/MAX(E205,F205),"")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3D8463-6595-4F7C-968B-786602A8B2E3}" name="WB_RG_2" displayName="WB_RG_2" ref="B217:I227" totalsRowShown="0" headerRowDxfId="397" headerRowBorderDxfId="396" tableBorderDxfId="395" totalsRowBorderDxfId="394">
  <autoFilter ref="B217:I227" xr:uid="{DBE3D1E9-1240-4BE6-ABF7-BA11707ACC4C}"/>
  <tableColumns count="8">
    <tableColumn id="1" xr3:uid="{DA0AE154-8B46-4DF7-BF18-5E72F13B65DA}" name="Component" dataDxfId="393"/>
    <tableColumn id="2" xr3:uid="{F2F59AA8-3296-4C49-9CC2-9559D7FD61C9}" name="Theoretische concentratie (µg/L)" dataDxfId="392">
      <calculatedColumnFormula>VLOOKUP(WB_RG_2[[#This Row],[Component]],Concentraties!$B$8:$L$17,10,FALSE)</calculatedColumnFormula>
    </tableColumn>
    <tableColumn id="3" xr3:uid="{201111ED-65DD-49DE-9E68-03C8D3416900}" name="Retentietijd (min)" dataDxfId="391"/>
    <tableColumn id="5" xr3:uid="{FC62C7D7-0DCD-438D-B85D-926620863EF9}" name="Quantitation overgang (area)" dataDxfId="390"/>
    <tableColumn id="7" xr3:uid="{0B359EA4-E2AC-4CE1-8F97-F793B64209EA}" name="Kwalification overgang (area)" dataDxfId="389"/>
    <tableColumn id="8" xr3:uid="{5657E24D-5174-4F30-8835-DEDABA02BEEE}" name="Berekende concentratie (µg/L)" dataDxfId="388"/>
    <tableColumn id="9" xr3:uid="{99E40551-34DE-48B2-B27F-85255E0AAD55}" name="Terugvinding (%)" dataDxfId="387">
      <calculatedColumnFormula>IFERROR(IF(C218="-","N.v.t.",IF(G218="","",100*G218/C218)),"")</calculatedColumnFormula>
    </tableColumn>
    <tableColumn id="10" xr3:uid="{65FD2D55-1200-48B5-96EB-E9C6DF4A10A9}" name="Ratio (%)" dataDxfId="386">
      <calculatedColumnFormula>IFERROR(MIN(E218,F218)/MAX(E218,F218),"")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671F77-12FE-41BE-A848-B0292E2DBDE8}" name="WB_RG_3" displayName="WB_RG_3" ref="B230:I240" totalsRowShown="0" headerRowDxfId="385" headerRowBorderDxfId="384" tableBorderDxfId="383" totalsRowBorderDxfId="382">
  <autoFilter ref="B230:I240" xr:uid="{894BF5EF-0439-4734-BE1F-027FAD9B0C84}"/>
  <tableColumns count="8">
    <tableColumn id="1" xr3:uid="{9EFAD5ED-68FA-4788-8FB7-486B2A0EABDD}" name="Component" dataDxfId="381"/>
    <tableColumn id="2" xr3:uid="{1DF532D5-836A-476E-85EC-0D5FA65DB2CC}" name="Theoretische concentratie (µg/L)" dataDxfId="380">
      <calculatedColumnFormula>VLOOKUP(WB_RG_3[[#This Row],[Component]],Concentraties!$B$8:$L$17,10,FALSE)</calculatedColumnFormula>
    </tableColumn>
    <tableColumn id="3" xr3:uid="{5DDCB182-7120-4453-818D-AF4A61B59494}" name="Retentietijd (min)" dataDxfId="379"/>
    <tableColumn id="5" xr3:uid="{09F91123-A249-40BD-8DD2-67949A25D57C}" name="Quantitation overgang (area)" dataDxfId="378"/>
    <tableColumn id="7" xr3:uid="{FFFC8208-B68B-4C58-8433-4DF5B5CA1970}" name="Kwalification overgang (area)" dataDxfId="377"/>
    <tableColumn id="8" xr3:uid="{8159B5AB-BC03-4977-8566-35E7C5A76E5D}" name="Berekende concentratie (µg/L)" dataDxfId="376"/>
    <tableColumn id="9" xr3:uid="{F69C6DFD-7942-4569-B7A7-1305B4A9F79B}" name="Terugvinding (%)" dataDxfId="375">
      <calculatedColumnFormula>IFERROR(IF(C231="-","N.v.t.",IF(G231="","",100*G231/C231)),"")</calculatedColumnFormula>
    </tableColumn>
    <tableColumn id="10" xr3:uid="{30C77B60-6865-4129-B2CA-187C2F296B89}" name="Ratio (%)" dataDxfId="374">
      <calculatedColumnFormula>IFERROR(MIN(E231,F231)/MAX(E231,F231),"")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92465832-4E97-4894-847E-A6062332BDA0}" name="WB_RG_4" displayName="WB_RG_4" ref="B243:I253" totalsRowShown="0" headerRowDxfId="373" headerRowBorderDxfId="372" tableBorderDxfId="371" totalsRowBorderDxfId="370">
  <autoFilter ref="B243:I253" xr:uid="{9E7B1FD6-99F6-4373-A298-9E593A6A3721}"/>
  <tableColumns count="8">
    <tableColumn id="1" xr3:uid="{726E82AA-407A-4C36-AFEF-70BDF287889B}" name="Component" dataDxfId="369"/>
    <tableColumn id="2" xr3:uid="{0A9BC4F1-FA7C-4FE2-8C43-0B926095E6B3}" name="Theoretische concentratie (µg/L)" dataDxfId="368">
      <calculatedColumnFormula>VLOOKUP(WB_RG_4[[#This Row],[Component]],Concentraties!$B$8:$L$17,10,FALSE)</calculatedColumnFormula>
    </tableColumn>
    <tableColumn id="3" xr3:uid="{2B61CF46-8B6C-45DA-96BC-3538D161E30D}" name="Retentietijd (min)" dataDxfId="367"/>
    <tableColumn id="5" xr3:uid="{EC4A048F-3B65-4119-AB48-A3F3789163B0}" name="Quantitation overgang (area)" dataDxfId="366"/>
    <tableColumn id="7" xr3:uid="{2252B882-D7BA-4C0C-94DB-64B14DCF2821}" name="Kwalification overgang (area)" dataDxfId="365"/>
    <tableColumn id="8" xr3:uid="{19E3E0F4-5C03-4B87-828B-36C3E6424E97}" name="Berekende concentratie (µg/L)" dataDxfId="364"/>
    <tableColumn id="9" xr3:uid="{46817275-19A0-47DF-9BBD-FFB255636115}" name="Terugvinding (%)" dataDxfId="363">
      <calculatedColumnFormula>IFERROR(IF(C244="-","N.v.t.",IF(G244="","",100*G244/C244)),"")</calculatedColumnFormula>
    </tableColumn>
    <tableColumn id="10" xr3:uid="{83AD927A-60EF-4ED3-9713-F480FF121346}" name="Ratio (%)" dataDxfId="362">
      <calculatedColumnFormula>IFERROR(MIN(E244,F244)/MAX(E244,F244),"")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67EBA44-5729-4566-B2DA-7DD494063CFF}" name="WB_Kalibratie1" displayName="WB_Kalibratie1" ref="B22:I32" totalsRowShown="0" headerRowDxfId="578" dataDxfId="576" headerRowBorderDxfId="577" tableBorderDxfId="575" totalsRowBorderDxfId="574">
  <autoFilter ref="B22:I32" xr:uid="{5B43A024-2E2E-4BD2-9A11-48867DB2C5FD}"/>
  <tableColumns count="8">
    <tableColumn id="1" xr3:uid="{2916800A-D298-4973-8813-F15B5FC0B7CE}" name="Component" dataDxfId="573"/>
    <tableColumn id="2" xr3:uid="{1F4BA189-6C27-43C0-9DF8-A6E6574882F0}" name="Theoretische concentratie (µg/L)" dataDxfId="572">
      <calculatedColumnFormula>VLOOKUP(WB_Kalibratie1[[#This Row],[Component]],Concentraties!$B$8:$L$17,3,FALSE)</calculatedColumnFormula>
    </tableColumn>
    <tableColumn id="3" xr3:uid="{CA57018F-3A0F-4585-A877-5CF34333CD4F}" name="Retentietijd (min)" dataDxfId="571"/>
    <tableColumn id="5" xr3:uid="{0D6A18B9-E57C-43BE-A9D9-952A32230405}" name="Quantitation overgang (area)" dataDxfId="570"/>
    <tableColumn id="7" xr3:uid="{7C82F4E0-A4D2-4C97-B78E-1A4EB523082A}" name="Kwalification overgang (area)" dataDxfId="569"/>
    <tableColumn id="8" xr3:uid="{682A93D0-E7EC-4566-98D8-EE86BE7DC36C}" name="Berekende concentratie (µg/L)" dataDxfId="568"/>
    <tableColumn id="9" xr3:uid="{11066FBA-7438-4BF0-89F7-0AD0B51EA01E}" name="Terugvinding (%)" dataDxfId="567">
      <calculatedColumnFormula>IFERROR(IF(C23="-","N.v.t.",IF(G23="","",100*G23/C23)),"")</calculatedColumnFormula>
    </tableColumn>
    <tableColumn id="10" xr3:uid="{1FB80BAA-7968-460E-BBEA-5E5DD41A4AF3}" name="Ratio (%)" dataDxfId="566">
      <calculatedColumnFormula>IFERROR(MIN(E23,F23)/MAX(E23,F23),"")</calculatedColumn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50C0DBC6-492F-4666-87A9-3742883DA2A1}" name="WB_RG_5" displayName="WB_RG_5" ref="B256:I266" totalsRowShown="0" headerRowDxfId="361" headerRowBorderDxfId="360" tableBorderDxfId="359" totalsRowBorderDxfId="358">
  <autoFilter ref="B256:I266" xr:uid="{FE9130BD-63A3-4541-9D24-F031EC593626}"/>
  <tableColumns count="8">
    <tableColumn id="1" xr3:uid="{3748D51C-724A-4238-B210-7C48E072E473}" name="Component" dataDxfId="357"/>
    <tableColumn id="2" xr3:uid="{4C94434C-8CFD-4A44-92C2-1642265D1BD0}" name="Theoretische concentratie (µg/L)" dataDxfId="356">
      <calculatedColumnFormula>VLOOKUP(WB_RG_5[[#This Row],[Component]],Concentraties!$B$8:$L$17,10,FALSE)</calculatedColumnFormula>
    </tableColumn>
    <tableColumn id="3" xr3:uid="{93B17E6A-8DCB-4F65-9729-4B17E3E62B01}" name="Retentietijd (min)" dataDxfId="355"/>
    <tableColumn id="5" xr3:uid="{CDDD398D-D3CA-4D9B-963A-DB0FA410324D}" name="Quantitation overgang (area)" dataDxfId="354"/>
    <tableColumn id="7" xr3:uid="{813F6254-7D87-47B6-B6FC-5AB6539F6535}" name="Kwalification overgang (area)" dataDxfId="353"/>
    <tableColumn id="8" xr3:uid="{76DB2218-B23E-4AC2-BD6D-4C190759718B}" name="Berekende concentratie (µg/L)" dataDxfId="352"/>
    <tableColumn id="9" xr3:uid="{E7EA3923-85F6-420F-835A-180690222368}" name="Terugvinding (%)" dataDxfId="351">
      <calculatedColumnFormula>IFERROR(IF(C257="-","N.v.t.",IF(G257="","",100*G257/C257)),"")</calculatedColumnFormula>
    </tableColumn>
    <tableColumn id="10" xr3:uid="{83A53760-B14B-45A4-B7F9-EFEC717C0904}" name="Ratio (%)" dataDxfId="350">
      <calculatedColumnFormula>IFERROR(MIN(E257,F257)/MAX(E257,F257),"")</calculatedColumn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3A5AE600-F449-46D7-9B9B-9CDD6B74625E}" name="WB_RG_6" displayName="WB_RG_6" ref="B269:I279" totalsRowShown="0" headerRowDxfId="349" headerRowBorderDxfId="348" tableBorderDxfId="347" totalsRowBorderDxfId="346">
  <autoFilter ref="B269:I279" xr:uid="{AEC26EFF-13AE-4891-85C0-9B476D714205}"/>
  <tableColumns count="8">
    <tableColumn id="1" xr3:uid="{73E2B4AA-9322-4A04-9321-850177736100}" name="Component" dataDxfId="345"/>
    <tableColumn id="2" xr3:uid="{C7855E3B-DD92-4D55-BE6A-77A63C5CF224}" name="Theoretische concentratie (µg/L)" dataDxfId="344">
      <calculatedColumnFormula>VLOOKUP(WB_RG_6[[#This Row],[Component]],Concentraties!$B$8:$L$17,10,FALSE)</calculatedColumnFormula>
    </tableColumn>
    <tableColumn id="3" xr3:uid="{21B776C4-45A8-4103-BC4F-FA56794B0F34}" name="Retentietijd (min)" dataDxfId="343"/>
    <tableColumn id="5" xr3:uid="{A5FFD24F-6D74-4BF8-89A3-08437C76CD59}" name="Quantitation overgang (area)" dataDxfId="342"/>
    <tableColumn id="7" xr3:uid="{99F8A828-2852-4AC3-9E0F-417DF53199D3}" name="Kwalification overgang (area)" dataDxfId="341"/>
    <tableColumn id="8" xr3:uid="{BBC311CA-F8D8-4115-8DD1-05A086EE69E4}" name="Berekende concentratie (µg/L)" dataDxfId="340"/>
    <tableColumn id="9" xr3:uid="{761ECFE5-2A6E-45C5-BE31-4B0E24328457}" name="Terugvinding (%)" dataDxfId="339">
      <calculatedColumnFormula>IFERROR(IF(C270="-","N.v.t.",IF(G270="","",100*G270/C270)),"")</calculatedColumnFormula>
    </tableColumn>
    <tableColumn id="10" xr3:uid="{8F79992D-621C-4DDC-95B6-1DD48C1E73A7}" name="Ratio (%)" dataDxfId="338">
      <calculatedColumnFormula>IFERROR(MIN(E270,F270)/MAX(E270,F270),"")</calculatedColumnFormula>
    </tableColumn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A2AB90B9-3EB7-413F-88F2-78684F7921D8}" name="WB_RG_7" displayName="WB_RG_7" ref="B282:I292" totalsRowShown="0" headerRowDxfId="337" headerRowBorderDxfId="336" tableBorderDxfId="335" totalsRowBorderDxfId="334">
  <autoFilter ref="B282:I292" xr:uid="{ADD66837-4219-48F8-9315-33C3201BDD65}"/>
  <tableColumns count="8">
    <tableColumn id="1" xr3:uid="{869550FC-009E-4F70-8235-FA00B22860BA}" name="Component" dataDxfId="333"/>
    <tableColumn id="2" xr3:uid="{98698FBF-64D0-45DA-A096-34CBC560B14A}" name="Theoretische concentratie (µg/L)" dataDxfId="332">
      <calculatedColumnFormula>VLOOKUP(WB_RG_7[[#This Row],[Component]],Concentraties!$B$8:$L$17,10,FALSE)</calculatedColumnFormula>
    </tableColumn>
    <tableColumn id="3" xr3:uid="{6A999DD2-30F6-4EAB-9402-99F4F8B71818}" name="Retentietijd (min)" dataDxfId="331"/>
    <tableColumn id="5" xr3:uid="{DED9F25A-C87F-470C-8C88-27A23E57317B}" name="Quantitation overgang (area)" dataDxfId="330"/>
    <tableColumn id="7" xr3:uid="{F87D481F-219F-48A8-8D26-CD11E3CA77C9}" name="Kwalification overgang (area)" dataDxfId="329"/>
    <tableColumn id="8" xr3:uid="{DF2755A8-FE99-49EB-9BC7-3B2105BE29C2}" name="Berekende concentratie (µg/L)" dataDxfId="328"/>
    <tableColumn id="9" xr3:uid="{5D3A2E07-3C9A-4F65-A2F0-14ED4FA28A7B}" name="Terugvinding (%)" dataDxfId="327">
      <calculatedColumnFormula>IFERROR(IF(C283="-","N.v.t.",IF(G283="","",100*G283/C283)),"")</calculatedColumnFormula>
    </tableColumn>
    <tableColumn id="10" xr3:uid="{159639A7-0E7A-4156-9ED4-D9702E127476}" name="Ratio (%)" dataDxfId="326">
      <calculatedColumnFormula>IFERROR(MIN(E283,F283)/MAX(E283,F283),"")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75863725-F6DA-4873-A31A-57E212C4852B}" name="WB_RG_8" displayName="WB_RG_8" ref="B295:I305" totalsRowShown="0" headerRowDxfId="325" headerRowBorderDxfId="324" tableBorderDxfId="323" totalsRowBorderDxfId="322">
  <autoFilter ref="B295:I305" xr:uid="{1E396907-C69B-43CF-8CFF-43CB93D095CC}"/>
  <tableColumns count="8">
    <tableColumn id="1" xr3:uid="{7E457BB0-BF10-40B9-AE00-22C402FD7705}" name="Component" dataDxfId="321"/>
    <tableColumn id="2" xr3:uid="{5CBBCDFC-BBE0-4274-9E7F-639B827D41F7}" name="Theoretische concentratie (µg/L)" dataDxfId="320">
      <calculatedColumnFormula>VLOOKUP(WB_RG_8[[#This Row],[Component]],Concentraties!$B$8:$L$17,10,FALSE)</calculatedColumnFormula>
    </tableColumn>
    <tableColumn id="3" xr3:uid="{8F3728D8-0704-41CD-896D-69FD0E1FD2EA}" name="Retentietijd (min)" dataDxfId="319"/>
    <tableColumn id="5" xr3:uid="{C8CFB396-DB69-493D-BA07-FAF71C205C1D}" name="Quantitation overgang (area)" dataDxfId="318"/>
    <tableColumn id="7" xr3:uid="{7C8F14C8-AAB1-408D-AC9B-89B3C56327FD}" name="Kwalification overgang (area)" dataDxfId="317"/>
    <tableColumn id="8" xr3:uid="{78A6304C-195C-4EAD-8FC1-B02C30FD10B2}" name="Berekende concentratie (µg/L)" dataDxfId="316"/>
    <tableColumn id="9" xr3:uid="{6F2D9E55-A9C7-443B-9115-616182A42F56}" name="Terugvinding (%)" dataDxfId="315">
      <calculatedColumnFormula>IFERROR(IF(C296="-","N.v.t.",IF(G296="","",100*G296/C296)),"")</calculatedColumnFormula>
    </tableColumn>
    <tableColumn id="10" xr3:uid="{DEA27B8E-C987-4F04-AC5C-FFE032BD75E9}" name="Ratio (%)" dataDxfId="314">
      <calculatedColumnFormula>IFERROR(MIN(E296,F296)/MAX(E296,F296),"")</calculatedColumnFormula>
    </tableColumn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833FC49-8194-4FCF-B05E-8BC3FBDA0BDB}" name="WB_CheckSTD3_2" displayName="WB_CheckSTD3_2" ref="B308:I318" totalsRowShown="0" headerRowDxfId="313" headerRowBorderDxfId="312" tableBorderDxfId="311" totalsRowBorderDxfId="310">
  <autoFilter ref="B308:I318" xr:uid="{A99EE328-E137-46A6-8320-6E99157A4A46}"/>
  <tableColumns count="8">
    <tableColumn id="1" xr3:uid="{F2281032-EE84-40E0-AC5C-8CD648D02B5E}" name="Component" dataDxfId="309"/>
    <tableColumn id="2" xr3:uid="{1D75F182-E93F-4A9A-BAB0-5D2B709E5F6D}" name="Theoretische concentratie (µg/L)" dataDxfId="308">
      <calculatedColumnFormula>IF(VLOOKUP(WB_CheckSTD3_2[[#This Row],[Component]],Concentraties!$B$8:$L$17,5,FALSE)="","",VLOOKUP(WB_CheckSTD3_2[[#This Row],[Component]],Concentraties!$B$8:$L$17,5,FALSE))</calculatedColumnFormula>
    </tableColumn>
    <tableColumn id="3" xr3:uid="{E367ACDB-7D7D-4B7C-8927-F8F3D055FC63}" name="Retentietijd (min)" dataDxfId="307"/>
    <tableColumn id="5" xr3:uid="{DF9F3C61-106A-48C6-9ACB-057BE8849E22}" name="Quantitation overgang (area)" dataDxfId="306"/>
    <tableColumn id="7" xr3:uid="{5D3B32DD-A257-4F18-9A68-F82ADFC79E9F}" name="Kwalification overgang (area)" dataDxfId="305"/>
    <tableColumn id="8" xr3:uid="{21E700A6-0C4C-45A6-AC07-125883906437}" name="Berekende concentratie (µg/L)" dataDxfId="304"/>
    <tableColumn id="9" xr3:uid="{4984F382-42B7-4755-904F-2EE5DF55DAA7}" name="Terugvinding (%)" dataDxfId="303">
      <calculatedColumnFormula>IFERROR(IF(C309="-","N.v.t.",IF(G309="","",100*G309/C309)),"")</calculatedColumnFormula>
    </tableColumn>
    <tableColumn id="10" xr3:uid="{9A876BAA-F3EF-4B4D-AF53-45A2A18FB2F0}" name="Ratio (%)" dataDxfId="302">
      <calculatedColumnFormula>IFERROR(MIN(E309,F309)/MAX(E309,F309),"")</calculatedColumnFormula>
    </tableColumn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71F1A0B2-4731-458B-B5EF-6829E7CEF183}" name="WB_Standaard_Hoog" displayName="WB_Standaard_Hoog" ref="B321:I331" totalsRowShown="0" headerRowDxfId="301" headerRowBorderDxfId="300" tableBorderDxfId="299" totalsRowBorderDxfId="298">
  <autoFilter ref="B321:I331" xr:uid="{A52C01C3-73A2-4BD1-9B52-155CCDD8153C}"/>
  <tableColumns count="8">
    <tableColumn id="1" xr3:uid="{74D79D39-E63D-4730-9567-890B494A173D}" name="Component" dataDxfId="297"/>
    <tableColumn id="2" xr3:uid="{3F5A923F-C426-441E-9B35-CC52B847FAA8}" name="Theoretische concentratie (µg/L)" dataDxfId="296">
      <calculatedColumnFormula>IF(VLOOKUP(WB_Standaard_Hoog[[#This Row],[Component]],Concentraties!$B$8:$L$17,11,FALSE)="","",VLOOKUP(WB_Standaard_Hoog[[#This Row],[Component]],Concentraties!$B$8:$L$17,11,FALSE))</calculatedColumnFormula>
    </tableColumn>
    <tableColumn id="3" xr3:uid="{7C2126C8-60E3-4869-A616-4EBA2914855C}" name="Retentietijd (min)" dataDxfId="295"/>
    <tableColumn id="5" xr3:uid="{BD84EF9B-A416-4AA3-BD3D-27A267439EE6}" name="Quantitation overgang (area)" dataDxfId="294"/>
    <tableColumn id="7" xr3:uid="{6769D305-2576-4B9E-922A-F0F822BB7F49}" name="Kwalification overgang (area)" dataDxfId="293"/>
    <tableColumn id="8" xr3:uid="{66148C6E-0AF4-4C53-B615-5B7A16448864}" name="Berekende concentratie (µg/L)" dataDxfId="292"/>
    <tableColumn id="9" xr3:uid="{3A2E93AA-2399-4798-9E00-EBADC3E57CDB}" name="Terugvinding (%)" dataDxfId="291">
      <calculatedColumnFormula>IFERROR(IF(C322="-","N.v.t.",IF(G322="","",100*G322/C322)),"")</calculatedColumnFormula>
    </tableColumn>
    <tableColumn id="10" xr3:uid="{0550CED7-CED5-440E-8849-0EDB76F9801D}" name="Ratio (%)" dataDxfId="290">
      <calculatedColumnFormula>IFERROR(MIN(E322,F322)/MAX(E322,F322),"")</calculatedColumnFormula>
    </tableColumn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AE2216-E81E-4469-8578-2B4429A23203}" name="OW_Kalibratie0" displayName="OW_Kalibratie0" ref="B9:I17" totalsRowShown="0" headerRowDxfId="289" dataDxfId="287" headerRowBorderDxfId="288" tableBorderDxfId="286" totalsRowBorderDxfId="285">
  <autoFilter ref="B9:I17" xr:uid="{DBBB033C-1534-4D3D-878C-0813AF80BE7B}"/>
  <tableColumns count="8">
    <tableColumn id="1" xr3:uid="{FB301E6A-5B4D-4167-900C-B680DCC6E264}" name="Component" dataDxfId="284">
      <calculatedColumnFormula>'Sequence + methode OW'!I10</calculatedColumnFormula>
    </tableColumn>
    <tableColumn id="2" xr3:uid="{1F0A694B-6D7A-4235-A1ED-35F13A68AB80}" name="Theoretische concentratie (ng/L)" dataDxfId="283">
      <calculatedColumnFormula>IF(VLOOKUP(OW_Kalibratie0[[#This Row],[Component]],Concentraties!$B$22:$L$29,2,FALSE)="","",VLOOKUP(OW_Kalibratie0[[#This Row],[Component]],Concentraties!$B$22:$L$29,2,FALSE))</calculatedColumnFormula>
    </tableColumn>
    <tableColumn id="3" xr3:uid="{2FA45EA9-661B-4D97-9003-1015591A09CA}" name="Retentietijd (min)" dataDxfId="282"/>
    <tableColumn id="5" xr3:uid="{1244EAA8-E1C4-45E5-90F2-FCF748ED8055}" name="Quantitation overgang (area)" dataDxfId="281"/>
    <tableColumn id="7" xr3:uid="{05772A94-0392-4ED6-B08C-DBFBDD1EE048}" name="Kwalification overgang (area)" dataDxfId="280"/>
    <tableColumn id="8" xr3:uid="{DA89DDEC-3E84-44BF-938F-0DCE39CB51F0}" name="Berekende concentratie (ng/L)" dataDxfId="279"/>
    <tableColumn id="9" xr3:uid="{4AEE659C-1368-4B52-A9A0-364C289BD73C}" name="Terugvinding (%)" dataDxfId="278">
      <calculatedColumnFormula>IFERROR(IF(C10="-","N.v.t.",IF(G10="","",100*G10/C10)),"")</calculatedColumnFormula>
    </tableColumn>
    <tableColumn id="10" xr3:uid="{2F54F209-2EA2-40EE-96AE-EE8AB299E677}" name="Ratio (%)" dataDxfId="277">
      <calculatedColumnFormula>IFERROR(MIN(E10,F10)/MAX(E10,F10),"")</calculatedColumnFormula>
    </tableColumn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F65698-1EBD-476F-BFD5-CE60CB1F5BFB}" name="OW_Kalibratie1" displayName="OW_Kalibratie1" ref="B20:I28" totalsRowShown="0" headerRowDxfId="276" dataDxfId="274" headerRowBorderDxfId="275" tableBorderDxfId="273" totalsRowBorderDxfId="272">
  <autoFilter ref="B20:I28" xr:uid="{5B43A024-2E2E-4BD2-9A11-48867DB2C5FD}"/>
  <tableColumns count="8">
    <tableColumn id="1" xr3:uid="{FF5F8E98-95DA-4576-A649-A433F537ADD2}" name="Component" dataDxfId="271"/>
    <tableColumn id="2" xr3:uid="{216E49A1-42AB-47B4-A0BC-6A51F7C4768A}" name="Theoretische concentratie (ng/L)" dataDxfId="270">
      <calculatedColumnFormula>IF(VLOOKUP(OW_Kalibratie1[[#This Row],[Component]],Concentraties!$B$22:$L$29,3,FALSE)="","",VLOOKUP(OW_Kalibratie1[[#This Row],[Component]],Concentraties!$B$22:$L$29,3,FALSE))</calculatedColumnFormula>
    </tableColumn>
    <tableColumn id="3" xr3:uid="{2E6DADF1-9EC0-41CF-B76B-0E4DD0BBE798}" name="Retentietijd (min)" dataDxfId="269"/>
    <tableColumn id="5" xr3:uid="{E12E9AF7-EBBA-4201-AD1F-CC18257A3C1D}" name="Quantitation overgang (area)" dataDxfId="268"/>
    <tableColumn id="7" xr3:uid="{E543CC3B-E0A1-4D56-A22D-ED9C2ECC386B}" name="Kwalification overgang (area)" dataDxfId="267"/>
    <tableColumn id="8" xr3:uid="{6F464680-A23B-4198-BD4A-77E2BD1F0693}" name="Berekende concentratie (ng/L)" dataDxfId="266"/>
    <tableColumn id="9" xr3:uid="{4B2910AA-9760-45E8-B2F2-0E97B19E7480}" name="Terugvinding (%)" dataDxfId="265">
      <calculatedColumnFormula>IFERROR(IF(C21="-","N.v.t.",IF(G21="","",100*G21/C21)),"")</calculatedColumnFormula>
    </tableColumn>
    <tableColumn id="10" xr3:uid="{43C50ED9-A9A4-47D7-801E-4170C23137BB}" name="Ratio (%)" dataDxfId="264">
      <calculatedColumnFormula>IFERROR(MIN(E21,F21)/MAX(E21,F21),"")</calculatedColumnFormula>
    </tableColumn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CC8AFF-CFFE-4C99-B358-AB178DD84B90}" name="OW_Kalibratie2" displayName="OW_Kalibratie2" ref="B31:I39" totalsRowShown="0" headerRowDxfId="263" headerRowBorderDxfId="262" tableBorderDxfId="261" totalsRowBorderDxfId="260">
  <autoFilter ref="B31:I39" xr:uid="{9A32D56F-EE26-49D5-A090-721A7886E19F}"/>
  <tableColumns count="8">
    <tableColumn id="1" xr3:uid="{06EB5D80-BC5D-474F-AB1C-94358E5FCAD0}" name="Component" dataDxfId="259"/>
    <tableColumn id="2" xr3:uid="{3F16AECA-08E3-465B-98C4-EE46B9DF0679}" name="Theoretische concentratie (ng/L)" dataDxfId="258">
      <calculatedColumnFormula>IF(VLOOKUP(OW_Kalibratie2[[#This Row],[Component]],Concentraties!$B$22:$L$29,4,FALSE)="","",VLOOKUP(OW_Kalibratie2[[#This Row],[Component]],Concentraties!$B$22:$L$29,4,FALSE))</calculatedColumnFormula>
    </tableColumn>
    <tableColumn id="3" xr3:uid="{2BF8E561-3EE1-4396-9CB2-2538DA3F84F0}" name="Retentietijd (min)" dataDxfId="257"/>
    <tableColumn id="5" xr3:uid="{13E41D56-DF0F-4EF0-909A-87B7E5A3A8E9}" name="Quantitation overgang (area)" dataDxfId="256"/>
    <tableColumn id="7" xr3:uid="{F0FDC7B9-9C99-40CB-9DFA-BF671BD37DE5}" name="Kwalification overgang (area)" dataDxfId="255"/>
    <tableColumn id="8" xr3:uid="{F40E934E-1338-4BCE-AE9F-2D10263202B7}" name="Berekende concentratie (ng/L)" dataDxfId="254"/>
    <tableColumn id="9" xr3:uid="{CF8EEF5D-498F-48CB-BAC6-965AE0E77540}" name="Terugvinding (%)" dataDxfId="253">
      <calculatedColumnFormula>IFERROR(IF(C32="-","N.v.t.",IF(G32="","",100*G32/C32)),"")</calculatedColumnFormula>
    </tableColumn>
    <tableColumn id="10" xr3:uid="{E1C12A6F-03A2-44DE-AA06-D1D745581ED2}" name="Ratio (%)" dataDxfId="252">
      <calculatedColumnFormula>IFERROR(MIN(E32,F32)/MAX(E32,F32),"")</calculatedColumnFormula>
    </tableColumn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18FC65-7908-488E-AE94-385CD1644A5B}" name="OW_Kalibratie3" displayName="OW_Kalibratie3" ref="B42:I50" totalsRowShown="0" headerRowDxfId="251" headerRowBorderDxfId="250" tableBorderDxfId="249" totalsRowBorderDxfId="248">
  <autoFilter ref="B42:I50" xr:uid="{BC66D303-DB41-436F-A535-DB9B66130956}"/>
  <tableColumns count="8">
    <tableColumn id="1" xr3:uid="{18EA17D3-7EBC-4A19-A9CB-17B6B99586B7}" name="Component" dataDxfId="247"/>
    <tableColumn id="2" xr3:uid="{D4272A35-D259-402F-83D7-3B95CDF1327F}" name="Theoretische concentratie (ng/L)" dataDxfId="246">
      <calculatedColumnFormula>IF(VLOOKUP(OW_Kalibratie3[[#This Row],[Component]],Concentraties!$B$22:$L$29,5,FALSE)="","",VLOOKUP(OW_Kalibratie3[[#This Row],[Component]],Concentraties!$B$22:$L$29,5,FALSE))</calculatedColumnFormula>
    </tableColumn>
    <tableColumn id="3" xr3:uid="{84951ACE-AFEC-4794-A6E0-1C493104FCD4}" name="Retentietijd (min)" dataDxfId="245"/>
    <tableColumn id="5" xr3:uid="{E4142385-A8F3-4200-9314-CF8C836D886C}" name="Quantitation overgang (area)" dataDxfId="244"/>
    <tableColumn id="7" xr3:uid="{A8F94751-E386-45B9-A02B-5C1CB8FAED8D}" name="Kwalification overgang (area)" dataDxfId="243"/>
    <tableColumn id="8" xr3:uid="{FAFD7A9A-7949-4423-B2B7-873ADBC393FC}" name="Berekende concentratie (ng/L)" dataDxfId="242"/>
    <tableColumn id="9" xr3:uid="{98302F9A-8938-415E-BAB2-DFFAB1F1D530}" name="Terugvinding (%)" dataDxfId="241">
      <calculatedColumnFormula>IFERROR(IF(C43="-","N.v.t.",IF(G43="","",100*G43/C43)),"")</calculatedColumnFormula>
    </tableColumn>
    <tableColumn id="10" xr3:uid="{31BC61E9-9651-44D0-A914-EF4FFEB01CEE}" name="Ratio (%)" dataDxfId="240">
      <calculatedColumnFormula>IFERROR(MIN(E43,F43)/MAX(E43,F43),"")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9C4BA82-BB99-40B9-99AA-364980D79012}" name="WB_Kalibratie2" displayName="WB_Kalibratie2" ref="B35:I45" totalsRowShown="0" headerRowDxfId="565" headerRowBorderDxfId="564" tableBorderDxfId="563" totalsRowBorderDxfId="562">
  <autoFilter ref="B35:I45" xr:uid="{9A32D56F-EE26-49D5-A090-721A7886E19F}"/>
  <tableColumns count="8">
    <tableColumn id="1" xr3:uid="{E50AB09F-DEAC-4AFD-B682-4FD45E8FF820}" name="Component" dataDxfId="561"/>
    <tableColumn id="2" xr3:uid="{6E476165-B1DC-419F-9E4B-E26AD82E237C}" name="Theoretische concentratie (µg/L)" dataDxfId="560">
      <calculatedColumnFormula>VLOOKUP(WB_Kalibratie2[[#This Row],[Component]],Concentraties!$B$8:$L$17,4,FALSE)</calculatedColumnFormula>
    </tableColumn>
    <tableColumn id="3" xr3:uid="{E0A0CCF9-256C-47C9-B4FF-9DFE4C74FEC1}" name="Retentietijd (min)" dataDxfId="559"/>
    <tableColumn id="5" xr3:uid="{E92B688C-C620-4FEE-8712-D52FF8323642}" name="Quantitation overgang (area)" dataDxfId="558"/>
    <tableColumn id="7" xr3:uid="{095F6EB6-7A17-4948-ACFF-F988776DBF3B}" name="Kwalification overgang (area)" dataDxfId="557"/>
    <tableColumn id="8" xr3:uid="{D2EE369F-D69A-44BD-86E2-CD4491EA405D}" name="Berekende concentratie (µg/L)" dataDxfId="556"/>
    <tableColumn id="9" xr3:uid="{C8AC515A-D6F1-4DB8-9E99-29EA8CC31820}" name="Terugvinding (%)" dataDxfId="555">
      <calculatedColumnFormula>IFERROR(IF(C36="-","N.v.t.",IF(G36="","",100*G36/C36)),"")</calculatedColumnFormula>
    </tableColumn>
    <tableColumn id="10" xr3:uid="{34242573-16A0-4E12-853C-4E2E95D8C458}" name="Ratio (%)" dataDxfId="554">
      <calculatedColumnFormula>IFERROR(MIN(E36,F36)/MAX(E36,F36),"")</calculatedColumnFormula>
    </tableColumn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6A359C3-AE23-4FBB-9189-C14A4ACC6502}" name="OW_Kalibratie4" displayName="OW_Kalibratie4" ref="B53:I61" totalsRowShown="0" headerRowDxfId="239" headerRowBorderDxfId="238" tableBorderDxfId="237" totalsRowBorderDxfId="236">
  <autoFilter ref="B53:I61" xr:uid="{314E2CD7-1C51-4618-8309-3015C5C50114}"/>
  <tableColumns count="8">
    <tableColumn id="1" xr3:uid="{F1CE89FE-10BF-405C-B76A-7C55AA60F16C}" name="Component" dataDxfId="235"/>
    <tableColumn id="2" xr3:uid="{24554497-FCBA-44B1-978B-DB0C3BC85711}" name="Theoretische concentratie (ng/L)" dataDxfId="234">
      <calculatedColumnFormula>IF(VLOOKUP(OW_Kalibratie4[[#This Row],[Component]],Concentraties!$B$22:$L$29,6,FALSE)="","",VLOOKUP(OW_Kalibratie4[[#This Row],[Component]],Concentraties!$B$22:$L$29,6,FALSE))</calculatedColumnFormula>
    </tableColumn>
    <tableColumn id="3" xr3:uid="{2707E45A-1C7D-416A-8ABB-7F2AE3F2002C}" name="Retentietijd (min)" dataDxfId="233"/>
    <tableColumn id="5" xr3:uid="{193E2894-2957-4B4F-8029-63483D89158B}" name="Quantitation overgang (area)" dataDxfId="232"/>
    <tableColumn id="7" xr3:uid="{07247276-61F9-4A2E-A2A4-1EC1D694E467}" name="Kwalification overgang (area)" dataDxfId="231"/>
    <tableColumn id="8" xr3:uid="{F3660DB0-90F7-416C-B0C5-3068EEB94107}" name="Berekende concentratie (ng/L)" dataDxfId="230"/>
    <tableColumn id="9" xr3:uid="{36C297E0-7D7F-47E7-B463-74B961774515}" name="Terugvinding (%)" dataDxfId="229">
      <calculatedColumnFormula>IFERROR(IF(C54="-","N.v.t.",IF(G54="","",100*G54/C54)),"")</calculatedColumnFormula>
    </tableColumn>
    <tableColumn id="10" xr3:uid="{885CB902-1EC3-4251-92AF-CFF214B59F61}" name="Ratio (%)" dataDxfId="228">
      <calculatedColumnFormula>IFERROR(MIN(E54,F54)/MAX(E54,F54),"")</calculatedColumnFormula>
    </tableColumn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8315BA7-3A12-4AB9-95B2-8377B5DE71CF}" name="OW_Kalibratie5" displayName="OW_Kalibratie5" ref="B64:I72" totalsRowShown="0" headerRowDxfId="227" headerRowBorderDxfId="226" tableBorderDxfId="225" totalsRowBorderDxfId="224">
  <autoFilter ref="B64:I72" xr:uid="{D8709CCE-34B2-46AE-997C-87FB393A971F}"/>
  <tableColumns count="8">
    <tableColumn id="1" xr3:uid="{AA3082C2-C9B9-4327-86B8-4C44BCD14554}" name="Component" dataDxfId="223"/>
    <tableColumn id="2" xr3:uid="{E969844C-1D5B-4F7B-88ED-0C68532FD628}" name="Theoretische concentratie (ng/L)" dataDxfId="222">
      <calculatedColumnFormula>IF(VLOOKUP(OW_Kalibratie5[[#This Row],[Component]],Concentraties!$B$22:$L$29,7,FALSE)="","",VLOOKUP(OW_Kalibratie5[[#This Row],[Component]],Concentraties!$B$22:$L$29,7,FALSE))</calculatedColumnFormula>
    </tableColumn>
    <tableColumn id="3" xr3:uid="{94488DCB-86B8-4412-9AB3-96F670A6CD00}" name="Retentietijd (min)" dataDxfId="221"/>
    <tableColumn id="5" xr3:uid="{3EF4FB7D-9305-49E9-BD37-EEB8CD590BFD}" name="Quantitation overgang (area)" dataDxfId="220"/>
    <tableColumn id="7" xr3:uid="{B7DA9225-28BD-481F-A8CC-195345870A4B}" name="Kwalification overgang (area)" dataDxfId="219"/>
    <tableColumn id="8" xr3:uid="{E1786062-8264-42F2-8477-D13A62AD98E9}" name="Berekende concentratie (ng/L)" dataDxfId="218"/>
    <tableColumn id="9" xr3:uid="{85AAE3E6-F00D-4A73-9183-3FDFEED00CAC}" name="Terugvinding (%)" dataDxfId="217">
      <calculatedColumnFormula>IFERROR(IF(C65="-","N.v.t.",IF(G65="","",100*G65/C65)),"")</calculatedColumnFormula>
    </tableColumn>
    <tableColumn id="10" xr3:uid="{9FC50A67-32AA-4111-AA6B-55D3557131F6}" name="Ratio (%)" dataDxfId="216">
      <calculatedColumnFormula>IFERROR(MIN(E65,F65)/MAX(E65,F65),"")</calculatedColumnFormula>
    </tableColumn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B58A4C-EC9E-44A2-8852-DEB3C19A458E}" name="SpoelDCM_1" displayName="SpoelDCM_1" ref="B75:I83" totalsRowShown="0" headerRowDxfId="215" headerRowBorderDxfId="214" tableBorderDxfId="213" totalsRowBorderDxfId="212">
  <autoFilter ref="B75:I83" xr:uid="{BC4E708D-54EF-4787-A517-9B10AB03EBE8}"/>
  <tableColumns count="8">
    <tableColumn id="1" xr3:uid="{A47757D8-64AF-4A56-8773-D0F73BE784E6}" name="Component" dataDxfId="211"/>
    <tableColumn id="2" xr3:uid="{794F8085-D4FC-4C44-99B3-ED6DF3877934}" name="Theoretische concentratie (ng/L)" dataDxfId="210">
      <calculatedColumnFormula>IF(VLOOKUP(SpoelDCM_1[[#This Row],[Component]],Concentraties!$B$22:$L$29,2,FALSE)="","",VLOOKUP(SpoelDCM_1[[#This Row],[Component]],Concentraties!$B$22:$L$29,2,FALSE))</calculatedColumnFormula>
    </tableColumn>
    <tableColumn id="3" xr3:uid="{5E6451DA-3DC5-4F85-8A80-743AFBDD9029}" name="Retentietijd (min)" dataDxfId="209"/>
    <tableColumn id="5" xr3:uid="{827F2035-BC54-46D2-B045-87D3BFE1FDB0}" name="Quantitation overgang (area)" dataDxfId="208"/>
    <tableColumn id="7" xr3:uid="{775FCAE5-E4D1-405E-BA42-F75A51BDFCD5}" name="Kwalification overgang (area)" dataDxfId="207"/>
    <tableColumn id="8" xr3:uid="{926C574F-90C1-4D10-888D-BD917639AE4E}" name="Berekende concentratie (ng/L)" dataDxfId="206"/>
    <tableColumn id="9" xr3:uid="{665610B5-C64B-49E5-A2F6-47725D300507}" name="Terugvinding (%)" dataDxfId="205">
      <calculatedColumnFormula>IFERROR(IF(C76="-","N.v.t.",IF(G76="","",100*G76/C76)),"")</calculatedColumnFormula>
    </tableColumn>
    <tableColumn id="10" xr3:uid="{5F004C2F-AD7B-4448-806C-411C8B51EA69}" name="Ratio (%)" dataDxfId="204">
      <calculatedColumnFormula>IFERROR(MIN(E76,F76)/MAX(E76,F76),"")</calculatedColumnFormula>
    </tableColumn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98CAE4F-8C45-44EA-8604-450C2CF5DBCA}" name="BlancoDCM" displayName="BlancoDCM" ref="B86:I94" totalsRowShown="0" headerRowDxfId="203" headerRowBorderDxfId="202" tableBorderDxfId="201" totalsRowBorderDxfId="200">
  <autoFilter ref="B86:I94" xr:uid="{2F415518-29F8-415A-897A-E193656B306E}"/>
  <tableColumns count="8">
    <tableColumn id="1" xr3:uid="{DC64DE00-7C10-432A-AC23-60807BB8E483}" name="Component" dataDxfId="199"/>
    <tableColumn id="2" xr3:uid="{A3030351-1CC9-4A70-98CC-2A6CCDBBA56A}" name="Theoretische concentratie (ng/L)" dataDxfId="198">
      <calculatedColumnFormula>IF(VLOOKUP(BlancoDCM[[#This Row],[Component]],Concentraties!$B$22:$L$29,2,FALSE)="","",VLOOKUP(BlancoDCM[[#This Row],[Component]],Concentraties!$B$22:$L$29,2,FALSE))</calculatedColumnFormula>
    </tableColumn>
    <tableColumn id="3" xr3:uid="{1501396B-A0EF-47E1-9C51-FCDAD4491117}" name="Retentietijd (min)" dataDxfId="197"/>
    <tableColumn id="5" xr3:uid="{3C4748E4-3803-40CF-A945-3C651F153729}" name="Quantitation overgang (area)" dataDxfId="196"/>
    <tableColumn id="7" xr3:uid="{F6FB2B66-62D3-4D6C-966F-7D3C3E8E3F7F}" name="Kwalification overgang (area)" dataDxfId="195"/>
    <tableColumn id="8" xr3:uid="{E6EAC0DC-7601-4FE5-824C-1E0E6EF5E0FC}" name="Berekende concentratie (ng/L)" dataDxfId="194"/>
    <tableColumn id="9" xr3:uid="{A9212B11-21F6-4F8E-8D1D-6959B6A5898F}" name="Terugvinding (%)" dataDxfId="193">
      <calculatedColumnFormula>IFERROR(IF(C87="-","N.v.t.",IF(G87="","",100*G87/C87)),"")</calculatedColumnFormula>
    </tableColumn>
    <tableColumn id="10" xr3:uid="{0BAE3B29-C1D9-4017-82FC-D9CF77E7ACE6}" name="Ratio (%)" dataDxfId="192">
      <calculatedColumnFormula>IFERROR(MIN(E87,F87)/MAX(E87,F87),"")</calculatedColumnFormula>
    </tableColumn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F8F88F1-2F6D-4118-9376-B04E74156480}" name="OW_BLM_1" displayName="OW_BLM_1" ref="B97:I105" totalsRowShown="0" headerRowDxfId="191" headerRowBorderDxfId="190" tableBorderDxfId="189" totalsRowBorderDxfId="188">
  <autoFilter ref="B97:I105" xr:uid="{D5B71C82-C0BA-41FB-BE55-D53B8D64ABF0}"/>
  <tableColumns count="8">
    <tableColumn id="1" xr3:uid="{553B9938-FFA7-4B0F-9FAB-43CD46C14EAC}" name="Component" dataDxfId="187"/>
    <tableColumn id="2" xr3:uid="{F7637CA2-4C79-4552-95EE-1004BCCF6C39}" name="Theoretische concentratie (ng/L)" dataDxfId="186">
      <calculatedColumnFormula>IF(VLOOKUP(OW_BLM_1[[#This Row],[Component]],Concentraties!$B$22:$L$29,2,FALSE)="","",VLOOKUP(OW_BLM_1[[#This Row],[Component]],Concentraties!$B$22:$L$29,2,FALSE))</calculatedColumnFormula>
    </tableColumn>
    <tableColumn id="3" xr3:uid="{8372154F-333C-4F2C-8325-096AD7D68981}" name="Retentietijd (min)" dataDxfId="185"/>
    <tableColumn id="5" xr3:uid="{916EBCD6-40AB-442A-A581-BC36CE7AAF97}" name="Quantitation overgang (area)" dataDxfId="184"/>
    <tableColumn id="7" xr3:uid="{5815B324-47F4-4EBE-B9BE-F90F234D2FA6}" name="Kwalification overgang (area)" dataDxfId="183"/>
    <tableColumn id="8" xr3:uid="{4B2735B6-7D0D-4591-BD4A-1E688A3F5ED7}" name="Berekende concentratie (ng/L)" dataDxfId="182"/>
    <tableColumn id="9" xr3:uid="{0F08FE5A-C3DC-4482-931E-1CD7A4D75BFD}" name="Terugvinding (%)" dataDxfId="181">
      <calculatedColumnFormula>IFERROR(IF(C98="-","N.v.t.",IF(G98="","",100*G98/C98)),"")</calculatedColumnFormula>
    </tableColumn>
    <tableColumn id="10" xr3:uid="{5CBBE310-9B6C-4800-96DE-731C5D88B6E1}" name="Ratio (%)" dataDxfId="180">
      <calculatedColumnFormula>IFERROR(MIN(E98,F98)/MAX(E98,F98),"")</calculatedColumnFormula>
    </tableColumn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8703670-06C3-4E34-A8F2-46AE38D0A270}" name="OW_CM_1" displayName="OW_CM_1" ref="B108:I116" totalsRowShown="0" headerRowDxfId="179" headerRowBorderDxfId="178" tableBorderDxfId="177" totalsRowBorderDxfId="176">
  <autoFilter ref="B108:I116" xr:uid="{9F4AD14F-D5FD-42A4-8F4A-A8AC84A03856}"/>
  <tableColumns count="8">
    <tableColumn id="1" xr3:uid="{47EE1899-BF0A-46AC-A206-C3F1E262AE1B}" name="Component" dataDxfId="175"/>
    <tableColumn id="2" xr3:uid="{ADF90EDB-9A4F-42EB-9619-6A5D2DEAFE97}" name="Theoretische concentratie (ng/L)" dataDxfId="174">
      <calculatedColumnFormula>IF(VLOOKUP(OW_CM_1[[#This Row],[Component]],Concentraties!$B$22:$L$29,8,FALSE)="","",VLOOKUP(OW_CM_1[[#This Row],[Component]],Concentraties!$B$22:$L$29,8,FALSE))</calculatedColumnFormula>
    </tableColumn>
    <tableColumn id="3" xr3:uid="{E8C674E8-6FD2-4B14-976D-4922170424E6}" name="Retentietijd (min)" dataDxfId="173"/>
    <tableColumn id="5" xr3:uid="{12F1DC9F-393B-43CE-B244-3ED770341493}" name="Quantitation overgang (area)" dataDxfId="172"/>
    <tableColumn id="7" xr3:uid="{4C97613B-EC06-4C54-A861-555B7C549FBB}" name="Kwalification overgang (area)" dataDxfId="171"/>
    <tableColumn id="8" xr3:uid="{1E4BE26C-4B46-4EEA-94D6-15A469AC992C}" name="Berekende concentratie (ng/L)" dataDxfId="170"/>
    <tableColumn id="9" xr3:uid="{4D6A0614-C45F-42C4-947B-CAB26B34B3F4}" name="Terugvinding (%)" dataDxfId="169">
      <calculatedColumnFormula>IFERROR(IF(C109="-","N.v.t.",IF(G109="","",100*G109/C109)),"")</calculatedColumnFormula>
    </tableColumn>
    <tableColumn id="10" xr3:uid="{3608475F-9EBA-43FF-BB93-D79A6031ABC1}" name="Ratio (%)" dataDxfId="168">
      <calculatedColumnFormula>IFERROR(MIN(E109,F109)/MAX(E109,F109),"")</calculatedColumnFormula>
    </tableColumn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B333BCD-071A-43F8-BB5C-EC0695EBB2C5}" name="OW_CM_2" displayName="OW_CM_2" ref="B119:I127" totalsRowShown="0" headerRowDxfId="167" headerRowBorderDxfId="166" tableBorderDxfId="165" totalsRowBorderDxfId="164">
  <autoFilter ref="B119:I127" xr:uid="{7A17437B-D769-4DE6-BE6F-28EF957D947E}"/>
  <sortState xmlns:xlrd2="http://schemas.microsoft.com/office/spreadsheetml/2017/richdata2" ref="B120:I127">
    <sortCondition descending="1" ref="G119:G127"/>
  </sortState>
  <tableColumns count="8">
    <tableColumn id="1" xr3:uid="{C2B22546-BC0B-4A3B-B896-CAAF25AA32F0}" name="Component" dataDxfId="163"/>
    <tableColumn id="2" xr3:uid="{35D021E6-AC3B-4DBB-8E1B-DADC86B117E4}" name="Theoretische concentratie (ng/L)" dataDxfId="162">
      <calculatedColumnFormula>IF(VLOOKUP(OW_CM_2[[#This Row],[Component]],Concentraties!$B$22:$L$29,8,FALSE)="","",VLOOKUP(OW_CM_2[[#This Row],[Component]],Concentraties!$B$22:$L$29,8,FALSE))</calculatedColumnFormula>
    </tableColumn>
    <tableColumn id="3" xr3:uid="{4AB46B0B-604C-4ADA-83E8-56663D453B70}" name="Retentietijd (min)" dataDxfId="161"/>
    <tableColumn id="5" xr3:uid="{FB8DA821-5531-4062-8559-49483A0BEF5D}" name="Quantitation overgang (area)" dataDxfId="160"/>
    <tableColumn id="7" xr3:uid="{9433F5A5-ACEC-47D0-AD23-D6AC24FF6959}" name="Kwalification overgang (area)" dataDxfId="159"/>
    <tableColumn id="8" xr3:uid="{C6CD1BB1-1BD7-405A-B13E-F16ACB90D4C8}" name="Berekende concentratie (ng/L)" dataDxfId="158"/>
    <tableColumn id="9" xr3:uid="{BEF09047-D75A-4D5C-93F4-10D3FBC25203}" name="Terugvinding (%)" dataDxfId="157">
      <calculatedColumnFormula>IFERROR(IF(C120="-","N.v.t.",IF(G120="","",100*G120/C120)),"")</calculatedColumnFormula>
    </tableColumn>
    <tableColumn id="10" xr3:uid="{16FD22DA-4E05-4AAD-9258-3A9628208123}" name="Ratio (%)" dataDxfId="156">
      <calculatedColumnFormula>IFERROR(MIN(E120,F120)/MAX(E120,F120),"")</calculatedColumnFormula>
    </tableColumn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B9FFD81-45E8-4F7A-98F1-442ED0EA5D96}" name="OW_CheckSTD3_1" displayName="OW_CheckSTD3_1" ref="B130:I138" totalsRowShown="0" headerRowDxfId="155" headerRowBorderDxfId="154" tableBorderDxfId="153" totalsRowBorderDxfId="152">
  <autoFilter ref="B130:I138" xr:uid="{A14A9168-0912-4EC1-8258-5ED0D49319F4}"/>
  <tableColumns count="8">
    <tableColumn id="1" xr3:uid="{CE09CD58-585E-4772-A7BA-E2C19A4DBDE5}" name="Component" dataDxfId="151"/>
    <tableColumn id="2" xr3:uid="{8C6C4398-B812-4E23-96E4-38A77F84C9FD}" name="Theoretische concentratie (ng/L)" dataDxfId="150">
      <calculatedColumnFormula>IF(VLOOKUP(OW_CheckSTD3_1[[#This Row],[Component]],Concentraties!$B$22:$L$29,5,FALSE)="","",VLOOKUP(OW_CheckSTD3_1[[#This Row],[Component]],Concentraties!$B$22:$L$29,5,FALSE))</calculatedColumnFormula>
    </tableColumn>
    <tableColumn id="3" xr3:uid="{C8D179BD-A11D-4FA2-8F8A-B5737C4955FB}" name="Retentietijd (min)" dataDxfId="149"/>
    <tableColumn id="5" xr3:uid="{D666A453-5C2C-4624-977C-81E6E8868994}" name="Quantitation overgang (area)" dataDxfId="148"/>
    <tableColumn id="7" xr3:uid="{7A7E6B0E-5892-4A9B-B218-8C356960C400}" name="Kwalification overgang (area)" dataDxfId="147"/>
    <tableColumn id="8" xr3:uid="{B8FDB7D0-2B98-4EBC-8CFA-868AEBDDFB36}" name="Berekende concentratie (ng/L)" dataDxfId="146"/>
    <tableColumn id="9" xr3:uid="{DF5E9670-FA99-478B-8DB2-C23D9D752B9C}" name="Terugvinding (%)" dataDxfId="145">
      <calculatedColumnFormula>IFERROR(IF(C131="-","N.v.t.",IF(G131="","",100*G131/C131)),"")</calculatedColumnFormula>
    </tableColumn>
    <tableColumn id="10" xr3:uid="{C024FA89-4AAE-4178-B10E-2CDAAFE0FCD7}" name="Ratio (%)" dataDxfId="144">
      <calculatedColumnFormula>IFERROR(MIN(E131,F131)/MAX(E131,F131),"")</calculatedColumnFormula>
    </tableColumn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8BF3919-27D5-48FA-80DE-804076A0EFAE}" name="SpoelDCM_2" displayName="SpoelDCM_2" ref="B141:I149" totalsRowShown="0" headerRowDxfId="143" headerRowBorderDxfId="142" tableBorderDxfId="141" totalsRowBorderDxfId="140">
  <autoFilter ref="B141:I149" xr:uid="{7067610E-4582-4255-B858-D8038465F03F}"/>
  <tableColumns count="8">
    <tableColumn id="1" xr3:uid="{C30AC014-6F33-4223-85E2-9FD5902168CD}" name="Component" dataDxfId="139"/>
    <tableColumn id="2" xr3:uid="{8E190AAF-3CFA-49A5-8250-DC70E9EB310F}" name="Theoretische concentratie (ng/L)" dataDxfId="138">
      <calculatedColumnFormula>IF(VLOOKUP(SpoelDCM_2[[#This Row],[Component]],Concentraties!$B$22:$L$29,2,FALSE)="","",VLOOKUP(SpoelDCM_2[[#This Row],[Component]],Concentraties!$B$22:$L$29,2,FALSE))</calculatedColumnFormula>
    </tableColumn>
    <tableColumn id="3" xr3:uid="{13C47480-C38B-4EF1-89A5-07732D2F4E66}" name="Retentietijd (min)" dataDxfId="137"/>
    <tableColumn id="5" xr3:uid="{2CB4F285-A4BB-43F2-B54E-EEBF7A4A30C5}" name="Quantitation overgang (area)" dataDxfId="136"/>
    <tableColumn id="7" xr3:uid="{73994CAC-C4C3-4911-A819-8DA71E290584}" name="Kwalification overgang (area)" dataDxfId="135"/>
    <tableColumn id="8" xr3:uid="{ED0D9EB5-0FC7-4526-99BD-64AB0EC1B16F}" name="Berekende concentratie (ng/L)" dataDxfId="134"/>
    <tableColumn id="9" xr3:uid="{616D01BF-C6A0-4F8D-9649-7FB852F79DD7}" name="Terugvinding (%)" dataDxfId="133">
      <calculatedColumnFormula>IFERROR(IF(C142="-","N.v.t.",IF(G142="","",100*G142/C142)),"")</calculatedColumnFormula>
    </tableColumn>
    <tableColumn id="10" xr3:uid="{F4D694E1-71F5-4AF1-9A55-3A647C49BB75}" name="Ratio (%)" dataDxfId="132">
      <calculatedColumnFormula>IFERROR(MIN(E142,F142)/MAX(E142,F142),"")</calculatedColumnFormula>
    </tableColumn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7319B98-D099-4899-BCF2-19C68811FE80}" name="OW_BLM_2" displayName="OW_BLM_2" ref="B152:I160" totalsRowShown="0" headerRowDxfId="131" headerRowBorderDxfId="130" tableBorderDxfId="129" totalsRowBorderDxfId="128">
  <autoFilter ref="B152:I160" xr:uid="{3835E8D2-00EE-498E-8516-DCD3F2BAC41C}"/>
  <tableColumns count="8">
    <tableColumn id="1" xr3:uid="{35333A98-A36D-444D-9DE3-2F5A4B7E5443}" name="Component" dataDxfId="127"/>
    <tableColumn id="2" xr3:uid="{4D49242B-B23E-455E-9480-0124C5E649BA}" name="Theoretische concentratie (ng/L)" dataDxfId="126">
      <calculatedColumnFormula>IF(VLOOKUP(OW_BLM_2[[#This Row],[Component]],Concentraties!$B$22:$L$29,2,FALSE)="","",VLOOKUP(OW_BLM_2[[#This Row],[Component]],Concentraties!$B$22:$L$29,2,FALSE))</calculatedColumnFormula>
    </tableColumn>
    <tableColumn id="3" xr3:uid="{4301E6B1-7A4B-490B-B3B4-7F680D49ECBD}" name="Retentietijd (min)" dataDxfId="125"/>
    <tableColumn id="5" xr3:uid="{13D6AE6F-37F1-49BD-BB99-6D1AB1572CE9}" name="Quantitation overgang (area)" dataDxfId="124"/>
    <tableColumn id="7" xr3:uid="{FCB98E89-F89B-4E3D-B45D-FA0F0204DF97}" name="Kwalification overgang (area)" dataDxfId="123"/>
    <tableColumn id="8" xr3:uid="{2B26AC19-2176-4A12-90CE-B6470834755A}" name="Berekende concentratie (ng/L)" dataDxfId="122"/>
    <tableColumn id="9" xr3:uid="{B973D3C1-8386-4A5D-93FF-40A47CB842E2}" name="Terugvinding (%)" dataDxfId="121">
      <calculatedColumnFormula>IFERROR(IF(C153="-","N.v.t.",IF(G153="","",100*G153/C153)),"")</calculatedColumnFormula>
    </tableColumn>
    <tableColumn id="10" xr3:uid="{BDC50B80-15A3-4AEC-BBC7-FE4C1B596ECC}" name="Ratio (%)" dataDxfId="120">
      <calculatedColumnFormula>IFERROR(MIN(E153,F153)/MAX(E153,F153),"")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1043D88-0A59-40F6-89A3-A3355E3A7F79}" name="WB_Kalibratie3" displayName="WB_Kalibratie3" ref="B48:I58" totalsRowShown="0" headerRowDxfId="553" headerRowBorderDxfId="552" tableBorderDxfId="551" totalsRowBorderDxfId="550">
  <autoFilter ref="B48:I58" xr:uid="{BC66D303-DB41-436F-A535-DB9B66130956}"/>
  <tableColumns count="8">
    <tableColumn id="1" xr3:uid="{2798E86F-D681-47C5-88A9-59A50279FF47}" name="Component" dataDxfId="549"/>
    <tableColumn id="2" xr3:uid="{39A928A0-2FD4-4E8E-BB05-1B246FD28ADB}" name="Theoretische concentratie (µg/L)" dataDxfId="548">
      <calculatedColumnFormula>VLOOKUP(WB_Kalibratie3[[#This Row],[Component]],Concentraties!$B$8:$L$17,5,FALSE)</calculatedColumnFormula>
    </tableColumn>
    <tableColumn id="3" xr3:uid="{D48344C4-F62F-42D9-A0E0-16CC15B727D7}" name="Retentietijd (min)" dataDxfId="547"/>
    <tableColumn id="5" xr3:uid="{68EA3C5B-038F-44E9-AD38-AD9E4F80B041}" name="Quantitation overgang (area)" dataDxfId="546"/>
    <tableColumn id="7" xr3:uid="{246A0393-149D-40A0-B2C8-66810BAF06D3}" name="Kwalification overgang (area)" dataDxfId="545"/>
    <tableColumn id="8" xr3:uid="{EF3ECC36-16B3-420F-8537-C046946FBA5C}" name="Berekende concentratie (µg/L)" dataDxfId="544"/>
    <tableColumn id="9" xr3:uid="{04EFF841-1F53-4E52-AB6F-3AC88EEC7108}" name="Terugvinding (%)" dataDxfId="543">
      <calculatedColumnFormula>IFERROR(IF(C49="-","N.v.t.",IF(G49="","",100*G49/C49)),"")</calculatedColumnFormula>
    </tableColumn>
    <tableColumn id="10" xr3:uid="{D17285CC-7637-4FBF-8608-D076F351710E}" name="Ratio (%)" dataDxfId="542">
      <calculatedColumnFormula>IFERROR(MIN(E49,F49)/MAX(E49,F49),"")</calculatedColumnFormula>
    </tableColumn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FD75E3A-D128-4D07-BFE4-EA041FEE09CC}" name="OW_RG_1" displayName="OW_RG_1" ref="B163:I171" totalsRowShown="0" headerRowDxfId="119" headerRowBorderDxfId="118" tableBorderDxfId="117" totalsRowBorderDxfId="116">
  <autoFilter ref="B163:I171" xr:uid="{246EC7A8-375D-4363-828B-B2F76C58CAA8}"/>
  <tableColumns count="8">
    <tableColumn id="1" xr3:uid="{2FD461A0-AB19-4940-989E-BCED4C67EFCF}" name="Component" dataDxfId="115"/>
    <tableColumn id="2" xr3:uid="{0A4F04AD-E8B2-46AC-8306-20F81761066F}" name="Theoretische concentratie (ng/L)" dataDxfId="114">
      <calculatedColumnFormula>IF(VLOOKUP(OW_RG_1[[#This Row],[Component]],Concentraties!$B$22:$L$29,10,FALSE)="","",VLOOKUP(OW_RG_1[[#This Row],[Component]],Concentraties!$B$22:$L$29,10,FALSE))</calculatedColumnFormula>
    </tableColumn>
    <tableColumn id="3" xr3:uid="{7E6B7BEE-1546-4A88-9CE2-AEC19AB983D1}" name="Retentietijd (min)" dataDxfId="113"/>
    <tableColumn id="5" xr3:uid="{E8DA2DAE-ABF7-4F9E-BA47-FCFBEAB084FB}" name="Quantitation overgang (area)" dataDxfId="112"/>
    <tableColumn id="7" xr3:uid="{BC4DD83B-6CD7-4B09-B4ED-03AE1DBCB68F}" name="Kwalification overgang (area)" dataDxfId="111"/>
    <tableColumn id="8" xr3:uid="{DC7B356F-E017-495A-A322-E431EDAFC394}" name="Berekende concentratie (ng/L)" dataDxfId="110"/>
    <tableColumn id="9" xr3:uid="{344D9D24-A0F8-4431-A467-0BC4359E4495}" name="Terugvinding (%)" dataDxfId="109">
      <calculatedColumnFormula>IFERROR(IF(C164="-","N.v.t.",IF(G164="","",100*G164/C164)),"")</calculatedColumnFormula>
    </tableColumn>
    <tableColumn id="10" xr3:uid="{AED25538-3C13-4F91-B863-16651155DDA9}" name="Ratio (%)" dataDxfId="108">
      <calculatedColumnFormula>IFERROR(MIN(E164,F164)/MAX(E164,F164),"")</calculatedColumnFormula>
    </tableColumn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F32A928-424F-4251-8E39-17E6281C8860}" name="OW_RG_2" displayName="OW_RG_2" ref="B174:I182" totalsRowShown="0" headerRowDxfId="107" headerRowBorderDxfId="106" tableBorderDxfId="105" totalsRowBorderDxfId="104">
  <autoFilter ref="B174:I182" xr:uid="{DBE3D1E9-1240-4BE6-ABF7-BA11707ACC4C}"/>
  <tableColumns count="8">
    <tableColumn id="1" xr3:uid="{5E78F94F-DB9E-48F5-A38E-B56C05501628}" name="Component" dataDxfId="103"/>
    <tableColumn id="2" xr3:uid="{36C2AA8F-A56F-4282-9F51-2B8FC89B5D77}" name="Theoretische concentratie (ng/L)" dataDxfId="102">
      <calculatedColumnFormula>IF(VLOOKUP(OW_RG_2[[#This Row],[Component]],Concentraties!$B$22:$L$29,10,FALSE)="","",VLOOKUP(OW_RG_2[[#This Row],[Component]],Concentraties!$B$22:$L$29,10,FALSE))</calculatedColumnFormula>
    </tableColumn>
    <tableColumn id="3" xr3:uid="{32C49B62-E856-44F9-9EC6-AE4399ACC687}" name="Retentietijd (min)" dataDxfId="101"/>
    <tableColumn id="5" xr3:uid="{FC656460-8664-4D51-9FEC-BBE3BFD03370}" name="Quantitation overgang (area)" dataDxfId="100"/>
    <tableColumn id="7" xr3:uid="{B190FB3C-F0F3-471E-B38E-83B297090076}" name="Kwalification overgang (area)" dataDxfId="99"/>
    <tableColumn id="8" xr3:uid="{F2E4351A-2DDA-40E0-9A22-EAA4EE30A6D0}" name="Berekende concentratie (ng/L)" dataDxfId="98"/>
    <tableColumn id="9" xr3:uid="{0FB06303-0354-49E5-BD4B-F740E2EA8435}" name="Terugvinding (%)" dataDxfId="97">
      <calculatedColumnFormula>IFERROR(IF(C175="-","N.v.t.",IF(G175="","",100*G175/C175)),"")</calculatedColumnFormula>
    </tableColumn>
    <tableColumn id="10" xr3:uid="{1B8525A7-E20E-4DA1-9574-8162C867B720}" name="Ratio (%)" dataDxfId="96">
      <calculatedColumnFormula>IFERROR(MIN(E175,F175)/MAX(E175,F175),"")</calculatedColumnFormula>
    </tableColumn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82AE604-1B17-49EE-A8B6-DFBD0001BB0A}" name="OW_RG_3" displayName="OW_RG_3" ref="B185:I193" totalsRowShown="0" headerRowDxfId="95" headerRowBorderDxfId="94" tableBorderDxfId="93" totalsRowBorderDxfId="92">
  <autoFilter ref="B185:I193" xr:uid="{894BF5EF-0439-4734-BE1F-027FAD9B0C84}"/>
  <tableColumns count="8">
    <tableColumn id="1" xr3:uid="{BF0FEF8E-A0A3-4B55-9C74-D0535F3AE6B7}" name="Component" dataDxfId="91"/>
    <tableColumn id="2" xr3:uid="{F63F272F-3C82-4F0F-A4D7-2D24379E716E}" name="Theoretische concentratie (ng/L)" dataDxfId="90">
      <calculatedColumnFormula>IF(VLOOKUP(OW_RG_3[[#This Row],[Component]],Concentraties!$B$22:$L$29,10,FALSE)="","",VLOOKUP(OW_RG_3[[#This Row],[Component]],Concentraties!$B$22:$L$29,10,FALSE))</calculatedColumnFormula>
    </tableColumn>
    <tableColumn id="3" xr3:uid="{84B5A1DC-0DE4-4ED3-A2F4-DDBB978529F3}" name="Retentietijd (min)" dataDxfId="89"/>
    <tableColumn id="5" xr3:uid="{18C7D802-9D7F-4073-86E4-B1AB92FB4DDD}" name="Quantitation overgang (area)" dataDxfId="88"/>
    <tableColumn id="7" xr3:uid="{408AFAE3-553E-4183-A3D9-18F0D477D3B9}" name="Kwalification overgang (area)" dataDxfId="87"/>
    <tableColumn id="8" xr3:uid="{C30AA85B-E1D5-41B4-9F7D-7C7BF32D1DA1}" name="Berekende concentratie (ng/L)" dataDxfId="86"/>
    <tableColumn id="9" xr3:uid="{FD2ACC7A-A7E1-4C5A-A2F8-772ECCF7B168}" name="Terugvinding (%)" dataDxfId="85">
      <calculatedColumnFormula>IFERROR(IF(C186="-","N.v.t.",IF(G186="","",100*G186/C186)),"")</calculatedColumnFormula>
    </tableColumn>
    <tableColumn id="10" xr3:uid="{804ACA80-1053-4D82-94D1-DEE32F534279}" name="Ratio (%)" dataDxfId="84">
      <calculatedColumnFormula>IFERROR(MIN(E186,F186)/MAX(E186,F186),"")</calculatedColumnFormula>
    </tableColumn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A59C438-D497-4714-882B-DB99CB07759B}" name="OW_RG_4" displayName="OW_RG_4" ref="B196:I204" totalsRowShown="0" headerRowDxfId="83" headerRowBorderDxfId="82" tableBorderDxfId="81" totalsRowBorderDxfId="80">
  <autoFilter ref="B196:I204" xr:uid="{9E7B1FD6-99F6-4373-A298-9E593A6A3721}"/>
  <tableColumns count="8">
    <tableColumn id="1" xr3:uid="{12898507-4D2D-4CA9-B065-03AD08E3416D}" name="Component" dataDxfId="79"/>
    <tableColumn id="2" xr3:uid="{73905587-E052-445A-A8D3-5B455EA79260}" name="Theoretische concentratie (ng/L)" dataDxfId="78">
      <calculatedColumnFormula>IF(VLOOKUP(OW_RG_4[[#This Row],[Component]],Concentraties!$B$22:$L$29,10,FALSE)="","",VLOOKUP(OW_RG_4[[#This Row],[Component]],Concentraties!$B$22:$L$29,10,FALSE))</calculatedColumnFormula>
    </tableColumn>
    <tableColumn id="3" xr3:uid="{549457DC-6E29-49AD-8C1E-6F34F9BF51B8}" name="Retentietijd (min)" dataDxfId="77"/>
    <tableColumn id="5" xr3:uid="{7670625F-B7EA-432B-BC38-028F0C4E04CF}" name="Quantitation overgang (area)" dataDxfId="76"/>
    <tableColumn id="7" xr3:uid="{6AB251A0-E87C-4428-8C12-E2CCADBCC1B4}" name="Kwalification overgang (area)" dataDxfId="75"/>
    <tableColumn id="8" xr3:uid="{68C1CA86-1327-4D91-A9C6-743942058855}" name="Berekende concentratie (ng/L)" dataDxfId="74"/>
    <tableColumn id="9" xr3:uid="{32DE7602-2086-40E1-A889-575CC4BE68A0}" name="Terugvinding (%)" dataDxfId="73">
      <calculatedColumnFormula>IFERROR(IF(C197="-","N.v.t.",IF(G197="","",100*G197/C197)),"")</calculatedColumnFormula>
    </tableColumn>
    <tableColumn id="10" xr3:uid="{020F0238-B591-4FAD-8BB8-B44D573D3A33}" name="Ratio (%)" dataDxfId="72">
      <calculatedColumnFormula>IFERROR(MIN(E197,F197)/MAX(E197,F197),"")</calculatedColumnFormula>
    </tableColumn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4123ED1-4833-40B0-A555-414D93064E03}" name="OW_RG_5" displayName="OW_RG_5" ref="B207:I215" totalsRowShown="0" headerRowDxfId="71" headerRowBorderDxfId="70" tableBorderDxfId="69" totalsRowBorderDxfId="68">
  <autoFilter ref="B207:I215" xr:uid="{FE9130BD-63A3-4541-9D24-F031EC593626}"/>
  <tableColumns count="8">
    <tableColumn id="1" xr3:uid="{EBCA4B9B-A2DC-47FE-9DE4-6668E4E9B027}" name="Component" dataDxfId="67"/>
    <tableColumn id="2" xr3:uid="{0526F633-1DFD-4C3A-B504-1524DF460022}" name="Theoretische concentratie (ng/L)" dataDxfId="66">
      <calculatedColumnFormula>IF(VLOOKUP(OW_RG_5[[#This Row],[Component]],Concentraties!$B$22:$L$29,10,FALSE)="","",VLOOKUP(OW_RG_5[[#This Row],[Component]],Concentraties!$B$22:$L$29,10,FALSE))</calculatedColumnFormula>
    </tableColumn>
    <tableColumn id="3" xr3:uid="{A5C0EE2F-2654-458E-8505-F7F8D5718099}" name="Retentietijd (min)" dataDxfId="65"/>
    <tableColumn id="5" xr3:uid="{585362A7-174F-4A86-910D-E4050A8EE409}" name="Quantitation overgang (area)" dataDxfId="64"/>
    <tableColumn id="7" xr3:uid="{CA97B420-FEA6-4715-8820-D58923BCDCDC}" name="Kwalification overgang (area)" dataDxfId="63"/>
    <tableColumn id="8" xr3:uid="{483F76C6-033D-40D6-86F1-F0FC45A1C409}" name="Berekende concentratie (ng/L)" dataDxfId="62"/>
    <tableColumn id="9" xr3:uid="{D42E215D-7690-4989-A5AD-FC1B8A5F6F07}" name="Terugvinding (%)" dataDxfId="61">
      <calculatedColumnFormula>IFERROR(IF(C208="-","N.v.t.",IF(G208="","",100*G208/C208)),"")</calculatedColumnFormula>
    </tableColumn>
    <tableColumn id="10" xr3:uid="{194237DB-FD2D-4F03-8FEF-7327995122C6}" name="Ratio (%)" dataDxfId="60">
      <calculatedColumnFormula>IFERROR(MIN(E208,F208)/MAX(E208,F208),"")</calculatedColumnFormula>
    </tableColumn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64FCD20-FCBE-43FD-9447-FD9A99E392FE}" name="OW_RG_6" displayName="OW_RG_6" ref="B218:I226" totalsRowShown="0" headerRowDxfId="59" headerRowBorderDxfId="58" tableBorderDxfId="57" totalsRowBorderDxfId="56">
  <autoFilter ref="B218:I226" xr:uid="{AEC26EFF-13AE-4891-85C0-9B476D714205}"/>
  <tableColumns count="8">
    <tableColumn id="1" xr3:uid="{ACE2D38B-6301-40C4-93CF-EB47B944CE41}" name="Component" dataDxfId="55"/>
    <tableColumn id="2" xr3:uid="{A07CBF4A-DFF6-4D79-999A-E96C6873C98D}" name="Theoretische concentratie (ng/L)" dataDxfId="54">
      <calculatedColumnFormula>IF(VLOOKUP(OW_RG_6[[#This Row],[Component]],Concentraties!$B$22:$L$29,10,FALSE)="","",VLOOKUP(OW_RG_6[[#This Row],[Component]],Concentraties!$B$22:$L$29,10,FALSE))</calculatedColumnFormula>
    </tableColumn>
    <tableColumn id="3" xr3:uid="{E2876760-BE6B-4FB9-9E10-8E15A9AB52E7}" name="Retentietijd (min)" dataDxfId="53"/>
    <tableColumn id="5" xr3:uid="{26B8C5D1-3224-4F52-98FD-D570DB0BEC07}" name="Quantitation overgang (area)" dataDxfId="52"/>
    <tableColumn id="7" xr3:uid="{4FD717E4-15D6-49AF-BAE8-3606D24CDB8F}" name="Kwalification overgang (area)" dataDxfId="51"/>
    <tableColumn id="8" xr3:uid="{1A44222D-D0A3-4596-BA42-32BC426A35DC}" name="Berekende concentratie (ng/L)" dataDxfId="50"/>
    <tableColumn id="9" xr3:uid="{228FAE6E-00DF-4A15-AD36-1954B4AA142E}" name="Terugvinding (%)" dataDxfId="49">
      <calculatedColumnFormula>IFERROR(IF(C219="-","N.v.t.",IF(G219="","",100*G219/C219)),"")</calculatedColumnFormula>
    </tableColumn>
    <tableColumn id="10" xr3:uid="{8C9ED215-53A6-41DE-A2C9-128FD7DEA17D}" name="Ratio (%)" dataDxfId="48">
      <calculatedColumnFormula>IFERROR(MIN(E219,F219)/MAX(E219,F219),"")</calculatedColumnFormula>
    </tableColumn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F2D8ED0-33B6-4874-B6D9-7AAD405556B7}" name="OW_RG_7" displayName="OW_RG_7" ref="B229:I237" totalsRowShown="0" headerRowDxfId="47" headerRowBorderDxfId="46" tableBorderDxfId="45" totalsRowBorderDxfId="44">
  <autoFilter ref="B229:I237" xr:uid="{ADD66837-4219-48F8-9315-33C3201BDD65}"/>
  <tableColumns count="8">
    <tableColumn id="1" xr3:uid="{77D50D2A-4D2D-419B-AE95-B2CAAC931894}" name="Component" dataDxfId="43"/>
    <tableColumn id="2" xr3:uid="{3D8A06C0-F74C-4E99-AD64-BD0204548165}" name="Theoretische concentratie (ng/L)" dataDxfId="42">
      <calculatedColumnFormula>IF(VLOOKUP(OW_RG_7[[#This Row],[Component]],Concentraties!$B$22:$L$29,10,FALSE)="","",VLOOKUP(OW_RG_7[[#This Row],[Component]],Concentraties!$B$22:$L$29,10,FALSE))</calculatedColumnFormula>
    </tableColumn>
    <tableColumn id="3" xr3:uid="{62647585-F8FF-4473-BE10-70B836930A2B}" name="Retentietijd (min)" dataDxfId="41"/>
    <tableColumn id="5" xr3:uid="{1AAA88C3-DBE2-43EA-9794-AD8A7A43EE09}" name="Quantitation overgang (area)" dataDxfId="40"/>
    <tableColumn id="7" xr3:uid="{663BAB00-C9D6-44FF-AA3B-C5569F4C7F79}" name="Kwalification overgang (area)" dataDxfId="39"/>
    <tableColumn id="8" xr3:uid="{E39794B0-AFF9-4446-B451-FFD3E9647273}" name="Berekende concentratie (ng/L)" dataDxfId="38"/>
    <tableColumn id="9" xr3:uid="{00AA15AB-D4CF-4097-9E2E-315B10EDB38F}" name="Terugvinding (%)" dataDxfId="37">
      <calculatedColumnFormula>IFERROR(IF(C230="-","N.v.t.",IF(G230="","",100*G230/C230)),"")</calculatedColumnFormula>
    </tableColumn>
    <tableColumn id="10" xr3:uid="{0273940F-4373-4393-AF59-007A4A07CD3A}" name="Ratio (%)" dataDxfId="36">
      <calculatedColumnFormula>IFERROR(MIN(E230,F230)/MAX(E230,F230),"")</calculatedColumnFormula>
    </tableColumn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5F0A6ED-F7EF-45D5-9379-7EA446D58601}" name="OW_RG_8" displayName="OW_RG_8" ref="B240:I248" totalsRowShown="0" headerRowDxfId="35" headerRowBorderDxfId="34" tableBorderDxfId="33" totalsRowBorderDxfId="32">
  <autoFilter ref="B240:I248" xr:uid="{1E396907-C69B-43CF-8CFF-43CB93D095CC}"/>
  <tableColumns count="8">
    <tableColumn id="1" xr3:uid="{DE4F5A38-9F96-4653-A9B2-689FF2254198}" name="Component" dataDxfId="31"/>
    <tableColumn id="2" xr3:uid="{B0640152-29BD-4133-8622-9AE6224DC330}" name="Theoretische concentratie (ng/L)" dataDxfId="30">
      <calculatedColumnFormula>IF(VLOOKUP(OW_RG_8[[#This Row],[Component]],Concentraties!$B$22:$L$29,10,FALSE)="","",VLOOKUP(OW_RG_8[[#This Row],[Component]],Concentraties!$B$22:$L$29,10,FALSE))</calculatedColumnFormula>
    </tableColumn>
    <tableColumn id="3" xr3:uid="{A442DC80-D7E7-4516-BE66-57C5D66ADF5F}" name="Retentietijd (min)" dataDxfId="29"/>
    <tableColumn id="5" xr3:uid="{FE8F2A0C-7E0F-471D-AF6C-59D37CCFB38C}" name="Quantitation overgang (area)" dataDxfId="28"/>
    <tableColumn id="7" xr3:uid="{A2F22266-6EFE-4C15-B1B7-E7BA78BC13C4}" name="Kwalification overgang (area)" dataDxfId="27"/>
    <tableColumn id="8" xr3:uid="{F7EEE12B-D0D6-4452-89E3-5E742C87A7D4}" name="Berekende concentratie (ng/L)" dataDxfId="26"/>
    <tableColumn id="9" xr3:uid="{66C6FCB4-378A-4D4D-BF7F-F7DCE6E3586B}" name="Terugvinding (%)" dataDxfId="25">
      <calculatedColumnFormula>IFERROR(IF(C241="-","N.v.t.",IF(G241="","",100*G241/C241)),"")</calculatedColumnFormula>
    </tableColumn>
    <tableColumn id="10" xr3:uid="{F5098908-A2D0-4B18-99E3-DB76F951E688}" name="Ratio (%)" dataDxfId="24">
      <calculatedColumnFormula>IFERROR(MIN(E241,F241)/MAX(E241,F241),"")</calculatedColumnFormula>
    </tableColumn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48B36A3-DB01-4855-9298-A2D73E411A3F}" name="OW_CheckSTD3_2" displayName="OW_CheckSTD3_2" ref="B251:I259" totalsRowShown="0" headerRowDxfId="23" headerRowBorderDxfId="22" tableBorderDxfId="21" totalsRowBorderDxfId="20">
  <autoFilter ref="B251:I259" xr:uid="{A99EE328-E137-46A6-8320-6E99157A4A46}"/>
  <tableColumns count="8">
    <tableColumn id="1" xr3:uid="{688AE887-9967-4018-8B07-00B6F688CC8F}" name="Component" dataDxfId="19"/>
    <tableColumn id="2" xr3:uid="{DD1BCE2E-A7D1-4278-A0A0-CA7080A9EDDC}" name="Theoretische concentratie (ng/L)" dataDxfId="18">
      <calculatedColumnFormula>IF(VLOOKUP(OW_CheckSTD3_2[[#This Row],[Component]],Concentraties!$B$22:$L$29,5,FALSE)="","",VLOOKUP(OW_CheckSTD3_2[[#This Row],[Component]],Concentraties!$B$22:$L$29,5,FALSE))</calculatedColumnFormula>
    </tableColumn>
    <tableColumn id="3" xr3:uid="{298D7733-706F-4E48-B5A5-79F3C4F5BCB5}" name="Retentietijd (min)" dataDxfId="17"/>
    <tableColumn id="5" xr3:uid="{32B97A3B-FC04-4721-88D3-30F17BFAD1C7}" name="Quantitation overgang (area)" dataDxfId="16"/>
    <tableColumn id="7" xr3:uid="{AC747DFE-5F78-43F7-B962-7DC5132F43A7}" name="Kwalification overgang (area)" dataDxfId="15"/>
    <tableColumn id="8" xr3:uid="{1F869B2F-AAE3-4606-98DF-63D7101FA12F}" name="Berekende concentratie (ng/L)" dataDxfId="14"/>
    <tableColumn id="9" xr3:uid="{B7F4030C-9F81-4D3A-A4FD-ABF0BBC9A4C8}" name="Terugvinding (%)" dataDxfId="13">
      <calculatedColumnFormula>IFERROR(IF(C252="-","N.v.t.",IF(G252="","",100*G252/C252)),"")</calculatedColumnFormula>
    </tableColumn>
    <tableColumn id="10" xr3:uid="{5F42254D-9CDB-4270-A5A6-243D50EB34C2}" name="Ratio (%)" dataDxfId="12">
      <calculatedColumnFormula>IFERROR(MIN(E252,F252)/MAX(E252,F252),"")</calculatedColumnFormula>
    </tableColumn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FE38DB3-809D-45FE-AA30-5D9B60CE6504}" name="OW_Standaard_Hoog" displayName="OW_Standaard_Hoog" ref="B262:I270" totalsRowShown="0" headerRowDxfId="11" headerRowBorderDxfId="10" tableBorderDxfId="9" totalsRowBorderDxfId="8">
  <autoFilter ref="B262:I270" xr:uid="{A52C01C3-73A2-4BD1-9B52-155CCDD8153C}"/>
  <tableColumns count="8">
    <tableColumn id="1" xr3:uid="{7FA6C2A8-8678-4E80-91B1-4291F51498CE}" name="Component" dataDxfId="7"/>
    <tableColumn id="2" xr3:uid="{9FFEA2D7-F51F-4C61-B1D4-12A4B5E3F232}" name="Theoretische concentratie (ng/L)" dataDxfId="6">
      <calculatedColumnFormula>IF(VLOOKUP(OW_Standaard_Hoog[[#This Row],[Component]],Concentraties!$B$22:$L$29,11,FALSE)="","",VLOOKUP(OW_Standaard_Hoog[[#This Row],[Component]],Concentraties!$B$22:$L$29,11,FALSE))</calculatedColumnFormula>
    </tableColumn>
    <tableColumn id="3" xr3:uid="{44A91758-38DA-4812-9FDE-8F1848E8ED9A}" name="Retentietijd (min)" dataDxfId="5"/>
    <tableColumn id="5" xr3:uid="{5C794514-A0B1-4A4A-92D8-B647C854CA33}" name="Quantitation overgang (area)" dataDxfId="4"/>
    <tableColumn id="7" xr3:uid="{906EAEFB-F020-46B9-91D1-57B44CBD52E0}" name="Kwalification overgang (area)" dataDxfId="3"/>
    <tableColumn id="8" xr3:uid="{66971593-0204-44BF-8D73-DCB4BD6E1458}" name="Berekende concentratie (ng/L)" dataDxfId="2"/>
    <tableColumn id="9" xr3:uid="{61F52B1C-08F1-478D-BDD5-7D3A03E417B2}" name="Terugvinding (%)" dataDxfId="1">
      <calculatedColumnFormula>IFERROR(IF(C263="-","N.v.t.",IF(G263="","",100*G263/C263)),"")</calculatedColumnFormula>
    </tableColumn>
    <tableColumn id="10" xr3:uid="{AE1AD549-3D33-48ED-A559-F5DB0569BDD1}" name="Ratio (%)" dataDxfId="0">
      <calculatedColumnFormula>IFERROR(MIN(E263,F263)/MAX(E263,F263),"")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CFC9B28B-6723-4F50-A9DA-DE3F8CBB3303}" name="WB_Kalibratie4" displayName="WB_Kalibratie4" ref="B61:I71" totalsRowShown="0" headerRowDxfId="541" headerRowBorderDxfId="540" tableBorderDxfId="539" totalsRowBorderDxfId="538">
  <autoFilter ref="B61:I71" xr:uid="{314E2CD7-1C51-4618-8309-3015C5C50114}"/>
  <tableColumns count="8">
    <tableColumn id="1" xr3:uid="{20C8AAC8-F029-414A-BA42-F7B688FE2183}" name="Component" dataDxfId="537"/>
    <tableColumn id="2" xr3:uid="{F6ADE783-1365-49A8-963D-7A1A92CBE418}" name="Theoretische concentratie (µg/L)" dataDxfId="536">
      <calculatedColumnFormula>VLOOKUP(WB_Kalibratie4[[#This Row],[Component]],Concentraties!$B$8:$L$17,6,FALSE)</calculatedColumnFormula>
    </tableColumn>
    <tableColumn id="3" xr3:uid="{BA4D4A71-CC40-49C6-AFC4-2092D44FB4B5}" name="Retentietijd (min)" dataDxfId="535"/>
    <tableColumn id="5" xr3:uid="{9FC68583-8F94-4D2C-ADB8-B2C70B3BF340}" name="Quantitation overgang (area)" dataDxfId="534"/>
    <tableColumn id="7" xr3:uid="{6E6E7785-27F7-4118-8F95-F38B307709E9}" name="Kwalification overgang (area)" dataDxfId="533"/>
    <tableColumn id="8" xr3:uid="{9EEC2A53-5DF3-46F6-9DB1-335A7FE072EF}" name="Berekende concentratie (µg/L)" dataDxfId="532"/>
    <tableColumn id="9" xr3:uid="{7A3DB7D9-DC1E-4EC0-9CFA-60D2FD8EA375}" name="Terugvinding (%)" dataDxfId="531">
      <calculatedColumnFormula>IFERROR(IF(C62="-","N.v.t.",IF(G62="","",100*G62/C62)),"")</calculatedColumnFormula>
    </tableColumn>
    <tableColumn id="10" xr3:uid="{D6EE6BA5-0931-45FD-AEBD-E4A240019C10}" name="Ratio (%)" dataDxfId="530">
      <calculatedColumnFormula>IFERROR(MIN(E62,F62)/MAX(E62,F62),"")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227BF678-A744-4984-949A-4BA99E9FC703}" name="WB_Kalibratie5" displayName="WB_Kalibratie5" ref="B74:I84" totalsRowShown="0" headerRowDxfId="529" headerRowBorderDxfId="528" tableBorderDxfId="527" totalsRowBorderDxfId="526">
  <autoFilter ref="B74:I84" xr:uid="{D8709CCE-34B2-46AE-997C-87FB393A971F}"/>
  <tableColumns count="8">
    <tableColumn id="1" xr3:uid="{0D981550-6DDF-4D64-B290-85F3E6B98A25}" name="Component" dataDxfId="525"/>
    <tableColumn id="2" xr3:uid="{AA347303-B8CF-4D65-B56B-840856185ABF}" name="Theoretische concentratie (µg/L)" dataDxfId="524">
      <calculatedColumnFormula>VLOOKUP(WB_Kalibratie5[[#This Row],[Component]],Concentraties!$B$8:$L$17,7,FALSE)</calculatedColumnFormula>
    </tableColumn>
    <tableColumn id="3" xr3:uid="{3A29D33A-A958-48DD-BEE8-BF8AF4862BCA}" name="Retentietijd (min)" dataDxfId="523"/>
    <tableColumn id="5" xr3:uid="{819D5112-F6D8-4585-BC3D-4388C1D47BB5}" name="Quantitation overgang (area)" dataDxfId="522"/>
    <tableColumn id="7" xr3:uid="{919ADDCD-7F37-491B-A93B-6EEA34B95B16}" name="Kwalification overgang (area)" dataDxfId="521"/>
    <tableColumn id="8" xr3:uid="{B7D041D8-7022-49B0-A771-643AE112B781}" name="Berekende concentratie (µg/L)" dataDxfId="520"/>
    <tableColumn id="9" xr3:uid="{DB000DBB-26C1-4921-9FE7-E2262B0C1BC1}" name="Terugvinding (%)" dataDxfId="519">
      <calculatedColumnFormula>IFERROR(IF(C75="-","N.v.t.",IF(G75="","",100*G75/C75)),"")</calculatedColumnFormula>
    </tableColumn>
    <tableColumn id="10" xr3:uid="{FF61B284-C5D1-41F3-92DD-ED5FD4A67EE8}" name="Ratio (%)" dataDxfId="518">
      <calculatedColumnFormula>IFERROR(MIN(E75,F75)/MAX(E75,F75),"")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5DE49771-4B43-413A-83F1-F20DB27E27C5}" name="ScheidingPCB" displayName="ScheidingPCB" ref="B87:I97" totalsRowShown="0" headerRowDxfId="517" headerRowBorderDxfId="516" tableBorderDxfId="515" totalsRowBorderDxfId="514">
  <autoFilter ref="B87:I97" xr:uid="{0241DC62-F24E-4D26-A97B-30E99ABA6F3D}"/>
  <tableColumns count="8">
    <tableColumn id="1" xr3:uid="{FF3A0BEA-D664-420F-B383-933F0A300EC6}" name="Component" dataDxfId="513"/>
    <tableColumn id="2" xr3:uid="{0388EEBD-4AE7-470B-942A-D2806D0A7989}" name="Theoretische concentratie (µg/L)" dataDxfId="512">
      <calculatedColumnFormula>IFERROR(IF(VLOOKUP(ScheidingPCB[[#This Row],[Component]],Concentraties!$B$8:$L$17,2,FALSE)="","",VLOOKUP(ScheidingPCB[[#This Row],[Component]],Concentraties!$B$8:$L$17,2,FALSE)),"-")</calculatedColumnFormula>
    </tableColumn>
    <tableColumn id="3" xr3:uid="{059DBD4E-B5FE-49C3-AD75-51B30AD8A7C5}" name="Retentietijd (min)" dataDxfId="511"/>
    <tableColumn id="5" xr3:uid="{EE184918-6497-416B-8726-23C427587C98}" name="Piekbreedte op basislijn (min)" dataDxfId="510"/>
    <tableColumn id="7" xr3:uid="{99AFB27E-9A95-495B-96AF-4D514785029C}" name=" " dataDxfId="509"/>
    <tableColumn id="8" xr3:uid="{E7954F4D-B4E9-43C2-933A-C3CE5AD07A9F}" name="  " dataDxfId="508"/>
    <tableColumn id="9" xr3:uid="{1796F41C-4535-4348-8575-BE72D06C316D}" name="Terugvinding (%)" dataDxfId="507">
      <calculatedColumnFormula>IFERROR(IF(C88="-","N.v.t.",IF(G88="","",100*G88/C88)),"")</calculatedColumnFormula>
    </tableColumn>
    <tableColumn id="10" xr3:uid="{FC945F0F-2934-4732-A413-67B69EC02D87}" name="Ratio (%)" dataDxfId="506">
      <calculatedColumnFormula>IFERROR(MIN(E88,F88)/MAX(E88,F88),"")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146496F-2D91-4500-99C5-4A1BA8B14AFD}" name="SpoelHexaan1" displayName="SpoelHexaan1" ref="B100:I110" totalsRowShown="0" headerRowDxfId="505" headerRowBorderDxfId="504" tableBorderDxfId="503" totalsRowBorderDxfId="502">
  <autoFilter ref="B100:I110" xr:uid="{BC4E708D-54EF-4787-A517-9B10AB03EBE8}"/>
  <tableColumns count="8">
    <tableColumn id="1" xr3:uid="{50EFA1D7-551C-4D6F-A42A-53ED5E43F820}" name="Component" dataDxfId="501"/>
    <tableColumn id="2" xr3:uid="{B2BFF6C9-4096-43A6-AF7A-F61C3C24B9F5}" name="Theoretische concentratie (µg/L)" dataDxfId="500">
      <calculatedColumnFormula>VLOOKUP(SpoelHexaan1[[#This Row],[Component]],Concentraties!$B$8:$L$17,2,FALSE)</calculatedColumnFormula>
    </tableColumn>
    <tableColumn id="3" xr3:uid="{6ABBD7D9-FE1C-4E41-B3FD-AF654CE23AFA}" name="Retentietijd (min)" dataDxfId="499"/>
    <tableColumn id="5" xr3:uid="{793DB6F0-B71D-4BF7-8154-1D7AB1C0E1D6}" name="Quantitation overgang (area)" dataDxfId="498"/>
    <tableColumn id="7" xr3:uid="{6A46A2AF-DED4-4372-BEFB-0C55D899FF3C}" name="Kwalification overgang (area)" dataDxfId="497"/>
    <tableColumn id="8" xr3:uid="{44B8A18E-2E27-4434-8A5C-661C0BF88447}" name="Berekende concentratie (µg/L)" dataDxfId="496"/>
    <tableColumn id="9" xr3:uid="{383AC4C0-C767-4625-9CFB-36E937C7D245}" name="Terugvinding (%)" dataDxfId="495">
      <calculatedColumnFormula>IFERROR(IF(C101="-","N.v.t.",IF(G101="","",100*G101/C101)),"")</calculatedColumnFormula>
    </tableColumn>
    <tableColumn id="10" xr3:uid="{B09CBD33-DF25-4936-ABF1-752799D25744}" name="Ratio (%)" dataDxfId="494">
      <calculatedColumnFormula>IFERROR(MIN(E101,F101)/MAX(E101,F101),"")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69FE8AB-D87A-4EB6-8B93-78641A1F8C5F}" name="BlancoHexaan" displayName="BlancoHexaan" ref="B113:I123" totalsRowShown="0" headerRowDxfId="493" headerRowBorderDxfId="492" tableBorderDxfId="491" totalsRowBorderDxfId="490">
  <autoFilter ref="B113:I123" xr:uid="{2F415518-29F8-415A-897A-E193656B306E}"/>
  <tableColumns count="8">
    <tableColumn id="1" xr3:uid="{E53492EC-41E7-4EC4-B9E7-A688BE10CC62}" name="Component" dataDxfId="489"/>
    <tableColumn id="2" xr3:uid="{48128584-F8D1-4820-8AD3-E1271DF56585}" name="Theoretische concentratie (µg/L)" dataDxfId="488">
      <calculatedColumnFormula>VLOOKUP(BlancoHexaan[[#This Row],[Component]],Concentraties!$B$8:$L$17,2,FALSE)</calculatedColumnFormula>
    </tableColumn>
    <tableColumn id="3" xr3:uid="{01EFFA3E-404D-4BD0-AA51-238995E6BB6D}" name="Retentietijd (min)" dataDxfId="487"/>
    <tableColumn id="5" xr3:uid="{3F31018E-5B9E-4C61-BF7E-DA854A5391F7}" name="Quantitation overgang (area)" dataDxfId="486"/>
    <tableColumn id="7" xr3:uid="{57F025C2-BA59-4BF6-80A6-13FE130A679E}" name="Kwalification overgang (area)" dataDxfId="485"/>
    <tableColumn id="8" xr3:uid="{B026E969-8D87-4F61-8BC4-BE926E29CBD9}" name="Berekende concentratie (µg/L)" dataDxfId="484"/>
    <tableColumn id="9" xr3:uid="{E6318933-D7C8-4BC6-9CF9-2DBC402E2891}" name="Terugvinding (%)" dataDxfId="483">
      <calculatedColumnFormula>IFERROR(IF(C114="-","N.v.t.",IF(G114="","",100*G114/C114)),"")</calculatedColumnFormula>
    </tableColumn>
    <tableColumn id="10" xr3:uid="{FF96A2FD-6B0B-4267-8AD0-96D838EC12B1}" name="Ratio (%)" dataDxfId="482">
      <calculatedColumnFormula>IFERROR(MIN(E114,F114)/MAX(E114,F114),"")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26" Type="http://schemas.openxmlformats.org/officeDocument/2006/relationships/table" Target="../tables/table24.xml"/><Relationship Id="rId3" Type="http://schemas.openxmlformats.org/officeDocument/2006/relationships/table" Target="../tables/table1.xml"/><Relationship Id="rId21" Type="http://schemas.openxmlformats.org/officeDocument/2006/relationships/table" Target="../tables/table19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5" Type="http://schemas.openxmlformats.org/officeDocument/2006/relationships/table" Target="../tables/table23.xml"/><Relationship Id="rId2" Type="http://schemas.openxmlformats.org/officeDocument/2006/relationships/drawing" Target="../drawings/drawing2.xml"/><Relationship Id="rId16" Type="http://schemas.openxmlformats.org/officeDocument/2006/relationships/table" Target="../tables/table14.xml"/><Relationship Id="rId20" Type="http://schemas.openxmlformats.org/officeDocument/2006/relationships/table" Target="../tables/table18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24" Type="http://schemas.openxmlformats.org/officeDocument/2006/relationships/table" Target="../tables/table22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23" Type="http://schemas.openxmlformats.org/officeDocument/2006/relationships/table" Target="../tables/table21.xml"/><Relationship Id="rId10" Type="http://schemas.openxmlformats.org/officeDocument/2006/relationships/table" Target="../tables/table8.xml"/><Relationship Id="rId19" Type="http://schemas.openxmlformats.org/officeDocument/2006/relationships/table" Target="../tables/table17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Relationship Id="rId22" Type="http://schemas.openxmlformats.org/officeDocument/2006/relationships/table" Target="../tables/table20.xml"/><Relationship Id="rId27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1.xml"/><Relationship Id="rId13" Type="http://schemas.openxmlformats.org/officeDocument/2006/relationships/table" Target="../tables/table36.xml"/><Relationship Id="rId18" Type="http://schemas.openxmlformats.org/officeDocument/2006/relationships/table" Target="../tables/table41.xml"/><Relationship Id="rId26" Type="http://schemas.openxmlformats.org/officeDocument/2006/relationships/table" Target="../tables/table49.xml"/><Relationship Id="rId3" Type="http://schemas.openxmlformats.org/officeDocument/2006/relationships/table" Target="../tables/table26.xml"/><Relationship Id="rId21" Type="http://schemas.openxmlformats.org/officeDocument/2006/relationships/table" Target="../tables/table44.xml"/><Relationship Id="rId7" Type="http://schemas.openxmlformats.org/officeDocument/2006/relationships/table" Target="../tables/table30.xml"/><Relationship Id="rId12" Type="http://schemas.openxmlformats.org/officeDocument/2006/relationships/table" Target="../tables/table35.xml"/><Relationship Id="rId17" Type="http://schemas.openxmlformats.org/officeDocument/2006/relationships/table" Target="../tables/table40.xml"/><Relationship Id="rId25" Type="http://schemas.openxmlformats.org/officeDocument/2006/relationships/table" Target="../tables/table48.xml"/><Relationship Id="rId2" Type="http://schemas.openxmlformats.org/officeDocument/2006/relationships/drawing" Target="../drawings/drawing4.xml"/><Relationship Id="rId16" Type="http://schemas.openxmlformats.org/officeDocument/2006/relationships/table" Target="../tables/table39.xml"/><Relationship Id="rId20" Type="http://schemas.openxmlformats.org/officeDocument/2006/relationships/table" Target="../tables/table43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9.xml"/><Relationship Id="rId11" Type="http://schemas.openxmlformats.org/officeDocument/2006/relationships/table" Target="../tables/table34.xml"/><Relationship Id="rId24" Type="http://schemas.openxmlformats.org/officeDocument/2006/relationships/table" Target="../tables/table47.xml"/><Relationship Id="rId5" Type="http://schemas.openxmlformats.org/officeDocument/2006/relationships/table" Target="../tables/table28.xml"/><Relationship Id="rId15" Type="http://schemas.openxmlformats.org/officeDocument/2006/relationships/table" Target="../tables/table38.xml"/><Relationship Id="rId23" Type="http://schemas.openxmlformats.org/officeDocument/2006/relationships/table" Target="../tables/table46.xml"/><Relationship Id="rId10" Type="http://schemas.openxmlformats.org/officeDocument/2006/relationships/table" Target="../tables/table33.xml"/><Relationship Id="rId19" Type="http://schemas.openxmlformats.org/officeDocument/2006/relationships/table" Target="../tables/table42.xml"/><Relationship Id="rId4" Type="http://schemas.openxmlformats.org/officeDocument/2006/relationships/table" Target="../tables/table27.xml"/><Relationship Id="rId9" Type="http://schemas.openxmlformats.org/officeDocument/2006/relationships/table" Target="../tables/table32.xml"/><Relationship Id="rId14" Type="http://schemas.openxmlformats.org/officeDocument/2006/relationships/table" Target="../tables/table37.xml"/><Relationship Id="rId22" Type="http://schemas.openxmlformats.org/officeDocument/2006/relationships/table" Target="../tables/table4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51AB-8358-4144-B160-43EE30846331}">
  <sheetPr>
    <tabColor rgb="FFFFC000"/>
  </sheetPr>
  <dimension ref="B2:O52"/>
  <sheetViews>
    <sheetView tabSelected="1" zoomScaleNormal="100" workbookViewId="0">
      <selection activeCell="K10" sqref="K10"/>
    </sheetView>
  </sheetViews>
  <sheetFormatPr defaultColWidth="9.140625" defaultRowHeight="12.75" x14ac:dyDescent="0.2"/>
  <cols>
    <col min="1" max="3" width="9.140625" style="3"/>
    <col min="4" max="4" width="23.140625" style="3" customWidth="1"/>
    <col min="5" max="5" width="10.28515625" style="3" customWidth="1"/>
    <col min="6" max="6" width="18.42578125" style="3" customWidth="1"/>
    <col min="7" max="7" width="18.5703125" style="3" customWidth="1"/>
    <col min="8" max="8" width="9.140625" style="3"/>
    <col min="9" max="9" width="24.42578125" style="3" customWidth="1"/>
    <col min="10" max="10" width="25" style="3" customWidth="1"/>
    <col min="11" max="15" width="16.7109375" style="3" customWidth="1"/>
    <col min="16" max="16" width="9.140625" style="3"/>
    <col min="17" max="17" width="20.85546875" style="3" bestFit="1" customWidth="1"/>
    <col min="18" max="23" width="16.7109375" style="3" customWidth="1"/>
    <col min="24" max="16384" width="9.140625" style="3"/>
  </cols>
  <sheetData>
    <row r="2" spans="2:15" x14ac:dyDescent="0.2">
      <c r="B2" s="138" t="s">
        <v>90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2:15" x14ac:dyDescent="0.2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2:15" x14ac:dyDescent="0.2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2:15" x14ac:dyDescent="0.2"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2:15" x14ac:dyDescent="0.2"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2:15" ht="23.25" x14ac:dyDescent="0.35">
      <c r="B7" s="136" t="s">
        <v>42</v>
      </c>
      <c r="C7" s="136"/>
      <c r="D7" s="136"/>
      <c r="E7" s="136"/>
      <c r="F7" s="136"/>
      <c r="G7" s="136"/>
      <c r="I7" s="136" t="s">
        <v>89</v>
      </c>
      <c r="J7" s="136"/>
      <c r="K7" s="136"/>
      <c r="L7" s="136"/>
      <c r="M7" s="136"/>
      <c r="N7" s="136"/>
      <c r="O7" s="136"/>
    </row>
    <row r="8" spans="2:15" x14ac:dyDescent="0.2">
      <c r="B8" s="137" t="s">
        <v>85</v>
      </c>
      <c r="C8" s="137"/>
      <c r="D8" s="137"/>
      <c r="E8" s="137"/>
      <c r="F8" s="137"/>
      <c r="G8" s="137"/>
    </row>
    <row r="9" spans="2:15" ht="27" x14ac:dyDescent="0.2">
      <c r="B9" s="41" t="s">
        <v>36</v>
      </c>
      <c r="C9" s="41" t="s">
        <v>37</v>
      </c>
      <c r="D9" s="41" t="s">
        <v>38</v>
      </c>
      <c r="E9" s="43" t="s">
        <v>43</v>
      </c>
      <c r="F9" s="43" t="s">
        <v>41</v>
      </c>
      <c r="G9" s="43" t="s">
        <v>50</v>
      </c>
      <c r="I9" s="16" t="s">
        <v>2</v>
      </c>
      <c r="J9" s="58" t="s">
        <v>44</v>
      </c>
      <c r="K9" s="58" t="s">
        <v>211</v>
      </c>
      <c r="L9" s="58" t="s">
        <v>46</v>
      </c>
      <c r="M9" s="58" t="s">
        <v>200</v>
      </c>
      <c r="N9" s="58" t="s">
        <v>45</v>
      </c>
      <c r="O9" s="58" t="s">
        <v>201</v>
      </c>
    </row>
    <row r="10" spans="2:15" x14ac:dyDescent="0.2">
      <c r="B10" s="44">
        <v>1</v>
      </c>
      <c r="C10" s="16" t="s">
        <v>39</v>
      </c>
      <c r="D10" s="104" t="s">
        <v>167</v>
      </c>
      <c r="E10" s="1"/>
      <c r="F10" s="1"/>
      <c r="G10" s="1"/>
      <c r="I10" s="74" t="s">
        <v>55</v>
      </c>
      <c r="J10" s="59"/>
      <c r="K10" s="59"/>
      <c r="L10" s="1"/>
      <c r="M10" s="1"/>
      <c r="N10" s="1"/>
      <c r="O10" s="1"/>
    </row>
    <row r="11" spans="2:15" x14ac:dyDescent="0.2">
      <c r="B11" s="44">
        <v>2</v>
      </c>
      <c r="C11" s="16" t="s">
        <v>39</v>
      </c>
      <c r="D11" s="104" t="s">
        <v>7</v>
      </c>
      <c r="E11" s="1"/>
      <c r="F11" s="1"/>
      <c r="G11" s="1"/>
      <c r="I11" s="16" t="s">
        <v>56</v>
      </c>
      <c r="J11" s="59"/>
      <c r="K11" s="59"/>
      <c r="L11" s="1"/>
      <c r="M11" s="1"/>
      <c r="N11" s="1"/>
      <c r="O11" s="1"/>
    </row>
    <row r="12" spans="2:15" x14ac:dyDescent="0.2">
      <c r="B12" s="44">
        <v>3</v>
      </c>
      <c r="C12" s="16" t="s">
        <v>39</v>
      </c>
      <c r="D12" s="104" t="s">
        <v>8</v>
      </c>
      <c r="E12" s="1"/>
      <c r="F12" s="1"/>
      <c r="G12" s="1"/>
      <c r="I12" s="16" t="s">
        <v>57</v>
      </c>
      <c r="J12" s="59"/>
      <c r="K12" s="59"/>
      <c r="L12" s="1"/>
      <c r="M12" s="1"/>
      <c r="N12" s="1"/>
      <c r="O12" s="1"/>
    </row>
    <row r="13" spans="2:15" x14ac:dyDescent="0.2">
      <c r="B13" s="44">
        <v>4</v>
      </c>
      <c r="C13" s="16" t="s">
        <v>39</v>
      </c>
      <c r="D13" s="104" t="s">
        <v>9</v>
      </c>
      <c r="E13" s="1"/>
      <c r="F13" s="1"/>
      <c r="G13" s="1"/>
      <c r="I13" s="16" t="s">
        <v>58</v>
      </c>
      <c r="J13" s="59"/>
      <c r="K13" s="59"/>
      <c r="L13" s="1"/>
      <c r="M13" s="1"/>
      <c r="N13" s="1"/>
      <c r="O13" s="1"/>
    </row>
    <row r="14" spans="2:15" x14ac:dyDescent="0.2">
      <c r="B14" s="44">
        <v>5</v>
      </c>
      <c r="C14" s="16" t="s">
        <v>39</v>
      </c>
      <c r="D14" s="104" t="s">
        <v>10</v>
      </c>
      <c r="E14" s="1"/>
      <c r="F14" s="1"/>
      <c r="G14" s="1"/>
      <c r="I14" s="16" t="s">
        <v>59</v>
      </c>
      <c r="J14" s="59"/>
      <c r="K14" s="59"/>
      <c r="L14" s="1"/>
      <c r="M14" s="1"/>
      <c r="N14" s="1"/>
      <c r="O14" s="1"/>
    </row>
    <row r="15" spans="2:15" x14ac:dyDescent="0.2">
      <c r="B15" s="44">
        <v>6</v>
      </c>
      <c r="C15" s="16" t="s">
        <v>39</v>
      </c>
      <c r="D15" s="104" t="s">
        <v>11</v>
      </c>
      <c r="E15" s="1"/>
      <c r="F15" s="1"/>
      <c r="G15" s="1"/>
      <c r="I15" s="16" t="s">
        <v>60</v>
      </c>
      <c r="J15" s="59"/>
      <c r="K15" s="59"/>
      <c r="L15" s="1"/>
      <c r="M15" s="1"/>
      <c r="N15" s="1"/>
      <c r="O15" s="1"/>
    </row>
    <row r="16" spans="2:15" x14ac:dyDescent="0.2">
      <c r="B16" s="44">
        <v>7</v>
      </c>
      <c r="C16" s="16" t="s">
        <v>40</v>
      </c>
      <c r="D16" s="104" t="s">
        <v>86</v>
      </c>
      <c r="E16" s="1"/>
      <c r="F16" s="1"/>
      <c r="G16" s="1"/>
      <c r="I16" s="16" t="s">
        <v>61</v>
      </c>
      <c r="J16" s="59"/>
      <c r="K16" s="59"/>
      <c r="L16" s="1"/>
      <c r="M16" s="1"/>
      <c r="N16" s="1"/>
      <c r="O16" s="1"/>
    </row>
    <row r="17" spans="2:15" x14ac:dyDescent="0.2">
      <c r="B17" s="44">
        <v>8</v>
      </c>
      <c r="C17" s="16" t="s">
        <v>40</v>
      </c>
      <c r="D17" s="104" t="s">
        <v>94</v>
      </c>
      <c r="E17" s="1"/>
      <c r="F17" s="1"/>
      <c r="G17" s="1"/>
      <c r="I17" s="16" t="s">
        <v>62</v>
      </c>
      <c r="J17" s="59"/>
      <c r="K17" s="59"/>
      <c r="L17" s="1"/>
      <c r="M17" s="1"/>
      <c r="N17" s="1"/>
      <c r="O17" s="1"/>
    </row>
    <row r="18" spans="2:15" x14ac:dyDescent="0.2">
      <c r="B18" s="44">
        <v>9</v>
      </c>
      <c r="C18" s="16" t="s">
        <v>40</v>
      </c>
      <c r="D18" s="104" t="s">
        <v>169</v>
      </c>
      <c r="E18" s="1"/>
      <c r="F18" s="1"/>
      <c r="G18" s="1"/>
      <c r="I18" s="16" t="s">
        <v>63</v>
      </c>
      <c r="J18" s="59"/>
      <c r="K18" s="59"/>
      <c r="L18" s="1"/>
      <c r="M18" s="1"/>
      <c r="N18" s="1"/>
      <c r="O18" s="1"/>
    </row>
    <row r="19" spans="2:15" x14ac:dyDescent="0.2">
      <c r="B19" s="44">
        <v>10</v>
      </c>
      <c r="C19" s="16" t="s">
        <v>40</v>
      </c>
      <c r="D19" s="104" t="s">
        <v>98</v>
      </c>
      <c r="E19" s="1"/>
      <c r="F19" s="1"/>
      <c r="G19" s="1"/>
      <c r="I19" s="16" t="s">
        <v>54</v>
      </c>
      <c r="J19" s="59"/>
      <c r="K19" s="59"/>
      <c r="L19" s="1"/>
      <c r="M19" s="1"/>
      <c r="N19" s="1"/>
      <c r="O19" s="1"/>
    </row>
    <row r="20" spans="2:15" x14ac:dyDescent="0.2">
      <c r="B20" s="44">
        <v>11</v>
      </c>
      <c r="C20" s="16" t="s">
        <v>40</v>
      </c>
      <c r="D20" s="104" t="s">
        <v>87</v>
      </c>
      <c r="E20" s="1"/>
      <c r="F20" s="1"/>
      <c r="G20" s="1"/>
      <c r="I20" s="16" t="s">
        <v>110</v>
      </c>
      <c r="J20" s="86" t="s">
        <v>111</v>
      </c>
      <c r="K20" s="86" t="s">
        <v>112</v>
      </c>
      <c r="L20" s="1"/>
      <c r="M20" s="1"/>
      <c r="N20" s="1"/>
      <c r="O20" s="1"/>
    </row>
    <row r="21" spans="2:15" x14ac:dyDescent="0.2">
      <c r="B21" s="44">
        <v>12</v>
      </c>
      <c r="C21" s="16" t="s">
        <v>40</v>
      </c>
      <c r="D21" s="104" t="s">
        <v>88</v>
      </c>
      <c r="E21" s="1"/>
      <c r="F21" s="1"/>
      <c r="G21" s="1"/>
    </row>
    <row r="22" spans="2:15" x14ac:dyDescent="0.2">
      <c r="B22" s="44">
        <v>13</v>
      </c>
      <c r="C22" s="16" t="s">
        <v>40</v>
      </c>
      <c r="D22" s="104" t="s">
        <v>170</v>
      </c>
      <c r="E22" s="1"/>
      <c r="F22" s="1"/>
      <c r="G22" s="1"/>
      <c r="I22" s="16" t="s">
        <v>124</v>
      </c>
      <c r="J22" s="70" t="s">
        <v>49</v>
      </c>
    </row>
    <row r="23" spans="2:15" x14ac:dyDescent="0.2">
      <c r="B23" s="44">
        <v>14</v>
      </c>
      <c r="C23" s="16" t="s">
        <v>40</v>
      </c>
      <c r="D23" s="104" t="s">
        <v>94</v>
      </c>
      <c r="E23" s="1"/>
      <c r="F23" s="1"/>
      <c r="G23" s="1"/>
      <c r="I23" s="16" t="s">
        <v>125</v>
      </c>
      <c r="J23" s="1"/>
    </row>
    <row r="24" spans="2:15" x14ac:dyDescent="0.2">
      <c r="B24" s="44">
        <v>15</v>
      </c>
      <c r="C24" s="16" t="s">
        <v>40</v>
      </c>
      <c r="D24" s="104" t="s">
        <v>97</v>
      </c>
      <c r="E24" s="1"/>
      <c r="F24" s="1"/>
      <c r="G24" s="1"/>
      <c r="I24" s="16" t="s">
        <v>126</v>
      </c>
      <c r="J24" s="1"/>
    </row>
    <row r="25" spans="2:15" x14ac:dyDescent="0.2">
      <c r="B25" s="44">
        <v>16</v>
      </c>
      <c r="C25" s="16" t="s">
        <v>40</v>
      </c>
      <c r="D25" s="104" t="s">
        <v>74</v>
      </c>
      <c r="E25" s="1"/>
      <c r="F25" s="1"/>
      <c r="G25" s="1"/>
    </row>
    <row r="26" spans="2:15" x14ac:dyDescent="0.2">
      <c r="B26" s="44">
        <v>17</v>
      </c>
      <c r="C26" s="16" t="s">
        <v>40</v>
      </c>
      <c r="D26" s="104" t="s">
        <v>75</v>
      </c>
      <c r="E26" s="1"/>
      <c r="F26" s="1"/>
      <c r="G26" s="1"/>
      <c r="I26" s="16" t="s">
        <v>52</v>
      </c>
      <c r="J26" s="70"/>
    </row>
    <row r="27" spans="2:15" x14ac:dyDescent="0.2">
      <c r="B27" s="44">
        <v>18</v>
      </c>
      <c r="C27" s="16" t="s">
        <v>40</v>
      </c>
      <c r="D27" s="104" t="s">
        <v>76</v>
      </c>
      <c r="E27" s="1"/>
      <c r="F27" s="1"/>
      <c r="G27" s="1"/>
      <c r="I27" s="16" t="s">
        <v>51</v>
      </c>
      <c r="J27" s="1"/>
    </row>
    <row r="28" spans="2:15" x14ac:dyDescent="0.2">
      <c r="B28" s="44">
        <v>19</v>
      </c>
      <c r="C28" s="16" t="s">
        <v>40</v>
      </c>
      <c r="D28" s="104" t="s">
        <v>77</v>
      </c>
      <c r="E28" s="1"/>
      <c r="F28" s="1"/>
      <c r="G28" s="1"/>
      <c r="I28" s="16" t="s">
        <v>127</v>
      </c>
      <c r="J28" s="1"/>
    </row>
    <row r="29" spans="2:15" x14ac:dyDescent="0.2">
      <c r="B29" s="44">
        <v>20</v>
      </c>
      <c r="C29" s="16" t="s">
        <v>40</v>
      </c>
      <c r="D29" s="104" t="s">
        <v>78</v>
      </c>
      <c r="E29" s="1"/>
      <c r="F29" s="1"/>
      <c r="G29" s="1"/>
      <c r="I29" s="16" t="s">
        <v>128</v>
      </c>
      <c r="J29" s="1"/>
    </row>
    <row r="30" spans="2:15" x14ac:dyDescent="0.2">
      <c r="B30" s="44">
        <v>21</v>
      </c>
      <c r="C30" s="16" t="s">
        <v>40</v>
      </c>
      <c r="D30" s="104" t="s">
        <v>79</v>
      </c>
      <c r="E30" s="1"/>
      <c r="F30" s="1"/>
      <c r="G30" s="1"/>
      <c r="I30" s="16" t="s">
        <v>209</v>
      </c>
      <c r="J30" s="1"/>
    </row>
    <row r="31" spans="2:15" x14ac:dyDescent="0.2">
      <c r="B31" s="44">
        <v>22</v>
      </c>
      <c r="C31" s="16" t="s">
        <v>40</v>
      </c>
      <c r="D31" s="104" t="s">
        <v>80</v>
      </c>
      <c r="E31" s="1"/>
      <c r="F31" s="1"/>
      <c r="G31" s="1"/>
    </row>
    <row r="32" spans="2:15" x14ac:dyDescent="0.2">
      <c r="B32" s="44">
        <v>23</v>
      </c>
      <c r="C32" s="16" t="s">
        <v>40</v>
      </c>
      <c r="D32" s="104" t="s">
        <v>81</v>
      </c>
      <c r="E32" s="1"/>
      <c r="F32" s="1"/>
      <c r="G32" s="1"/>
      <c r="I32" s="10" t="s">
        <v>64</v>
      </c>
    </row>
    <row r="33" spans="2:11" x14ac:dyDescent="0.2">
      <c r="B33" s="44">
        <v>24</v>
      </c>
      <c r="C33" s="16" t="s">
        <v>40</v>
      </c>
      <c r="D33" s="104" t="s">
        <v>171</v>
      </c>
      <c r="E33" s="1"/>
      <c r="F33" s="1"/>
      <c r="G33" s="1"/>
      <c r="I33" s="16" t="s">
        <v>53</v>
      </c>
      <c r="J33" s="16" t="s">
        <v>113</v>
      </c>
      <c r="K33" s="16" t="s">
        <v>210</v>
      </c>
    </row>
    <row r="34" spans="2:11" x14ac:dyDescent="0.2">
      <c r="B34" s="44">
        <v>25</v>
      </c>
      <c r="C34" s="16" t="s">
        <v>40</v>
      </c>
      <c r="D34" s="104" t="s">
        <v>82</v>
      </c>
      <c r="E34" s="1"/>
      <c r="F34" s="1"/>
      <c r="G34" s="1"/>
      <c r="I34" s="71">
        <v>0</v>
      </c>
      <c r="J34" s="1"/>
      <c r="K34" s="1"/>
    </row>
    <row r="35" spans="2:11" x14ac:dyDescent="0.2">
      <c r="I35" s="72"/>
      <c r="J35" s="1"/>
      <c r="K35" s="1"/>
    </row>
    <row r="36" spans="2:11" x14ac:dyDescent="0.2">
      <c r="I36" s="72"/>
      <c r="J36" s="1"/>
      <c r="K36" s="1"/>
    </row>
    <row r="37" spans="2:11" x14ac:dyDescent="0.2">
      <c r="I37" s="72"/>
      <c r="J37" s="1"/>
      <c r="K37" s="1"/>
    </row>
    <row r="38" spans="2:11" x14ac:dyDescent="0.2">
      <c r="I38" s="72"/>
      <c r="J38" s="1"/>
      <c r="K38" s="1"/>
    </row>
    <row r="39" spans="2:11" x14ac:dyDescent="0.2">
      <c r="I39" s="72"/>
      <c r="J39" s="1"/>
      <c r="K39" s="1"/>
    </row>
    <row r="40" spans="2:11" x14ac:dyDescent="0.2">
      <c r="I40" s="72"/>
      <c r="J40" s="1"/>
      <c r="K40" s="1"/>
    </row>
    <row r="41" spans="2:11" x14ac:dyDescent="0.2">
      <c r="I41" s="72"/>
      <c r="J41" s="1"/>
      <c r="K41" s="1"/>
    </row>
    <row r="42" spans="2:11" x14ac:dyDescent="0.2">
      <c r="I42" s="72"/>
      <c r="J42" s="1"/>
      <c r="K42" s="1"/>
    </row>
    <row r="43" spans="2:11" x14ac:dyDescent="0.2">
      <c r="I43" s="72"/>
      <c r="J43" s="1"/>
      <c r="K43" s="1"/>
    </row>
    <row r="44" spans="2:11" x14ac:dyDescent="0.2">
      <c r="I44" s="72"/>
      <c r="J44" s="1"/>
      <c r="K44" s="1"/>
    </row>
    <row r="45" spans="2:11" x14ac:dyDescent="0.2">
      <c r="I45" s="72"/>
      <c r="J45" s="1"/>
      <c r="K45" s="1"/>
    </row>
    <row r="46" spans="2:11" x14ac:dyDescent="0.2">
      <c r="I46" s="72"/>
      <c r="J46" s="1"/>
      <c r="K46" s="1"/>
    </row>
    <row r="47" spans="2:11" x14ac:dyDescent="0.2">
      <c r="I47" s="72"/>
      <c r="J47" s="1"/>
      <c r="K47" s="1"/>
    </row>
    <row r="48" spans="2:11" x14ac:dyDescent="0.2">
      <c r="I48" s="72"/>
      <c r="J48" s="1"/>
      <c r="K48" s="1"/>
    </row>
    <row r="49" spans="9:11" x14ac:dyDescent="0.2">
      <c r="I49" s="72"/>
      <c r="J49" s="1"/>
      <c r="K49" s="1"/>
    </row>
    <row r="50" spans="9:11" x14ac:dyDescent="0.2">
      <c r="I50" s="72"/>
      <c r="J50" s="1"/>
      <c r="K50" s="1"/>
    </row>
    <row r="51" spans="9:11" x14ac:dyDescent="0.2">
      <c r="I51" s="72"/>
      <c r="J51" s="1"/>
      <c r="K51" s="1"/>
    </row>
    <row r="52" spans="9:11" x14ac:dyDescent="0.2">
      <c r="I52" s="72"/>
      <c r="J52" s="1"/>
      <c r="K52" s="1"/>
    </row>
  </sheetData>
  <sheetProtection algorithmName="SHA-512" hashValue="V3djZhzLLT2iKCYmk76d0yD4WDvY0YDsUW4W1QUXB/opgP1gnqMGU1LUHmODdX3G9z85sQuLJ31kfpWUwrnJqQ==" saltValue="41i7lWswZ3Fp6nPrporWdQ==" spinCount="100000" sheet="1" objects="1" scenarios="1"/>
  <sortState xmlns:xlrd2="http://schemas.microsoft.com/office/spreadsheetml/2017/richdata2" ref="H13:H225">
    <sortCondition sortBy="cellColor" ref="H13:H225" dxfId="592"/>
  </sortState>
  <mergeCells count="4">
    <mergeCell ref="B7:G7"/>
    <mergeCell ref="I7:O7"/>
    <mergeCell ref="B8:G8"/>
    <mergeCell ref="B2:O6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1435-34E5-44E3-92A0-AE9D27E08DD0}">
  <sheetPr>
    <tabColor rgb="FFFFC000"/>
  </sheetPr>
  <dimension ref="B2:AR332"/>
  <sheetViews>
    <sheetView zoomScaleNormal="100" workbookViewId="0">
      <selection activeCell="U42" sqref="U42"/>
    </sheetView>
  </sheetViews>
  <sheetFormatPr defaultColWidth="9.140625" defaultRowHeight="12.75" x14ac:dyDescent="0.2"/>
  <cols>
    <col min="1" max="1" width="3.42578125" style="3" customWidth="1"/>
    <col min="2" max="2" width="21" style="3" customWidth="1"/>
    <col min="3" max="3" width="14.42578125" style="3" customWidth="1"/>
    <col min="4" max="4" width="13.28515625" style="3" customWidth="1"/>
    <col min="5" max="5" width="13.42578125" style="3" customWidth="1"/>
    <col min="6" max="6" width="20.28515625" style="3" customWidth="1"/>
    <col min="7" max="7" width="16.42578125" style="3" customWidth="1"/>
    <col min="8" max="8" width="15.7109375" style="35" customWidth="1"/>
    <col min="9" max="9" width="18.7109375" style="105" customWidth="1"/>
    <col min="10" max="10" width="14.7109375" style="63" customWidth="1"/>
    <col min="11" max="11" width="16.85546875" style="3" bestFit="1" customWidth="1"/>
    <col min="12" max="12" width="21.7109375" style="3" customWidth="1"/>
    <col min="13" max="13" width="11.85546875" style="3" customWidth="1"/>
    <col min="14" max="54" width="10.42578125" style="3" customWidth="1"/>
    <col min="55" max="16384" width="9.140625" style="3"/>
  </cols>
  <sheetData>
    <row r="2" spans="2:26" x14ac:dyDescent="0.2">
      <c r="D2" s="42" t="s">
        <v>13</v>
      </c>
      <c r="E2" s="1"/>
      <c r="H2" s="67" t="s">
        <v>35</v>
      </c>
      <c r="I2" s="121">
        <f>SUM(WB_Punten_AG,WB_PuntenRG_TV,WB_PuntenCM_TV,WB_PuntenRatio,WB_PuntenLineariteit)</f>
        <v>0</v>
      </c>
    </row>
    <row r="3" spans="2:26" x14ac:dyDescent="0.2">
      <c r="D3" s="42" t="s">
        <v>0</v>
      </c>
      <c r="E3" s="21"/>
      <c r="H3" s="67" t="s">
        <v>177</v>
      </c>
      <c r="I3" s="110">
        <f>IF(N78="Voldoet",10*I2/WB_Punt_MAX,0)</f>
        <v>0</v>
      </c>
      <c r="Q3" s="83"/>
    </row>
    <row r="4" spans="2:26" ht="29.25" customHeight="1" x14ac:dyDescent="0.2">
      <c r="H4" s="141" t="s">
        <v>134</v>
      </c>
      <c r="I4" s="142"/>
    </row>
    <row r="5" spans="2:26" ht="19.5" customHeight="1" x14ac:dyDescent="0.2">
      <c r="H5" s="139" t="s">
        <v>133</v>
      </c>
      <c r="I5" s="140"/>
    </row>
    <row r="6" spans="2:26" ht="23.25" x14ac:dyDescent="0.35">
      <c r="B6" s="136" t="s">
        <v>19</v>
      </c>
      <c r="C6" s="136"/>
      <c r="D6" s="136"/>
      <c r="E6" s="136"/>
      <c r="F6" s="136"/>
      <c r="G6" s="136"/>
      <c r="H6" s="136"/>
      <c r="I6" s="136"/>
      <c r="J6" s="66"/>
      <c r="K6" s="57"/>
      <c r="L6" s="136" t="s">
        <v>20</v>
      </c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57"/>
    </row>
    <row r="7" spans="2:26" ht="23.25" x14ac:dyDescent="0.35">
      <c r="B7" s="136" t="s">
        <v>83</v>
      </c>
      <c r="C7" s="136"/>
      <c r="D7" s="136"/>
      <c r="E7" s="136"/>
      <c r="F7" s="136"/>
      <c r="G7" s="136"/>
      <c r="H7" s="136"/>
      <c r="I7" s="136"/>
      <c r="J7" s="64"/>
      <c r="K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2:26" ht="20.25" x14ac:dyDescent="0.2">
      <c r="B8" s="4" t="s">
        <v>1</v>
      </c>
      <c r="E8" s="5"/>
      <c r="F8" s="6"/>
      <c r="L8" s="4" t="s">
        <v>65</v>
      </c>
      <c r="O8" s="82"/>
      <c r="X8" s="83"/>
    </row>
    <row r="9" spans="2:26" ht="39" thickBot="1" x14ac:dyDescent="0.25">
      <c r="B9" s="14" t="s">
        <v>2</v>
      </c>
      <c r="C9" s="15" t="s">
        <v>70</v>
      </c>
      <c r="D9" s="15" t="s">
        <v>3</v>
      </c>
      <c r="E9" s="15" t="s">
        <v>47</v>
      </c>
      <c r="F9" s="15" t="s">
        <v>48</v>
      </c>
      <c r="G9" s="15" t="s">
        <v>67</v>
      </c>
      <c r="H9" s="36" t="s">
        <v>4</v>
      </c>
      <c r="I9" s="106" t="s">
        <v>5</v>
      </c>
      <c r="L9" s="23" t="s">
        <v>2</v>
      </c>
      <c r="M9" s="22" t="s">
        <v>68</v>
      </c>
      <c r="N9" s="22" t="s">
        <v>74</v>
      </c>
      <c r="O9" s="22" t="s">
        <v>75</v>
      </c>
      <c r="P9" s="22" t="s">
        <v>76</v>
      </c>
      <c r="Q9" s="22" t="s">
        <v>77</v>
      </c>
      <c r="R9" s="22" t="s">
        <v>78</v>
      </c>
      <c r="S9" s="22" t="s">
        <v>79</v>
      </c>
      <c r="T9" s="22" t="s">
        <v>80</v>
      </c>
      <c r="U9" s="22" t="s">
        <v>81</v>
      </c>
      <c r="V9" s="22" t="s">
        <v>16</v>
      </c>
      <c r="W9" s="24" t="s">
        <v>14</v>
      </c>
      <c r="X9" s="22" t="s">
        <v>69</v>
      </c>
      <c r="Y9" s="22" t="s">
        <v>32</v>
      </c>
    </row>
    <row r="10" spans="2:26" ht="13.5" thickTop="1" x14ac:dyDescent="0.2">
      <c r="B10" s="13" t="str">
        <f>'Sequence + methode WB'!I10</f>
        <v>44-DDD</v>
      </c>
      <c r="C10" s="25" t="str">
        <f>IF(VLOOKUP(WB_Kalibratie0[[#This Row],[Component]],Concentraties!$B$8:$L$17,2,FALSE)="","",VLOOKUP(WB_Kalibratie0[[#This Row],[Component]],Concentraties!$B$8:$L$17,2,FALSE))</f>
        <v>-</v>
      </c>
      <c r="D10" s="37"/>
      <c r="E10" s="39"/>
      <c r="F10" s="39"/>
      <c r="G10" s="37"/>
      <c r="H10" s="20" t="str">
        <f t="shared" ref="H10:H19" si="0">IFERROR(IF(C10="-","N.v.t.",IF(G10="","",100*G10/C10)),"")</f>
        <v>N.v.t.</v>
      </c>
      <c r="I10" s="107" t="str">
        <f t="shared" ref="I10:I19" si="1">IFERROR(MIN(E10,F10)/MAX(E10,F10),"")</f>
        <v/>
      </c>
      <c r="L10" s="18" t="str">
        <f>WB_Kalibratie0[[#This Row],[Component]]</f>
        <v>44-DDD</v>
      </c>
      <c r="M10" s="20" t="str">
        <f>IF(VLOOKUP(L10,Concentraties!$B$8:$L$17,10,FALSE)="","",VLOOKUP(L10,Concentraties!$B$8:$L$17,10,FALSE))</f>
        <v/>
      </c>
      <c r="N10" s="20" t="str">
        <f>IF(VLOOKUP($L10,WB_RG_1[],6,FALSE)="","",VLOOKUP($L10,WB_RG_1[],6,FALSE))</f>
        <v/>
      </c>
      <c r="O10" s="20" t="str">
        <f>IF(VLOOKUP($L10,WB_RG_2[],6,FALSE)="","",VLOOKUP($L10,WB_RG_2[],6,FALSE))</f>
        <v/>
      </c>
      <c r="P10" s="20" t="str">
        <f>IF(VLOOKUP($L10,WB_RG_3[],6,FALSE)="","",VLOOKUP($L10,WB_RG_3[],6,FALSE))</f>
        <v/>
      </c>
      <c r="Q10" s="20" t="str">
        <f>IF(VLOOKUP($L10,WB_RG_4[],6,FALSE)="","",VLOOKUP($L10,WB_RG_4[],6,FALSE))</f>
        <v/>
      </c>
      <c r="R10" s="20" t="str">
        <f>IF(VLOOKUP($L10,WB_RG_5[],6,FALSE)="","",VLOOKUP($L10,WB_RG_5[],6,FALSE))</f>
        <v/>
      </c>
      <c r="S10" s="20" t="str">
        <f>IF(VLOOKUP($L10,WB_RG_6[],6,FALSE)="","",VLOOKUP($L10,WB_RG_6[],6,FALSE))</f>
        <v/>
      </c>
      <c r="T10" s="20" t="str">
        <f>IF(VLOOKUP($L10,WB_RG_7[],6,FALSE)="","",VLOOKUP($L10,WB_RG_7[],6,FALSE))</f>
        <v/>
      </c>
      <c r="U10" s="20" t="str">
        <f>IF(VLOOKUP($L10,WB_RG_8[],6,FALSE)="","",VLOOKUP($L10,WB_RG_8[],6,FALSE))</f>
        <v/>
      </c>
      <c r="V10" s="26">
        <f t="shared" ref="V10:V19" si="2">COUNT(N10:U10)</f>
        <v>0</v>
      </c>
      <c r="W10" s="20" t="str">
        <f>IF(V10&lt;2,"",STDEV(N10:U10))</f>
        <v/>
      </c>
      <c r="X10" s="20" t="str">
        <f>IF(W10="","",W10*9)</f>
        <v/>
      </c>
      <c r="Y10" s="100" t="str" cm="1">
        <f t="array" ref="Y10">_xlfn.IFS(V10&lt;8,"",
AND(X10&gt;'Punten verdeling'!$C$9,X10&lt;='Punten verdeling'!$D$9),WB_AG_U,
AND(X10&gt;'Punten verdeling'!C$10,X10&lt;='Punten verdeling'!D$10),WB_AG_G,
AND(X10&gt;'Punten verdeling'!C$11,X10&lt;='Punten verdeling'!D$11),WB_AG_V,
X10&gt;'Punten verdeling'!C$12,WB_AG_O)</f>
        <v/>
      </c>
    </row>
    <row r="11" spans="2:26" x14ac:dyDescent="0.2">
      <c r="B11" s="13" t="str">
        <f>'Sequence + methode WB'!I11</f>
        <v>Antraceen</v>
      </c>
      <c r="C11" s="25" t="str">
        <f>IF(VLOOKUP(WB_Kalibratie0[[#This Row],[Component]],Concentraties!$B$8:$L$17,2,FALSE)="","",VLOOKUP(WB_Kalibratie0[[#This Row],[Component]],Concentraties!$B$8:$L$17,2,FALSE))</f>
        <v>-</v>
      </c>
      <c r="D11" s="38"/>
      <c r="E11" s="40"/>
      <c r="F11" s="40"/>
      <c r="G11" s="37"/>
      <c r="H11" s="20" t="str">
        <f t="shared" si="0"/>
        <v>N.v.t.</v>
      </c>
      <c r="I11" s="108" t="str">
        <f t="shared" si="1"/>
        <v/>
      </c>
      <c r="L11" s="17" t="str">
        <f>WB_Kalibratie0[[#This Row],[Component]]</f>
        <v>Antraceen</v>
      </c>
      <c r="M11" s="20" t="str">
        <f>IF(VLOOKUP(L11,Concentraties!$B$8:$L$17,10,FALSE)="","",VLOOKUP(L11,Concentraties!$B$8:$L$17,10,FALSE))</f>
        <v/>
      </c>
      <c r="N11" s="20" t="str">
        <f>IF(VLOOKUP($L11,WB_RG_1[],6,FALSE)="","",VLOOKUP($L11,WB_RG_1[],6,FALSE))</f>
        <v/>
      </c>
      <c r="O11" s="20" t="str">
        <f>IF(VLOOKUP($L11,WB_RG_2[],6,FALSE)="","",VLOOKUP($L11,WB_RG_2[],6,FALSE))</f>
        <v/>
      </c>
      <c r="P11" s="20" t="str">
        <f>IF(VLOOKUP($L11,WB_RG_3[],6,FALSE)="","",VLOOKUP($L11,WB_RG_3[],6,FALSE))</f>
        <v/>
      </c>
      <c r="Q11" s="20" t="str">
        <f>IF(VLOOKUP($L11,WB_RG_4[],6,FALSE)="","",VLOOKUP($L11,WB_RG_4[],6,FALSE))</f>
        <v/>
      </c>
      <c r="R11" s="20" t="str">
        <f>IF(VLOOKUP($L11,WB_RG_5[],6,FALSE)="","",VLOOKUP($L11,WB_RG_5[],6,FALSE))</f>
        <v/>
      </c>
      <c r="S11" s="20" t="str">
        <f>IF(VLOOKUP($L11,WB_RG_6[],6,FALSE)="","",VLOOKUP($L11,WB_RG_6[],6,FALSE))</f>
        <v/>
      </c>
      <c r="T11" s="20" t="str">
        <f>IF(VLOOKUP($L11,WB_RG_7[],6,FALSE)="","",VLOOKUP($L11,WB_RG_7[],6,FALSE))</f>
        <v/>
      </c>
      <c r="U11" s="20" t="str">
        <f>IF(VLOOKUP($L11,WB_RG_8[],6,FALSE)="","",VLOOKUP($L11,WB_RG_8[],6,FALSE))</f>
        <v/>
      </c>
      <c r="V11" s="26">
        <f t="shared" si="2"/>
        <v>0</v>
      </c>
      <c r="W11" s="20" t="str">
        <f t="shared" ref="W11:W19" si="3">IF(V11&lt;2,"",STDEV(N11:U11))</f>
        <v/>
      </c>
      <c r="X11" s="20" t="str">
        <f t="shared" ref="X11:X19" si="4">IF(W11="","",W11*9)</f>
        <v/>
      </c>
      <c r="Y11" s="100" t="str" cm="1">
        <f t="array" ref="Y11">_xlfn.IFS(V11&lt;8,"",
AND(X11&gt;'Punten verdeling'!$C$13,X11&lt;='Punten verdeling'!$D$13),WB_AG_PAK_U,
AND(X11&gt;'Punten verdeling'!C$14,X11&lt;='Punten verdeling'!D$14),WB_AG_PAK_G,
AND(X11&gt;'Punten verdeling'!C$15,X11&lt;='Punten verdeling'!D$15),WB_AG_PAK_V,
X11&gt;'Punten verdeling'!C$16,WB_AG_PAK_O)</f>
        <v/>
      </c>
    </row>
    <row r="12" spans="2:26" x14ac:dyDescent="0.2">
      <c r="B12" s="13" t="str">
        <f>'Sequence + methode WB'!I12</f>
        <v>Benzo(a)pyreen</v>
      </c>
      <c r="C12" s="25" t="str">
        <f>IF(VLOOKUP(WB_Kalibratie0[[#This Row],[Component]],Concentraties!$B$8:$L$17,2,FALSE)="","",VLOOKUP(WB_Kalibratie0[[#This Row],[Component]],Concentraties!$B$8:$L$17,2,FALSE))</f>
        <v>-</v>
      </c>
      <c r="D12" s="38"/>
      <c r="E12" s="40"/>
      <c r="F12" s="40"/>
      <c r="G12" s="37"/>
      <c r="H12" s="20" t="str">
        <f t="shared" si="0"/>
        <v>N.v.t.</v>
      </c>
      <c r="I12" s="108" t="str">
        <f t="shared" si="1"/>
        <v/>
      </c>
      <c r="L12" s="17" t="str">
        <f>WB_Kalibratie0[[#This Row],[Component]]</f>
        <v>Benzo(a)pyreen</v>
      </c>
      <c r="M12" s="20" t="str">
        <f>IF(VLOOKUP(L12,Concentraties!$B$8:$L$17,10,FALSE)="","",VLOOKUP(L12,Concentraties!$B$8:$L$17,10,FALSE))</f>
        <v/>
      </c>
      <c r="N12" s="20" t="str">
        <f>IF(VLOOKUP($L12,WB_RG_1[],6,FALSE)="","",VLOOKUP($L12,WB_RG_1[],6,FALSE))</f>
        <v/>
      </c>
      <c r="O12" s="20" t="str">
        <f>IF(VLOOKUP($L12,WB_RG_2[],6,FALSE)="","",VLOOKUP($L12,WB_RG_2[],6,FALSE))</f>
        <v/>
      </c>
      <c r="P12" s="20" t="str">
        <f>IF(VLOOKUP($L12,WB_RG_3[],6,FALSE)="","",VLOOKUP($L12,WB_RG_3[],6,FALSE))</f>
        <v/>
      </c>
      <c r="Q12" s="20" t="str">
        <f>IF(VLOOKUP($L12,WB_RG_4[],6,FALSE)="","",VLOOKUP($L12,WB_RG_4[],6,FALSE))</f>
        <v/>
      </c>
      <c r="R12" s="20" t="str">
        <f>IF(VLOOKUP($L12,WB_RG_5[],6,FALSE)="","",VLOOKUP($L12,WB_RG_5[],6,FALSE))</f>
        <v/>
      </c>
      <c r="S12" s="20" t="str">
        <f>IF(VLOOKUP($L12,WB_RG_6[],6,FALSE)="","",VLOOKUP($L12,WB_RG_6[],6,FALSE))</f>
        <v/>
      </c>
      <c r="T12" s="20" t="str">
        <f>IF(VLOOKUP($L12,WB_RG_7[],6,FALSE)="","",VLOOKUP($L12,WB_RG_7[],6,FALSE))</f>
        <v/>
      </c>
      <c r="U12" s="20" t="str">
        <f>IF(VLOOKUP($L12,WB_RG_8[],6,FALSE)="","",VLOOKUP($L12,WB_RG_8[],6,FALSE))</f>
        <v/>
      </c>
      <c r="V12" s="26">
        <f t="shared" si="2"/>
        <v>0</v>
      </c>
      <c r="W12" s="20" t="str">
        <f t="shared" si="3"/>
        <v/>
      </c>
      <c r="X12" s="20" t="str">
        <f t="shared" si="4"/>
        <v/>
      </c>
      <c r="Y12" s="100" t="str" cm="1">
        <f t="array" ref="Y12">_xlfn.IFS(V12&lt;8,"",
AND(X12&gt;'Punten verdeling'!$C$13,X12&lt;='Punten verdeling'!$D$13),WB_AG_PAK_U,
AND(X12&gt;'Punten verdeling'!C$14,X12&lt;='Punten verdeling'!D$14),WB_AG_PAK_G,
AND(X12&gt;'Punten verdeling'!C$15,X12&lt;='Punten verdeling'!D$15),WB_AG_PAK_V,
X12&gt;'Punten verdeling'!C$16,WB_AG_PAK_O)</f>
        <v/>
      </c>
    </row>
    <row r="13" spans="2:26" x14ac:dyDescent="0.2">
      <c r="B13" s="13" t="str">
        <f>'Sequence + methode WB'!I13</f>
        <v>Benzo(ghi)peryleen</v>
      </c>
      <c r="C13" s="25" t="str">
        <f>IF(VLOOKUP(WB_Kalibratie0[[#This Row],[Component]],Concentraties!$B$8:$L$17,2,FALSE)="","",VLOOKUP(WB_Kalibratie0[[#This Row],[Component]],Concentraties!$B$8:$L$17,2,FALSE))</f>
        <v>-</v>
      </c>
      <c r="D13" s="38"/>
      <c r="E13" s="40"/>
      <c r="F13" s="40"/>
      <c r="G13" s="37"/>
      <c r="H13" s="20" t="str">
        <f t="shared" si="0"/>
        <v>N.v.t.</v>
      </c>
      <c r="I13" s="108" t="str">
        <f t="shared" si="1"/>
        <v/>
      </c>
      <c r="L13" s="17" t="str">
        <f>WB_Kalibratie0[[#This Row],[Component]]</f>
        <v>Benzo(ghi)peryleen</v>
      </c>
      <c r="M13" s="20" t="str">
        <f>IF(VLOOKUP(L13,Concentraties!$B$8:$L$17,10,FALSE)="","",VLOOKUP(L13,Concentraties!$B$8:$L$17,10,FALSE))</f>
        <v/>
      </c>
      <c r="N13" s="20" t="str">
        <f>IF(VLOOKUP($L13,WB_RG_1[],6,FALSE)="","",VLOOKUP($L13,WB_RG_1[],6,FALSE))</f>
        <v/>
      </c>
      <c r="O13" s="20" t="str">
        <f>IF(VLOOKUP($L13,WB_RG_2[],6,FALSE)="","",VLOOKUP($L13,WB_RG_2[],6,FALSE))</f>
        <v/>
      </c>
      <c r="P13" s="20" t="str">
        <f>IF(VLOOKUP($L13,WB_RG_3[],6,FALSE)="","",VLOOKUP($L13,WB_RG_3[],6,FALSE))</f>
        <v/>
      </c>
      <c r="Q13" s="20" t="str">
        <f>IF(VLOOKUP($L13,WB_RG_4[],6,FALSE)="","",VLOOKUP($L13,WB_RG_4[],6,FALSE))</f>
        <v/>
      </c>
      <c r="R13" s="20" t="str">
        <f>IF(VLOOKUP($L13,WB_RG_5[],6,FALSE)="","",VLOOKUP($L13,WB_RG_5[],6,FALSE))</f>
        <v/>
      </c>
      <c r="S13" s="20" t="str">
        <f>IF(VLOOKUP($L13,WB_RG_6[],6,FALSE)="","",VLOOKUP($L13,WB_RG_6[],6,FALSE))</f>
        <v/>
      </c>
      <c r="T13" s="20" t="str">
        <f>IF(VLOOKUP($L13,WB_RG_7[],6,FALSE)="","",VLOOKUP($L13,WB_RG_7[],6,FALSE))</f>
        <v/>
      </c>
      <c r="U13" s="20" t="str">
        <f>IF(VLOOKUP($L13,WB_RG_8[],6,FALSE)="","",VLOOKUP($L13,WB_RG_8[],6,FALSE))</f>
        <v/>
      </c>
      <c r="V13" s="26">
        <f t="shared" si="2"/>
        <v>0</v>
      </c>
      <c r="W13" s="20" t="str">
        <f t="shared" si="3"/>
        <v/>
      </c>
      <c r="X13" s="20" t="str">
        <f t="shared" si="4"/>
        <v/>
      </c>
      <c r="Y13" s="100" t="str" cm="1">
        <f t="array" ref="Y13">_xlfn.IFS(V13&lt;8,"",
AND(X13&gt;'Punten verdeling'!$C$13,X13&lt;='Punten verdeling'!$D$13),WB_AG_PAK_U,
AND(X13&gt;'Punten verdeling'!C$14,X13&lt;='Punten verdeling'!D$14),WB_AG_PAK_G,
AND(X13&gt;'Punten verdeling'!C$15,X13&lt;='Punten verdeling'!D$15),WB_AG_PAK_V,
X13&gt;'Punten verdeling'!C$16,WB_AG_PAK_O)</f>
        <v/>
      </c>
    </row>
    <row r="14" spans="2:26" x14ac:dyDescent="0.2">
      <c r="B14" s="13" t="str">
        <f>'Sequence + methode WB'!I14</f>
        <v>Cis-chloordaan</v>
      </c>
      <c r="C14" s="25" t="str">
        <f>IF(VLOOKUP(WB_Kalibratie0[[#This Row],[Component]],Concentraties!$B$8:$L$17,2,FALSE)="","",VLOOKUP(WB_Kalibratie0[[#This Row],[Component]],Concentraties!$B$8:$L$17,2,FALSE))</f>
        <v>-</v>
      </c>
      <c r="D14" s="38"/>
      <c r="E14" s="40"/>
      <c r="F14" s="40"/>
      <c r="G14" s="37"/>
      <c r="H14" s="20" t="str">
        <f t="shared" si="0"/>
        <v>N.v.t.</v>
      </c>
      <c r="I14" s="108" t="str">
        <f t="shared" si="1"/>
        <v/>
      </c>
      <c r="L14" s="17" t="str">
        <f>WB_Kalibratie0[[#This Row],[Component]]</f>
        <v>Cis-chloordaan</v>
      </c>
      <c r="M14" s="20" t="str">
        <f>IF(VLOOKUP(L14,Concentraties!$B$8:$L$17,10,FALSE)="","",VLOOKUP(L14,Concentraties!$B$8:$L$17,10,FALSE))</f>
        <v/>
      </c>
      <c r="N14" s="20" t="str">
        <f>IF(VLOOKUP($L14,WB_RG_1[],6,FALSE)="","",VLOOKUP($L14,WB_RG_1[],6,FALSE))</f>
        <v/>
      </c>
      <c r="O14" s="20" t="str">
        <f>IF(VLOOKUP($L14,WB_RG_2[],6,FALSE)="","",VLOOKUP($L14,WB_RG_2[],6,FALSE))</f>
        <v/>
      </c>
      <c r="P14" s="20" t="str">
        <f>IF(VLOOKUP($L14,WB_RG_3[],6,FALSE)="","",VLOOKUP($L14,WB_RG_3[],6,FALSE))</f>
        <v/>
      </c>
      <c r="Q14" s="20" t="str">
        <f>IF(VLOOKUP($L14,WB_RG_4[],6,FALSE)="","",VLOOKUP($L14,WB_RG_4[],6,FALSE))</f>
        <v/>
      </c>
      <c r="R14" s="20" t="str">
        <f>IF(VLOOKUP($L14,WB_RG_5[],6,FALSE)="","",VLOOKUP($L14,WB_RG_5[],6,FALSE))</f>
        <v/>
      </c>
      <c r="S14" s="20" t="str">
        <f>IF(VLOOKUP($L14,WB_RG_6[],6,FALSE)="","",VLOOKUP($L14,WB_RG_6[],6,FALSE))</f>
        <v/>
      </c>
      <c r="T14" s="20" t="str">
        <f>IF(VLOOKUP($L14,WB_RG_7[],6,FALSE)="","",VLOOKUP($L14,WB_RG_7[],6,FALSE))</f>
        <v/>
      </c>
      <c r="U14" s="20" t="str">
        <f>IF(VLOOKUP($L14,WB_RG_8[],6,FALSE)="","",VLOOKUP($L14,WB_RG_8[],6,FALSE))</f>
        <v/>
      </c>
      <c r="V14" s="26">
        <f t="shared" si="2"/>
        <v>0</v>
      </c>
      <c r="W14" s="20" t="str">
        <f t="shared" si="3"/>
        <v/>
      </c>
      <c r="X14" s="20" t="str">
        <f t="shared" si="4"/>
        <v/>
      </c>
      <c r="Y14" s="100" t="str" cm="1">
        <f t="array" ref="Y14">_xlfn.IFS(V14&lt;8,"",
AND(X14&gt;'Punten verdeling'!$C$9,X14&lt;='Punten verdeling'!$D$9),WB_AG_U,
AND(X14&gt;'Punten verdeling'!C$10,X14&lt;='Punten verdeling'!D$10),WB_AG_G,
AND(X14&gt;'Punten verdeling'!C$11,X14&lt;='Punten verdeling'!D$11),WB_AG_V,
X14&gt;'Punten verdeling'!C$12,WB_AG_O)</f>
        <v/>
      </c>
    </row>
    <row r="15" spans="2:26" x14ac:dyDescent="0.2">
      <c r="B15" s="13" t="str">
        <f>'Sequence + methode WB'!I15</f>
        <v>Endrin</v>
      </c>
      <c r="C15" s="25" t="str">
        <f>IF(VLOOKUP(WB_Kalibratie0[[#This Row],[Component]],Concentraties!$B$8:$L$17,2,FALSE)="","",VLOOKUP(WB_Kalibratie0[[#This Row],[Component]],Concentraties!$B$8:$L$17,2,FALSE))</f>
        <v>-</v>
      </c>
      <c r="D15" s="38"/>
      <c r="E15" s="40"/>
      <c r="F15" s="40"/>
      <c r="G15" s="37"/>
      <c r="H15" s="20" t="str">
        <f t="shared" si="0"/>
        <v>N.v.t.</v>
      </c>
      <c r="I15" s="108" t="str">
        <f t="shared" si="1"/>
        <v/>
      </c>
      <c r="L15" s="17" t="str">
        <f>WB_Kalibratie0[[#This Row],[Component]]</f>
        <v>Endrin</v>
      </c>
      <c r="M15" s="20" t="str">
        <f>IF(VLOOKUP(L15,Concentraties!$B$8:$L$17,10,FALSE)="","",VLOOKUP(L15,Concentraties!$B$8:$L$17,10,FALSE))</f>
        <v/>
      </c>
      <c r="N15" s="20" t="str">
        <f>IF(VLOOKUP($L15,WB_RG_1[],6,FALSE)="","",VLOOKUP($L15,WB_RG_1[],6,FALSE))</f>
        <v/>
      </c>
      <c r="O15" s="20" t="str">
        <f>IF(VLOOKUP($L15,WB_RG_2[],6,FALSE)="","",VLOOKUP($L15,WB_RG_2[],6,FALSE))</f>
        <v/>
      </c>
      <c r="P15" s="20" t="str">
        <f>IF(VLOOKUP($L15,WB_RG_3[],6,FALSE)="","",VLOOKUP($L15,WB_RG_3[],6,FALSE))</f>
        <v/>
      </c>
      <c r="Q15" s="20" t="str">
        <f>IF(VLOOKUP($L15,WB_RG_4[],6,FALSE)="","",VLOOKUP($L15,WB_RG_4[],6,FALSE))</f>
        <v/>
      </c>
      <c r="R15" s="20" t="str">
        <f>IF(VLOOKUP($L15,WB_RG_5[],6,FALSE)="","",VLOOKUP($L15,WB_RG_5[],6,FALSE))</f>
        <v/>
      </c>
      <c r="S15" s="20" t="str">
        <f>IF(VLOOKUP($L15,WB_RG_6[],6,FALSE)="","",VLOOKUP($L15,WB_RG_6[],6,FALSE))</f>
        <v/>
      </c>
      <c r="T15" s="20" t="str">
        <f>IF(VLOOKUP($L15,WB_RG_7[],6,FALSE)="","",VLOOKUP($L15,WB_RG_7[],6,FALSE))</f>
        <v/>
      </c>
      <c r="U15" s="20" t="str">
        <f>IF(VLOOKUP($L15,WB_RG_8[],6,FALSE)="","",VLOOKUP($L15,WB_RG_8[],6,FALSE))</f>
        <v/>
      </c>
      <c r="V15" s="26">
        <f t="shared" si="2"/>
        <v>0</v>
      </c>
      <c r="W15" s="20" t="str">
        <f t="shared" si="3"/>
        <v/>
      </c>
      <c r="X15" s="20" t="str">
        <f t="shared" si="4"/>
        <v/>
      </c>
      <c r="Y15" s="100" t="str" cm="1">
        <f t="array" ref="Y15">_xlfn.IFS(V15&lt;8,"",
AND(X15&gt;'Punten verdeling'!$C$9,X15&lt;='Punten verdeling'!$D$9),WB_AG_U,
AND(X15&gt;'Punten verdeling'!C$10,X15&lt;='Punten verdeling'!D$10),WB_AG_G,
AND(X15&gt;'Punten verdeling'!C$11,X15&lt;='Punten verdeling'!D$11),WB_AG_V,
X15&gt;'Punten verdeling'!C$12,WB_AG_O)</f>
        <v/>
      </c>
    </row>
    <row r="16" spans="2:26" x14ac:dyDescent="0.2">
      <c r="B16" s="13" t="str">
        <f>'Sequence + methode WB'!I16</f>
        <v>Hexachloorbutadieen</v>
      </c>
      <c r="C16" s="25" t="str">
        <f>IF(VLOOKUP(WB_Kalibratie0[[#This Row],[Component]],Concentraties!$B$8:$L$17,2,FALSE)="","",VLOOKUP(WB_Kalibratie0[[#This Row],[Component]],Concentraties!$B$8:$L$17,2,FALSE))</f>
        <v>-</v>
      </c>
      <c r="D16" s="38"/>
      <c r="E16" s="40"/>
      <c r="F16" s="40"/>
      <c r="G16" s="37"/>
      <c r="H16" s="20" t="str">
        <f t="shared" si="0"/>
        <v>N.v.t.</v>
      </c>
      <c r="I16" s="108" t="str">
        <f t="shared" si="1"/>
        <v/>
      </c>
      <c r="L16" s="17" t="str">
        <f>WB_Kalibratie0[[#This Row],[Component]]</f>
        <v>Hexachloorbutadieen</v>
      </c>
      <c r="M16" s="20" t="str">
        <f>IF(VLOOKUP(L16,Concentraties!$B$8:$L$17,10,FALSE)="","",VLOOKUP(L16,Concentraties!$B$8:$L$17,10,FALSE))</f>
        <v/>
      </c>
      <c r="N16" s="20" t="str">
        <f>IF(VLOOKUP($L16,WB_RG_1[],6,FALSE)="","",VLOOKUP($L16,WB_RG_1[],6,FALSE))</f>
        <v/>
      </c>
      <c r="O16" s="20" t="str">
        <f>IF(VLOOKUP($L16,WB_RG_2[],6,FALSE)="","",VLOOKUP($L16,WB_RG_2[],6,FALSE))</f>
        <v/>
      </c>
      <c r="P16" s="20" t="str">
        <f>IF(VLOOKUP($L16,WB_RG_3[],6,FALSE)="","",VLOOKUP($L16,WB_RG_3[],6,FALSE))</f>
        <v/>
      </c>
      <c r="Q16" s="20" t="str">
        <f>IF(VLOOKUP($L16,WB_RG_4[],6,FALSE)="","",VLOOKUP($L16,WB_RG_4[],6,FALSE))</f>
        <v/>
      </c>
      <c r="R16" s="20" t="str">
        <f>IF(VLOOKUP($L16,WB_RG_5[],6,FALSE)="","",VLOOKUP($L16,WB_RG_5[],6,FALSE))</f>
        <v/>
      </c>
      <c r="S16" s="20" t="str">
        <f>IF(VLOOKUP($L16,WB_RG_6[],6,FALSE)="","",VLOOKUP($L16,WB_RG_6[],6,FALSE))</f>
        <v/>
      </c>
      <c r="T16" s="20" t="str">
        <f>IF(VLOOKUP($L16,WB_RG_7[],6,FALSE)="","",VLOOKUP($L16,WB_RG_7[],6,FALSE))</f>
        <v/>
      </c>
      <c r="U16" s="20" t="str">
        <f>IF(VLOOKUP($L16,WB_RG_8[],6,FALSE)="","",VLOOKUP($L16,WB_RG_8[],6,FALSE))</f>
        <v/>
      </c>
      <c r="V16" s="26">
        <f t="shared" si="2"/>
        <v>0</v>
      </c>
      <c r="W16" s="20" t="str">
        <f t="shared" si="3"/>
        <v/>
      </c>
      <c r="X16" s="20" t="str">
        <f t="shared" si="4"/>
        <v/>
      </c>
      <c r="Y16" s="100" t="str" cm="1">
        <f t="array" ref="Y16">_xlfn.IFS(V16&lt;8,"",
AND(X16&gt;'Punten verdeling'!$C$9,X16&lt;='Punten verdeling'!$D$9),WB_AG_U,
AND(X16&gt;'Punten verdeling'!C$10,X16&lt;='Punten verdeling'!D$10),WB_AG_G,
AND(X16&gt;'Punten verdeling'!C$11,X16&lt;='Punten verdeling'!D$11),WB_AG_V,
X16&gt;'Punten verdeling'!C$12,WB_AG_O)</f>
        <v/>
      </c>
    </row>
    <row r="17" spans="2:27" x14ac:dyDescent="0.2">
      <c r="B17" s="13" t="str">
        <f>'Sequence + methode WB'!I17</f>
        <v>Naftaleen</v>
      </c>
      <c r="C17" s="25" t="str">
        <f>IF(VLOOKUP(WB_Kalibratie0[[#This Row],[Component]],Concentraties!$B$8:$L$17,2,FALSE)="","",VLOOKUP(WB_Kalibratie0[[#This Row],[Component]],Concentraties!$B$8:$L$17,2,FALSE))</f>
        <v>-</v>
      </c>
      <c r="D17" s="38"/>
      <c r="E17" s="40"/>
      <c r="F17" s="40"/>
      <c r="G17" s="37"/>
      <c r="H17" s="20" t="str">
        <f t="shared" si="0"/>
        <v>N.v.t.</v>
      </c>
      <c r="I17" s="108" t="str">
        <f t="shared" si="1"/>
        <v/>
      </c>
      <c r="L17" s="17" t="str">
        <f>WB_Kalibratie0[[#This Row],[Component]]</f>
        <v>Naftaleen</v>
      </c>
      <c r="M17" s="20" t="str">
        <f>IF(VLOOKUP(L17,Concentraties!$B$8:$L$17,10,FALSE)="","",VLOOKUP(L17,Concentraties!$B$8:$L$17,10,FALSE))</f>
        <v/>
      </c>
      <c r="N17" s="20" t="str">
        <f>IF(VLOOKUP($L17,WB_RG_1[],6,FALSE)="","",VLOOKUP($L17,WB_RG_1[],6,FALSE))</f>
        <v/>
      </c>
      <c r="O17" s="20" t="str">
        <f>IF(VLOOKUP($L17,WB_RG_2[],6,FALSE)="","",VLOOKUP($L17,WB_RG_2[],6,FALSE))</f>
        <v/>
      </c>
      <c r="P17" s="20" t="str">
        <f>IF(VLOOKUP($L17,WB_RG_3[],6,FALSE)="","",VLOOKUP($L17,WB_RG_3[],6,FALSE))</f>
        <v/>
      </c>
      <c r="Q17" s="20" t="str">
        <f>IF(VLOOKUP($L17,WB_RG_4[],6,FALSE)="","",VLOOKUP($L17,WB_RG_4[],6,FALSE))</f>
        <v/>
      </c>
      <c r="R17" s="20" t="str">
        <f>IF(VLOOKUP($L17,WB_RG_5[],6,FALSE)="","",VLOOKUP($L17,WB_RG_5[],6,FALSE))</f>
        <v/>
      </c>
      <c r="S17" s="20" t="str">
        <f>IF(VLOOKUP($L17,WB_RG_6[],6,FALSE)="","",VLOOKUP($L17,WB_RG_6[],6,FALSE))</f>
        <v/>
      </c>
      <c r="T17" s="20" t="str">
        <f>IF(VLOOKUP($L17,WB_RG_7[],6,FALSE)="","",VLOOKUP($L17,WB_RG_7[],6,FALSE))</f>
        <v/>
      </c>
      <c r="U17" s="20" t="str">
        <f>IF(VLOOKUP($L17,WB_RG_8[],6,FALSE)="","",VLOOKUP($L17,WB_RG_8[],6,FALSE))</f>
        <v/>
      </c>
      <c r="V17" s="26">
        <f t="shared" si="2"/>
        <v>0</v>
      </c>
      <c r="W17" s="20" t="str">
        <f t="shared" si="3"/>
        <v/>
      </c>
      <c r="X17" s="20" t="str">
        <f t="shared" si="4"/>
        <v/>
      </c>
      <c r="Y17" s="100" t="str" cm="1">
        <f t="array" ref="Y17">_xlfn.IFS(V17&lt;8,"",
AND(X17&gt;'Punten verdeling'!$C$13,X17&lt;='Punten verdeling'!$D$13),WB_AG_PAK_U,
AND(X17&gt;'Punten verdeling'!C$14,X17&lt;='Punten verdeling'!D$14),WB_AG_PAK_G,
AND(X17&gt;'Punten verdeling'!C$15,X17&lt;='Punten verdeling'!D$15),WB_AG_PAK_V,
X17&gt;'Punten verdeling'!C$16,WB_AG_PAK_O)</f>
        <v/>
      </c>
    </row>
    <row r="18" spans="2:27" x14ac:dyDescent="0.2">
      <c r="B18" s="13" t="str">
        <f>'Sequence + methode WB'!I18</f>
        <v>Pentachloorbenzeen</v>
      </c>
      <c r="C18" s="25" t="str">
        <f>IF(VLOOKUP(WB_Kalibratie0[[#This Row],[Component]],Concentraties!$B$8:$L$17,2,FALSE)="","",VLOOKUP(WB_Kalibratie0[[#This Row],[Component]],Concentraties!$B$8:$L$17,2,FALSE))</f>
        <v>-</v>
      </c>
      <c r="D18" s="38"/>
      <c r="E18" s="40"/>
      <c r="F18" s="40"/>
      <c r="G18" s="37"/>
      <c r="H18" s="20" t="str">
        <f t="shared" si="0"/>
        <v>N.v.t.</v>
      </c>
      <c r="I18" s="108" t="str">
        <f t="shared" si="1"/>
        <v/>
      </c>
      <c r="L18" s="17" t="str">
        <f>WB_Kalibratie0[[#This Row],[Component]]</f>
        <v>Pentachloorbenzeen</v>
      </c>
      <c r="M18" s="20" t="str">
        <f>IF(VLOOKUP(L18,Concentraties!$B$8:$L$17,10,FALSE)="","",VLOOKUP(L18,Concentraties!$B$8:$L$17,10,FALSE))</f>
        <v/>
      </c>
      <c r="N18" s="20" t="str">
        <f>IF(VLOOKUP($L18,WB_RG_1[],6,FALSE)="","",VLOOKUP($L18,WB_RG_1[],6,FALSE))</f>
        <v/>
      </c>
      <c r="O18" s="20" t="str">
        <f>IF(VLOOKUP($L18,WB_RG_2[],6,FALSE)="","",VLOOKUP($L18,WB_RG_2[],6,FALSE))</f>
        <v/>
      </c>
      <c r="P18" s="20" t="str">
        <f>IF(VLOOKUP($L18,WB_RG_3[],6,FALSE)="","",VLOOKUP($L18,WB_RG_3[],6,FALSE))</f>
        <v/>
      </c>
      <c r="Q18" s="20" t="str">
        <f>IF(VLOOKUP($L18,WB_RG_4[],6,FALSE)="","",VLOOKUP($L18,WB_RG_4[],6,FALSE))</f>
        <v/>
      </c>
      <c r="R18" s="20" t="str">
        <f>IF(VLOOKUP($L18,WB_RG_5[],6,FALSE)="","",VLOOKUP($L18,WB_RG_5[],6,FALSE))</f>
        <v/>
      </c>
      <c r="S18" s="20" t="str">
        <f>IF(VLOOKUP($L18,WB_RG_6[],6,FALSE)="","",VLOOKUP($L18,WB_RG_6[],6,FALSE))</f>
        <v/>
      </c>
      <c r="T18" s="20" t="str">
        <f>IF(VLOOKUP($L18,WB_RG_7[],6,FALSE)="","",VLOOKUP($L18,WB_RG_7[],6,FALSE))</f>
        <v/>
      </c>
      <c r="U18" s="20" t="str">
        <f>IF(VLOOKUP($L18,WB_RG_8[],6,FALSE)="","",VLOOKUP($L18,WB_RG_8[],6,FALSE))</f>
        <v/>
      </c>
      <c r="V18" s="26">
        <f t="shared" si="2"/>
        <v>0</v>
      </c>
      <c r="W18" s="20" t="str">
        <f t="shared" si="3"/>
        <v/>
      </c>
      <c r="X18" s="20" t="str">
        <f t="shared" si="4"/>
        <v/>
      </c>
      <c r="Y18" s="100" t="str" cm="1">
        <f t="array" ref="Y18">_xlfn.IFS(V18&lt;8,"",
AND(X18&gt;'Punten verdeling'!$C$9,X18&lt;='Punten verdeling'!$D$9),WB_AG_U,
AND(X18&gt;'Punten verdeling'!C$10,X18&lt;='Punten verdeling'!D$10),WB_AG_G,
AND(X18&gt;'Punten verdeling'!C$11,X18&lt;='Punten verdeling'!D$11),WB_AG_V,
X18&gt;'Punten verdeling'!C$12,WB_AG_O)</f>
        <v/>
      </c>
    </row>
    <row r="19" spans="2:27" x14ac:dyDescent="0.2">
      <c r="B19" s="13" t="str">
        <f>'Sequence + methode WB'!I19</f>
        <v>PCB 28</v>
      </c>
      <c r="C19" s="25" t="str">
        <f>IF(VLOOKUP(WB_Kalibratie0[[#This Row],[Component]],Concentraties!$B$8:$L$17,2,FALSE)="","",VLOOKUP(WB_Kalibratie0[[#This Row],[Component]],Concentraties!$B$8:$L$17,2,FALSE))</f>
        <v>-</v>
      </c>
      <c r="D19" s="38"/>
      <c r="E19" s="40"/>
      <c r="F19" s="40"/>
      <c r="G19" s="37"/>
      <c r="H19" s="20" t="str">
        <f t="shared" si="0"/>
        <v>N.v.t.</v>
      </c>
      <c r="I19" s="108" t="str">
        <f t="shared" si="1"/>
        <v/>
      </c>
      <c r="L19" s="17" t="str">
        <f>WB_Kalibratie0[[#This Row],[Component]]</f>
        <v>PCB 28</v>
      </c>
      <c r="M19" s="20" t="str">
        <f>IF(VLOOKUP(L19,Concentraties!$B$8:$L$17,10,FALSE)="","",VLOOKUP(L19,Concentraties!$B$8:$L$17,10,FALSE))</f>
        <v/>
      </c>
      <c r="N19" s="20" t="str">
        <f>IF(VLOOKUP($L19,WB_RG_1[],6,FALSE)="","",VLOOKUP($L19,WB_RG_1[],6,FALSE))</f>
        <v/>
      </c>
      <c r="O19" s="20" t="str">
        <f>IF(VLOOKUP($L19,WB_RG_2[],6,FALSE)="","",VLOOKUP($L19,WB_RG_2[],6,FALSE))</f>
        <v/>
      </c>
      <c r="P19" s="20" t="str">
        <f>IF(VLOOKUP($L19,WB_RG_3[],6,FALSE)="","",VLOOKUP($L19,WB_RG_3[],6,FALSE))</f>
        <v/>
      </c>
      <c r="Q19" s="20" t="str">
        <f>IF(VLOOKUP($L19,WB_RG_4[],6,FALSE)="","",VLOOKUP($L19,WB_RG_4[],6,FALSE))</f>
        <v/>
      </c>
      <c r="R19" s="20" t="str">
        <f>IF(VLOOKUP($L19,WB_RG_5[],6,FALSE)="","",VLOOKUP($L19,WB_RG_5[],6,FALSE))</f>
        <v/>
      </c>
      <c r="S19" s="20" t="str">
        <f>IF(VLOOKUP($L19,WB_RG_6[],6,FALSE)="","",VLOOKUP($L19,WB_RG_6[],6,FALSE))</f>
        <v/>
      </c>
      <c r="T19" s="20" t="str">
        <f>IF(VLOOKUP($L19,WB_RG_7[],6,FALSE)="","",VLOOKUP($L19,WB_RG_7[],6,FALSE))</f>
        <v/>
      </c>
      <c r="U19" s="20" t="str">
        <f>IF(VLOOKUP($L19,WB_RG_8[],6,FALSE)="","",VLOOKUP($L19,WB_RG_8[],6,FALSE))</f>
        <v/>
      </c>
      <c r="V19" s="26">
        <f t="shared" si="2"/>
        <v>0</v>
      </c>
      <c r="W19" s="20" t="str">
        <f t="shared" si="3"/>
        <v/>
      </c>
      <c r="X19" s="20" t="str">
        <f t="shared" si="4"/>
        <v/>
      </c>
      <c r="Y19" s="100" t="str" cm="1">
        <f t="array" ref="Y19">_xlfn.IFS(V19&lt;8,"",
AND(X19&gt;'Punten verdeling'!$C$9,X19&lt;='Punten verdeling'!$D$9),WB_AG_U,
AND(X19&gt;'Punten verdeling'!C$10,X19&lt;='Punten verdeling'!D$10),WB_AG_G,
AND(X19&gt;'Punten verdeling'!C$11,X19&lt;='Punten verdeling'!D$11),WB_AG_V,
X19&gt;'Punten verdeling'!C$12,WB_AG_O)</f>
        <v/>
      </c>
    </row>
    <row r="20" spans="2:27" x14ac:dyDescent="0.2">
      <c r="N20" s="7"/>
      <c r="O20" s="7"/>
      <c r="X20" s="10" t="s">
        <v>23</v>
      </c>
      <c r="Y20" s="112">
        <f>SUM(Y10:Y19)</f>
        <v>0</v>
      </c>
    </row>
    <row r="21" spans="2:27" ht="20.25" x14ac:dyDescent="0.3">
      <c r="B21" s="8" t="s">
        <v>7</v>
      </c>
      <c r="L21" s="4" t="s">
        <v>104</v>
      </c>
      <c r="O21" s="4"/>
    </row>
    <row r="22" spans="2:27" ht="39" thickBot="1" x14ac:dyDescent="0.25">
      <c r="B22" s="14" t="s">
        <v>2</v>
      </c>
      <c r="C22" s="15" t="s">
        <v>70</v>
      </c>
      <c r="D22" s="15" t="s">
        <v>3</v>
      </c>
      <c r="E22" s="15" t="s">
        <v>47</v>
      </c>
      <c r="F22" s="15" t="s">
        <v>48</v>
      </c>
      <c r="G22" s="15" t="s">
        <v>67</v>
      </c>
      <c r="H22" s="36" t="s">
        <v>4</v>
      </c>
      <c r="I22" s="106" t="s">
        <v>5</v>
      </c>
      <c r="L22" s="23" t="s">
        <v>2</v>
      </c>
      <c r="M22" s="22" t="s">
        <v>68</v>
      </c>
      <c r="N22" s="60" t="s">
        <v>96</v>
      </c>
      <c r="O22" s="22" t="s">
        <v>74</v>
      </c>
      <c r="P22" s="22" t="s">
        <v>75</v>
      </c>
      <c r="Q22" s="22" t="s">
        <v>76</v>
      </c>
      <c r="R22" s="22" t="s">
        <v>77</v>
      </c>
      <c r="S22" s="22" t="s">
        <v>78</v>
      </c>
      <c r="T22" s="22" t="s">
        <v>79</v>
      </c>
      <c r="U22" s="22" t="s">
        <v>80</v>
      </c>
      <c r="V22" s="22" t="s">
        <v>81</v>
      </c>
      <c r="W22" s="22" t="s">
        <v>16</v>
      </c>
      <c r="X22" s="22" t="s">
        <v>71</v>
      </c>
      <c r="Y22" s="22" t="s">
        <v>18</v>
      </c>
      <c r="Z22" s="22" t="s">
        <v>12</v>
      </c>
      <c r="AA22" s="22" t="s">
        <v>33</v>
      </c>
    </row>
    <row r="23" spans="2:27" ht="13.5" thickTop="1" x14ac:dyDescent="0.2">
      <c r="B23" s="13" t="str">
        <f>$B$10</f>
        <v>44-DDD</v>
      </c>
      <c r="C23" s="20">
        <f>IF(VLOOKUP(WB_Kalibratie1[[#This Row],[Component]],Concentraties!$B$8:$L$17,3,FALSE)="","",VLOOKUP(WB_Kalibratie1[[#This Row],[Component]],Concentraties!$B$8:$L$17,3,FALSE))</f>
        <v>0.23832</v>
      </c>
      <c r="D23" s="37"/>
      <c r="E23" s="39"/>
      <c r="F23" s="39"/>
      <c r="G23" s="37"/>
      <c r="H23" s="20" t="str">
        <f t="shared" ref="H23:H32" si="5">IFERROR(IF(C23="-","N.v.t.",IF(G23="","",100*G23/C23)),"")</f>
        <v/>
      </c>
      <c r="I23" s="107" t="str">
        <f t="shared" ref="I23:I32" si="6">IFERROR(MIN(E23,F23)/MAX(E23,F23),"")</f>
        <v/>
      </c>
      <c r="L23" s="18" t="str">
        <f t="shared" ref="L23:L32" si="7">L10</f>
        <v>44-DDD</v>
      </c>
      <c r="M23" s="61" t="str">
        <f>IF(VLOOKUP(L23,Concentraties!$B$8:$L$17,10,FALSE)="","",VLOOKUP(L23,Concentraties!$B$8:$L$17,10,FALSE))</f>
        <v/>
      </c>
      <c r="N23" s="61">
        <f>AVERAGE(VLOOKUP($L23,WB_BLM_1[],6,FALSE),VLOOKUP($L23,WB_BLM_2[],6,FALSE))</f>
        <v>0</v>
      </c>
      <c r="O23" s="19" t="str">
        <f>IF(VLOOKUP($L23,WB_RG_1[],6,FALSE)="","",VLOOKUP($L23,WB_RG_1[],6,FALSE)-$N23)</f>
        <v/>
      </c>
      <c r="P23" s="19" t="str">
        <f>IF(VLOOKUP($L23,WB_RG_2[],6,FALSE)="","",VLOOKUP($L23,WB_RG_2[],6,FALSE)-$N23)</f>
        <v/>
      </c>
      <c r="Q23" s="19" t="str">
        <f>IF(VLOOKUP($L23,WB_RG_3[],6,FALSE)="","",VLOOKUP($L23,WB_RG_3[],6,FALSE)-$N23)</f>
        <v/>
      </c>
      <c r="R23" s="19" t="str">
        <f>IF(VLOOKUP($L23,WB_RG_4[],6,FALSE)="","",VLOOKUP($L23,WB_RG_4[],6,FALSE)-$N23)</f>
        <v/>
      </c>
      <c r="S23" s="19" t="str">
        <f>IF(VLOOKUP($L23,WB_RG_5[],6,FALSE)="","",VLOOKUP($L23,WB_RG_5[],6,FALSE)-$N23)</f>
        <v/>
      </c>
      <c r="T23" s="19" t="str">
        <f>IF(VLOOKUP($L23,WB_RG_6[],6,FALSE)="","",VLOOKUP($L23,WB_RG_6[],6,FALSE)-$N23)</f>
        <v/>
      </c>
      <c r="U23" s="19" t="str">
        <f>IF(VLOOKUP($L23,WB_RG_7[],6,FALSE)="","",VLOOKUP($L23,WB_RG_7[],6,FALSE)-$N23)</f>
        <v/>
      </c>
      <c r="V23" s="19" t="str">
        <f>IF(VLOOKUP($L23,WB_RG_8[],6,FALSE)="","",VLOOKUP($L23,WB_RG_8[],6,FALSE)-$N23)</f>
        <v/>
      </c>
      <c r="W23" s="29">
        <f>COUNT(O23:V23)</f>
        <v>0</v>
      </c>
      <c r="X23" s="19" t="str">
        <f>IF(W23&lt;2,"",AVERAGE(O23:V23))</f>
        <v/>
      </c>
      <c r="Y23" s="19" t="str">
        <f>IF(W23&lt;2,"",STDEV(O23:V23)*100/X23)</f>
        <v/>
      </c>
      <c r="Z23" s="19" t="str">
        <f>IF(W23&lt;2,"",IF(M23="","",AVERAGE(O23:V23)*100/M23))</f>
        <v/>
      </c>
      <c r="AA23" s="100" t="str" cm="1">
        <f t="array" ref="AA23">_xlfn.IFS(W23&lt;8,"",
AND(ABS(IF(Z23="",0,Z23)-100)&gt;'Punten verdeling'!$C$17,ABS(IF(Z23="",0,Z23)-100)&lt;='Punten verdeling'!$D$17),WB_TV_RG_U,
AND(ABS(IF(Z23="",0,Z23)-100)&gt;'Punten verdeling'!C$18,ABS(IF(Z23="",0,Z23)-100)&lt;='Punten verdeling'!D$18),WB_TV_RG_G,
AND(ABS(IF(Z23="",0,Z23)-100)&gt;'Punten verdeling'!C$19,ABS(IF(Z23="",0,Z23)-100)&lt;='Punten verdeling'!D$19),WB_TV_RG_V,
ABS(IF(Z23="",0,Z23)-100)&gt;'Punten verdeling'!C$20,WB_TV_RG_O)</f>
        <v/>
      </c>
    </row>
    <row r="24" spans="2:27" x14ac:dyDescent="0.2">
      <c r="B24" s="12" t="str">
        <f>$B$11</f>
        <v>Antraceen</v>
      </c>
      <c r="C24" s="20">
        <f>IF(VLOOKUP(WB_Kalibratie1[[#This Row],[Component]],Concentraties!$B$8:$L$17,3,FALSE)="","",VLOOKUP(WB_Kalibratie1[[#This Row],[Component]],Concentraties!$B$8:$L$17,3,FALSE))</f>
        <v>1.9997999999999998</v>
      </c>
      <c r="D24" s="38"/>
      <c r="E24" s="40"/>
      <c r="F24" s="40"/>
      <c r="G24" s="37"/>
      <c r="H24" s="20" t="str">
        <f t="shared" si="5"/>
        <v/>
      </c>
      <c r="I24" s="108" t="str">
        <f t="shared" si="6"/>
        <v/>
      </c>
      <c r="L24" s="17" t="str">
        <f t="shared" si="7"/>
        <v>Antraceen</v>
      </c>
      <c r="M24" s="61" t="str">
        <f>IF(VLOOKUP(L24,Concentraties!$B$8:$L$17,10,FALSE)="","",VLOOKUP(L24,Concentraties!$B$8:$L$17,10,FALSE))</f>
        <v/>
      </c>
      <c r="N24" s="61">
        <f>AVERAGE(VLOOKUP($L24,WB_BLM_1[],6,FALSE),VLOOKUP($L24,WB_BLM_2[],6,FALSE))</f>
        <v>0</v>
      </c>
      <c r="O24" s="19" t="str">
        <f>IF(VLOOKUP($L24,WB_RG_1[],6,FALSE)="","",VLOOKUP($L24,WB_RG_1[],6,FALSE)-$N24)</f>
        <v/>
      </c>
      <c r="P24" s="19" t="str">
        <f>IF(VLOOKUP($L24,WB_RG_2[],6,FALSE)="","",VLOOKUP($L24,WB_RG_2[],6,FALSE)-$N24)</f>
        <v/>
      </c>
      <c r="Q24" s="19" t="str">
        <f>IF(VLOOKUP($L24,WB_RG_3[],6,FALSE)="","",VLOOKUP($L24,WB_RG_3[],6,FALSE)-$N24)</f>
        <v/>
      </c>
      <c r="R24" s="19" t="str">
        <f>IF(VLOOKUP($L24,WB_RG_4[],6,FALSE)="","",VLOOKUP($L24,WB_RG_4[],6,FALSE)-$N24)</f>
        <v/>
      </c>
      <c r="S24" s="19" t="str">
        <f>IF(VLOOKUP($L24,WB_RG_5[],6,FALSE)="","",VLOOKUP($L24,WB_RG_5[],6,FALSE)-$N24)</f>
        <v/>
      </c>
      <c r="T24" s="19" t="str">
        <f>IF(VLOOKUP($L24,WB_RG_6[],6,FALSE)="","",VLOOKUP($L24,WB_RG_6[],6,FALSE)-$N24)</f>
        <v/>
      </c>
      <c r="U24" s="19" t="str">
        <f>IF(VLOOKUP($L24,WB_RG_7[],6,FALSE)="","",VLOOKUP($L24,WB_RG_7[],6,FALSE)-$N24)</f>
        <v/>
      </c>
      <c r="V24" s="19" t="str">
        <f>IF(VLOOKUP($L24,WB_RG_8[],6,FALSE)="","",VLOOKUP($L24,WB_RG_8[],6,FALSE)-$N24)</f>
        <v/>
      </c>
      <c r="W24" s="29">
        <f t="shared" ref="W24:W32" si="8">COUNT(O24:V24)</f>
        <v>0</v>
      </c>
      <c r="X24" s="19" t="str">
        <f t="shared" ref="X24:X32" si="9">IF(W24&lt;2,"",AVERAGE(O24:V24))</f>
        <v/>
      </c>
      <c r="Y24" s="19" t="str">
        <f t="shared" ref="Y24:Y32" si="10">IF(W24&lt;2,"",STDEV(O24:V24)*100/X24)</f>
        <v/>
      </c>
      <c r="Z24" s="19" t="str">
        <f t="shared" ref="Z24:Z32" si="11">IF(W24&lt;2,"",IF(M24="","",AVERAGE(O24:V24)*100/M24))</f>
        <v/>
      </c>
      <c r="AA24" s="100" t="str" cm="1">
        <f t="array" ref="AA24">_xlfn.IFS(W24&lt;8,"",
AND(ABS(IF(Z24="",0,Z24)-100)&gt;'Punten verdeling'!$C$17,ABS(IF(Z24="",0,Z24)-100)&lt;='Punten verdeling'!$D$17),WB_TV_RG_U,
AND(ABS(IF(Z24="",0,Z24)-100)&gt;'Punten verdeling'!C$18,ABS(IF(Z24="",0,Z24)-100)&lt;='Punten verdeling'!D$18),WB_TV_RG_G,
AND(ABS(IF(Z24="",0,Z24)-100)&gt;'Punten verdeling'!C$19,ABS(IF(Z24="",0,Z24)-100)&lt;='Punten verdeling'!D$19),WB_TV_RG_V,
ABS(IF(Z24="",0,Z24)-100)&gt;'Punten verdeling'!C$20,WB_TV_RG_O)</f>
        <v/>
      </c>
    </row>
    <row r="25" spans="2:27" x14ac:dyDescent="0.2">
      <c r="B25" s="12" t="str">
        <f>$B$12</f>
        <v>Benzo(a)pyreen</v>
      </c>
      <c r="C25" s="20">
        <f>IF(VLOOKUP(WB_Kalibratie1[[#This Row],[Component]],Concentraties!$B$8:$L$17,3,FALSE)="","",VLOOKUP(WB_Kalibratie1[[#This Row],[Component]],Concentraties!$B$8:$L$17,3,FALSE))</f>
        <v>2</v>
      </c>
      <c r="D25" s="38"/>
      <c r="E25" s="40"/>
      <c r="F25" s="40"/>
      <c r="G25" s="37"/>
      <c r="H25" s="20" t="str">
        <f t="shared" si="5"/>
        <v/>
      </c>
      <c r="I25" s="108" t="str">
        <f t="shared" si="6"/>
        <v/>
      </c>
      <c r="L25" s="17" t="str">
        <f t="shared" si="7"/>
        <v>Benzo(a)pyreen</v>
      </c>
      <c r="M25" s="61" t="str">
        <f>IF(VLOOKUP(L25,Concentraties!$B$8:$L$17,10,FALSE)="","",VLOOKUP(L25,Concentraties!$B$8:$L$17,10,FALSE))</f>
        <v/>
      </c>
      <c r="N25" s="61">
        <f>AVERAGE(VLOOKUP($L25,WB_BLM_1[],6,FALSE),VLOOKUP($L25,WB_BLM_2[],6,FALSE))</f>
        <v>0</v>
      </c>
      <c r="O25" s="19" t="str">
        <f>IF(VLOOKUP($L25,WB_RG_1[],6,FALSE)="","",VLOOKUP($L25,WB_RG_1[],6,FALSE)-$N25)</f>
        <v/>
      </c>
      <c r="P25" s="19" t="str">
        <f>IF(VLOOKUP($L25,WB_RG_2[],6,FALSE)="","",VLOOKUP($L25,WB_RG_2[],6,FALSE)-$N25)</f>
        <v/>
      </c>
      <c r="Q25" s="19" t="str">
        <f>IF(VLOOKUP($L25,WB_RG_3[],6,FALSE)="","",VLOOKUP($L25,WB_RG_3[],6,FALSE)-$N25)</f>
        <v/>
      </c>
      <c r="R25" s="19" t="str">
        <f>IF(VLOOKUP($L25,WB_RG_4[],6,FALSE)="","",VLOOKUP($L25,WB_RG_4[],6,FALSE)-$N25)</f>
        <v/>
      </c>
      <c r="S25" s="19" t="str">
        <f>IF(VLOOKUP($L25,WB_RG_5[],6,FALSE)="","",VLOOKUP($L25,WB_RG_5[],6,FALSE)-$N25)</f>
        <v/>
      </c>
      <c r="T25" s="19" t="str">
        <f>IF(VLOOKUP($L25,WB_RG_6[],6,FALSE)="","",VLOOKUP($L25,WB_RG_6[],6,FALSE)-$N25)</f>
        <v/>
      </c>
      <c r="U25" s="19" t="str">
        <f>IF(VLOOKUP($L25,WB_RG_7[],6,FALSE)="","",VLOOKUP($L25,WB_RG_7[],6,FALSE)-$N25)</f>
        <v/>
      </c>
      <c r="V25" s="19" t="str">
        <f>IF(VLOOKUP($L25,WB_RG_8[],6,FALSE)="","",VLOOKUP($L25,WB_RG_8[],6,FALSE)-$N25)</f>
        <v/>
      </c>
      <c r="W25" s="29">
        <f t="shared" si="8"/>
        <v>0</v>
      </c>
      <c r="X25" s="19" t="str">
        <f t="shared" si="9"/>
        <v/>
      </c>
      <c r="Y25" s="19" t="str">
        <f t="shared" si="10"/>
        <v/>
      </c>
      <c r="Z25" s="19" t="str">
        <f t="shared" si="11"/>
        <v/>
      </c>
      <c r="AA25" s="100" t="str" cm="1">
        <f t="array" ref="AA25">_xlfn.IFS(W25&lt;8,"",
AND(ABS(IF(Z25="",0,Z25)-100)&gt;'Punten verdeling'!$C$17,ABS(IF(Z25="",0,Z25)-100)&lt;='Punten verdeling'!$D$17),WB_TV_RG_U,
AND(ABS(IF(Z25="",0,Z25)-100)&gt;'Punten verdeling'!C$18,ABS(IF(Z25="",0,Z25)-100)&lt;='Punten verdeling'!D$18),WB_TV_RG_G,
AND(ABS(IF(Z25="",0,Z25)-100)&gt;'Punten verdeling'!C$19,ABS(IF(Z25="",0,Z25)-100)&lt;='Punten verdeling'!D$19),WB_TV_RG_V,
ABS(IF(Z25="",0,Z25)-100)&gt;'Punten verdeling'!C$20,WB_TV_RG_O)</f>
        <v/>
      </c>
    </row>
    <row r="26" spans="2:27" x14ac:dyDescent="0.2">
      <c r="B26" s="12" t="str">
        <f>$B$13</f>
        <v>Benzo(ghi)peryleen</v>
      </c>
      <c r="C26" s="20">
        <f>IF(VLOOKUP(WB_Kalibratie1[[#This Row],[Component]],Concentraties!$B$8:$L$17,3,FALSE)="","",VLOOKUP(WB_Kalibratie1[[#This Row],[Component]],Concentraties!$B$8:$L$17,3,FALSE))</f>
        <v>2</v>
      </c>
      <c r="D26" s="38"/>
      <c r="E26" s="40"/>
      <c r="F26" s="40"/>
      <c r="G26" s="37"/>
      <c r="H26" s="20" t="str">
        <f t="shared" si="5"/>
        <v/>
      </c>
      <c r="I26" s="108" t="str">
        <f t="shared" si="6"/>
        <v/>
      </c>
      <c r="L26" s="17" t="str">
        <f t="shared" si="7"/>
        <v>Benzo(ghi)peryleen</v>
      </c>
      <c r="M26" s="61" t="str">
        <f>IF(VLOOKUP(L26,Concentraties!$B$8:$L$17,10,FALSE)="","",VLOOKUP(L26,Concentraties!$B$8:$L$17,10,FALSE))</f>
        <v/>
      </c>
      <c r="N26" s="61">
        <f>AVERAGE(VLOOKUP($L26,WB_BLM_1[],6,FALSE),VLOOKUP($L26,WB_BLM_2[],6,FALSE))</f>
        <v>0</v>
      </c>
      <c r="O26" s="19" t="str">
        <f>IF(VLOOKUP($L26,WB_RG_1[],6,FALSE)="","",VLOOKUP($L26,WB_RG_1[],6,FALSE)-$N26)</f>
        <v/>
      </c>
      <c r="P26" s="19" t="str">
        <f>IF(VLOOKUP($L26,WB_RG_2[],6,FALSE)="","",VLOOKUP($L26,WB_RG_2[],6,FALSE)-$N26)</f>
        <v/>
      </c>
      <c r="Q26" s="19" t="str">
        <f>IF(VLOOKUP($L26,WB_RG_3[],6,FALSE)="","",VLOOKUP($L26,WB_RG_3[],6,FALSE)-$N26)</f>
        <v/>
      </c>
      <c r="R26" s="19" t="str">
        <f>IF(VLOOKUP($L26,WB_RG_4[],6,FALSE)="","",VLOOKUP($L26,WB_RG_4[],6,FALSE)-$N26)</f>
        <v/>
      </c>
      <c r="S26" s="19" t="str">
        <f>IF(VLOOKUP($L26,WB_RG_5[],6,FALSE)="","",VLOOKUP($L26,WB_RG_5[],6,FALSE)-$N26)</f>
        <v/>
      </c>
      <c r="T26" s="19" t="str">
        <f>IF(VLOOKUP($L26,WB_RG_6[],6,FALSE)="","",VLOOKUP($L26,WB_RG_6[],6,FALSE)-$N26)</f>
        <v/>
      </c>
      <c r="U26" s="19" t="str">
        <f>IF(VLOOKUP($L26,WB_RG_7[],6,FALSE)="","",VLOOKUP($L26,WB_RG_7[],6,FALSE)-$N26)</f>
        <v/>
      </c>
      <c r="V26" s="19" t="str">
        <f>IF(VLOOKUP($L26,WB_RG_8[],6,FALSE)="","",VLOOKUP($L26,WB_RG_8[],6,FALSE)-$N26)</f>
        <v/>
      </c>
      <c r="W26" s="29">
        <f t="shared" si="8"/>
        <v>0</v>
      </c>
      <c r="X26" s="19" t="str">
        <f t="shared" si="9"/>
        <v/>
      </c>
      <c r="Y26" s="19" t="str">
        <f t="shared" si="10"/>
        <v/>
      </c>
      <c r="Z26" s="19" t="str">
        <f t="shared" si="11"/>
        <v/>
      </c>
      <c r="AA26" s="100" t="str" cm="1">
        <f t="array" ref="AA26">_xlfn.IFS(W26&lt;8,"",
AND(ABS(IF(Z26="",0,Z26)-100)&gt;'Punten verdeling'!$C$17,ABS(IF(Z26="",0,Z26)-100)&lt;='Punten verdeling'!$D$17),WB_TV_RG_U,
AND(ABS(IF(Z26="",0,Z26)-100)&gt;'Punten verdeling'!C$18,ABS(IF(Z26="",0,Z26)-100)&lt;='Punten verdeling'!D$18),WB_TV_RG_G,
AND(ABS(IF(Z26="",0,Z26)-100)&gt;'Punten verdeling'!C$19,ABS(IF(Z26="",0,Z26)-100)&lt;='Punten verdeling'!D$19),WB_TV_RG_V,
ABS(IF(Z26="",0,Z26)-100)&gt;'Punten verdeling'!C$20,WB_TV_RG_O)</f>
        <v/>
      </c>
    </row>
    <row r="27" spans="2:27" x14ac:dyDescent="0.2">
      <c r="B27" s="12" t="str">
        <f>$B$14</f>
        <v>Cis-chloordaan</v>
      </c>
      <c r="C27" s="20">
        <f>IF(VLOOKUP(WB_Kalibratie1[[#This Row],[Component]],Concentraties!$B$8:$L$17,3,FALSE)="","",VLOOKUP(WB_Kalibratie1[[#This Row],[Component]],Concentraties!$B$8:$L$17,3,FALSE))</f>
        <v>0.24292799999999998</v>
      </c>
      <c r="D27" s="38"/>
      <c r="E27" s="40"/>
      <c r="F27" s="40"/>
      <c r="G27" s="37"/>
      <c r="H27" s="20" t="str">
        <f t="shared" si="5"/>
        <v/>
      </c>
      <c r="I27" s="108" t="str">
        <f t="shared" si="6"/>
        <v/>
      </c>
      <c r="L27" s="17" t="str">
        <f t="shared" si="7"/>
        <v>Cis-chloordaan</v>
      </c>
      <c r="M27" s="61" t="str">
        <f>IF(VLOOKUP(L27,Concentraties!$B$8:$L$17,10,FALSE)="","",VLOOKUP(L27,Concentraties!$B$8:$L$17,10,FALSE))</f>
        <v/>
      </c>
      <c r="N27" s="61">
        <f>AVERAGE(VLOOKUP($L27,WB_BLM_1[],6,FALSE),VLOOKUP($L27,WB_BLM_2[],6,FALSE))</f>
        <v>0</v>
      </c>
      <c r="O27" s="19" t="str">
        <f>IF(VLOOKUP($L27,WB_RG_1[],6,FALSE)="","",VLOOKUP($L27,WB_RG_1[],6,FALSE)-$N27)</f>
        <v/>
      </c>
      <c r="P27" s="19" t="str">
        <f>IF(VLOOKUP($L27,WB_RG_2[],6,FALSE)="","",VLOOKUP($L27,WB_RG_2[],6,FALSE)-$N27)</f>
        <v/>
      </c>
      <c r="Q27" s="19" t="str">
        <f>IF(VLOOKUP($L27,WB_RG_3[],6,FALSE)="","",VLOOKUP($L27,WB_RG_3[],6,FALSE)-$N27)</f>
        <v/>
      </c>
      <c r="R27" s="19" t="str">
        <f>IF(VLOOKUP($L27,WB_RG_4[],6,FALSE)="","",VLOOKUP($L27,WB_RG_4[],6,FALSE)-$N27)</f>
        <v/>
      </c>
      <c r="S27" s="19" t="str">
        <f>IF(VLOOKUP($L27,WB_RG_5[],6,FALSE)="","",VLOOKUP($L27,WB_RG_5[],6,FALSE)-$N27)</f>
        <v/>
      </c>
      <c r="T27" s="19" t="str">
        <f>IF(VLOOKUP($L27,WB_RG_6[],6,FALSE)="","",VLOOKUP($L27,WB_RG_6[],6,FALSE)-$N27)</f>
        <v/>
      </c>
      <c r="U27" s="19" t="str">
        <f>IF(VLOOKUP($L27,WB_RG_7[],6,FALSE)="","",VLOOKUP($L27,WB_RG_7[],6,FALSE)-$N27)</f>
        <v/>
      </c>
      <c r="V27" s="19" t="str">
        <f>IF(VLOOKUP($L27,WB_RG_8[],6,FALSE)="","",VLOOKUP($L27,WB_RG_8[],6,FALSE)-$N27)</f>
        <v/>
      </c>
      <c r="W27" s="29">
        <f t="shared" si="8"/>
        <v>0</v>
      </c>
      <c r="X27" s="19" t="str">
        <f t="shared" si="9"/>
        <v/>
      </c>
      <c r="Y27" s="19" t="str">
        <f t="shared" si="10"/>
        <v/>
      </c>
      <c r="Z27" s="19" t="str">
        <f t="shared" si="11"/>
        <v/>
      </c>
      <c r="AA27" s="100" t="str" cm="1">
        <f t="array" ref="AA27">_xlfn.IFS(W27&lt;8,"",
AND(ABS(IF(Z27="",0,Z27)-100)&gt;'Punten verdeling'!$C$17,ABS(IF(Z27="",0,Z27)-100)&lt;='Punten verdeling'!$D$17),WB_TV_RG_U,
AND(ABS(IF(Z27="",0,Z27)-100)&gt;'Punten verdeling'!C$18,ABS(IF(Z27="",0,Z27)-100)&lt;='Punten verdeling'!D$18),WB_TV_RG_G,
AND(ABS(IF(Z27="",0,Z27)-100)&gt;'Punten verdeling'!C$19,ABS(IF(Z27="",0,Z27)-100)&lt;='Punten verdeling'!D$19),WB_TV_RG_V,
ABS(IF(Z27="",0,Z27)-100)&gt;'Punten verdeling'!C$20,WB_TV_RG_O)</f>
        <v/>
      </c>
    </row>
    <row r="28" spans="2:27" x14ac:dyDescent="0.2">
      <c r="B28" s="12" t="str">
        <f>$B$15</f>
        <v>Endrin</v>
      </c>
      <c r="C28" s="20">
        <f>IF(VLOOKUP(WB_Kalibratie1[[#This Row],[Component]],Concentraties!$B$8:$L$17,3,FALSE)="","",VLOOKUP(WB_Kalibratie1[[#This Row],[Component]],Concentraties!$B$8:$L$17,3,FALSE))</f>
        <v>0.24028800000000003</v>
      </c>
      <c r="D28" s="38"/>
      <c r="E28" s="40"/>
      <c r="F28" s="40"/>
      <c r="G28" s="37"/>
      <c r="H28" s="20" t="str">
        <f t="shared" si="5"/>
        <v/>
      </c>
      <c r="I28" s="108" t="str">
        <f t="shared" si="6"/>
        <v/>
      </c>
      <c r="L28" s="17" t="str">
        <f t="shared" si="7"/>
        <v>Endrin</v>
      </c>
      <c r="M28" s="61" t="str">
        <f>IF(VLOOKUP(L28,Concentraties!$B$8:$L$17,10,FALSE)="","",VLOOKUP(L28,Concentraties!$B$8:$L$17,10,FALSE))</f>
        <v/>
      </c>
      <c r="N28" s="61">
        <f>AVERAGE(VLOOKUP($L28,WB_BLM_1[],6,FALSE),VLOOKUP($L28,WB_BLM_2[],6,FALSE))</f>
        <v>0</v>
      </c>
      <c r="O28" s="19" t="str">
        <f>IF(VLOOKUP($L28,WB_RG_1[],6,FALSE)="","",VLOOKUP($L28,WB_RG_1[],6,FALSE)-$N28)</f>
        <v/>
      </c>
      <c r="P28" s="19" t="str">
        <f>IF(VLOOKUP($L28,WB_RG_2[],6,FALSE)="","",VLOOKUP($L28,WB_RG_2[],6,FALSE)-$N28)</f>
        <v/>
      </c>
      <c r="Q28" s="19" t="str">
        <f>IF(VLOOKUP($L28,WB_RG_3[],6,FALSE)="","",VLOOKUP($L28,WB_RG_3[],6,FALSE)-$N28)</f>
        <v/>
      </c>
      <c r="R28" s="19" t="str">
        <f>IF(VLOOKUP($L28,WB_RG_4[],6,FALSE)="","",VLOOKUP($L28,WB_RG_4[],6,FALSE)-$N28)</f>
        <v/>
      </c>
      <c r="S28" s="19" t="str">
        <f>IF(VLOOKUP($L28,WB_RG_5[],6,FALSE)="","",VLOOKUP($L28,WB_RG_5[],6,FALSE)-$N28)</f>
        <v/>
      </c>
      <c r="T28" s="19" t="str">
        <f>IF(VLOOKUP($L28,WB_RG_6[],6,FALSE)="","",VLOOKUP($L28,WB_RG_6[],6,FALSE)-$N28)</f>
        <v/>
      </c>
      <c r="U28" s="19" t="str">
        <f>IF(VLOOKUP($L28,WB_RG_7[],6,FALSE)="","",VLOOKUP($L28,WB_RG_7[],6,FALSE)-$N28)</f>
        <v/>
      </c>
      <c r="V28" s="19" t="str">
        <f>IF(VLOOKUP($L28,WB_RG_8[],6,FALSE)="","",VLOOKUP($L28,WB_RG_8[],6,FALSE)-$N28)</f>
        <v/>
      </c>
      <c r="W28" s="29">
        <f t="shared" si="8"/>
        <v>0</v>
      </c>
      <c r="X28" s="19" t="str">
        <f t="shared" si="9"/>
        <v/>
      </c>
      <c r="Y28" s="19" t="str">
        <f t="shared" si="10"/>
        <v/>
      </c>
      <c r="Z28" s="19" t="str">
        <f t="shared" si="11"/>
        <v/>
      </c>
      <c r="AA28" s="100" t="str" cm="1">
        <f t="array" ref="AA28">_xlfn.IFS(W28&lt;8,"",
AND(ABS(IF(Z28="",0,Z28)-100)&gt;'Punten verdeling'!$C$17,ABS(IF(Z28="",0,Z28)-100)&lt;='Punten verdeling'!$D$17),WB_TV_RG_U,
AND(ABS(IF(Z28="",0,Z28)-100)&gt;'Punten verdeling'!C$18,ABS(IF(Z28="",0,Z28)-100)&lt;='Punten verdeling'!D$18),WB_TV_RG_G,
AND(ABS(IF(Z28="",0,Z28)-100)&gt;'Punten verdeling'!C$19,ABS(IF(Z28="",0,Z28)-100)&lt;='Punten verdeling'!D$19),WB_TV_RG_V,
ABS(IF(Z28="",0,Z28)-100)&gt;'Punten verdeling'!C$20,WB_TV_RG_O)</f>
        <v/>
      </c>
    </row>
    <row r="29" spans="2:27" x14ac:dyDescent="0.2">
      <c r="B29" s="12" t="str">
        <f>$B$16</f>
        <v>Hexachloorbutadieen</v>
      </c>
      <c r="C29" s="20">
        <f>IF(VLOOKUP(WB_Kalibratie1[[#This Row],[Component]],Concentraties!$B$8:$L$17,3,FALSE)="","",VLOOKUP(WB_Kalibratie1[[#This Row],[Component]],Concentraties!$B$8:$L$17,3,FALSE))</f>
        <v>0.24035999999999999</v>
      </c>
      <c r="D29" s="38"/>
      <c r="E29" s="40"/>
      <c r="F29" s="40"/>
      <c r="G29" s="37"/>
      <c r="H29" s="20" t="str">
        <f t="shared" si="5"/>
        <v/>
      </c>
      <c r="I29" s="108" t="str">
        <f t="shared" si="6"/>
        <v/>
      </c>
      <c r="L29" s="17" t="str">
        <f t="shared" si="7"/>
        <v>Hexachloorbutadieen</v>
      </c>
      <c r="M29" s="61" t="str">
        <f>IF(VLOOKUP(L29,Concentraties!$B$8:$L$17,10,FALSE)="","",VLOOKUP(L29,Concentraties!$B$8:$L$17,10,FALSE))</f>
        <v/>
      </c>
      <c r="N29" s="61">
        <f>AVERAGE(VLOOKUP($L29,WB_BLM_1[],6,FALSE),VLOOKUP($L29,WB_BLM_2[],6,FALSE))</f>
        <v>0</v>
      </c>
      <c r="O29" s="19" t="str">
        <f>IF(VLOOKUP($L29,WB_RG_1[],6,FALSE)="","",VLOOKUP($L29,WB_RG_1[],6,FALSE)-$N29)</f>
        <v/>
      </c>
      <c r="P29" s="19" t="str">
        <f>IF(VLOOKUP($L29,WB_RG_2[],6,FALSE)="","",VLOOKUP($L29,WB_RG_2[],6,FALSE)-$N29)</f>
        <v/>
      </c>
      <c r="Q29" s="19" t="str">
        <f>IF(VLOOKUP($L29,WB_RG_3[],6,FALSE)="","",VLOOKUP($L29,WB_RG_3[],6,FALSE)-$N29)</f>
        <v/>
      </c>
      <c r="R29" s="19" t="str">
        <f>IF(VLOOKUP($L29,WB_RG_4[],6,FALSE)="","",VLOOKUP($L29,WB_RG_4[],6,FALSE)-$N29)</f>
        <v/>
      </c>
      <c r="S29" s="19" t="str">
        <f>IF(VLOOKUP($L29,WB_RG_5[],6,FALSE)="","",VLOOKUP($L29,WB_RG_5[],6,FALSE)-$N29)</f>
        <v/>
      </c>
      <c r="T29" s="19" t="str">
        <f>IF(VLOOKUP($L29,WB_RG_6[],6,FALSE)="","",VLOOKUP($L29,WB_RG_6[],6,FALSE)-$N29)</f>
        <v/>
      </c>
      <c r="U29" s="19" t="str">
        <f>IF(VLOOKUP($L29,WB_RG_7[],6,FALSE)="","",VLOOKUP($L29,WB_RG_7[],6,FALSE)-$N29)</f>
        <v/>
      </c>
      <c r="V29" s="19" t="str">
        <f>IF(VLOOKUP($L29,WB_RG_8[],6,FALSE)="","",VLOOKUP($L29,WB_RG_8[],6,FALSE)-$N29)</f>
        <v/>
      </c>
      <c r="W29" s="29">
        <f t="shared" si="8"/>
        <v>0</v>
      </c>
      <c r="X29" s="19" t="str">
        <f t="shared" si="9"/>
        <v/>
      </c>
      <c r="Y29" s="19" t="str">
        <f t="shared" si="10"/>
        <v/>
      </c>
      <c r="Z29" s="19" t="str">
        <f t="shared" si="11"/>
        <v/>
      </c>
      <c r="AA29" s="100" t="str" cm="1">
        <f t="array" ref="AA29">_xlfn.IFS(W29&lt;8,"",
AND(ABS(IF(Z29="",0,Z29)-100)&gt;'Punten verdeling'!$C$17,ABS(IF(Z29="",0,Z29)-100)&lt;='Punten verdeling'!$D$17),WB_TV_RG_U,
AND(ABS(IF(Z29="",0,Z29)-100)&gt;'Punten verdeling'!C$18,ABS(IF(Z29="",0,Z29)-100)&lt;='Punten verdeling'!D$18),WB_TV_RG_G,
AND(ABS(IF(Z29="",0,Z29)-100)&gt;'Punten verdeling'!C$19,ABS(IF(Z29="",0,Z29)-100)&lt;='Punten verdeling'!D$19),WB_TV_RG_V,
ABS(IF(Z29="",0,Z29)-100)&gt;'Punten verdeling'!C$20,WB_TV_RG_O)</f>
        <v/>
      </c>
    </row>
    <row r="30" spans="2:27" x14ac:dyDescent="0.2">
      <c r="B30" s="12" t="str">
        <f>$B$17</f>
        <v>Naftaleen</v>
      </c>
      <c r="C30" s="20">
        <f>IF(VLOOKUP(WB_Kalibratie1[[#This Row],[Component]],Concentraties!$B$8:$L$17,3,FALSE)="","",VLOOKUP(WB_Kalibratie1[[#This Row],[Component]],Concentraties!$B$8:$L$17,3,FALSE))</f>
        <v>2</v>
      </c>
      <c r="D30" s="38"/>
      <c r="E30" s="40"/>
      <c r="F30" s="40"/>
      <c r="G30" s="37"/>
      <c r="H30" s="20" t="str">
        <f t="shared" si="5"/>
        <v/>
      </c>
      <c r="I30" s="108" t="str">
        <f t="shared" si="6"/>
        <v/>
      </c>
      <c r="L30" s="17" t="str">
        <f t="shared" si="7"/>
        <v>Naftaleen</v>
      </c>
      <c r="M30" s="61" t="str">
        <f>IF(VLOOKUP(L30,Concentraties!$B$8:$L$17,10,FALSE)="","",VLOOKUP(L30,Concentraties!$B$8:$L$17,10,FALSE))</f>
        <v/>
      </c>
      <c r="N30" s="61">
        <f>AVERAGE(VLOOKUP($L30,WB_BLM_1[],6,FALSE),VLOOKUP($L30,WB_BLM_2[],6,FALSE))</f>
        <v>0</v>
      </c>
      <c r="O30" s="19" t="str">
        <f>IF(VLOOKUP($L30,WB_RG_1[],6,FALSE)="","",VLOOKUP($L30,WB_RG_1[],6,FALSE)-$N30)</f>
        <v/>
      </c>
      <c r="P30" s="19" t="str">
        <f>IF(VLOOKUP($L30,WB_RG_2[],6,FALSE)="","",VLOOKUP($L30,WB_RG_2[],6,FALSE)-$N30)</f>
        <v/>
      </c>
      <c r="Q30" s="19" t="str">
        <f>IF(VLOOKUP($L30,WB_RG_3[],6,FALSE)="","",VLOOKUP($L30,WB_RG_3[],6,FALSE)-$N30)</f>
        <v/>
      </c>
      <c r="R30" s="19" t="str">
        <f>IF(VLOOKUP($L30,WB_RG_4[],6,FALSE)="","",VLOOKUP($L30,WB_RG_4[],6,FALSE)-$N30)</f>
        <v/>
      </c>
      <c r="S30" s="19" t="str">
        <f>IF(VLOOKUP($L30,WB_RG_5[],6,FALSE)="","",VLOOKUP($L30,WB_RG_5[],6,FALSE)-$N30)</f>
        <v/>
      </c>
      <c r="T30" s="19" t="str">
        <f>IF(VLOOKUP($L30,WB_RG_6[],6,FALSE)="","",VLOOKUP($L30,WB_RG_6[],6,FALSE)-$N30)</f>
        <v/>
      </c>
      <c r="U30" s="19" t="str">
        <f>IF(VLOOKUP($L30,WB_RG_7[],6,FALSE)="","",VLOOKUP($L30,WB_RG_7[],6,FALSE)-$N30)</f>
        <v/>
      </c>
      <c r="V30" s="19" t="str">
        <f>IF(VLOOKUP($L30,WB_RG_8[],6,FALSE)="","",VLOOKUP($L30,WB_RG_8[],6,FALSE)-$N30)</f>
        <v/>
      </c>
      <c r="W30" s="29">
        <f t="shared" si="8"/>
        <v>0</v>
      </c>
      <c r="X30" s="19" t="str">
        <f t="shared" si="9"/>
        <v/>
      </c>
      <c r="Y30" s="19" t="str">
        <f t="shared" si="10"/>
        <v/>
      </c>
      <c r="Z30" s="19" t="str">
        <f t="shared" si="11"/>
        <v/>
      </c>
      <c r="AA30" s="100" t="str" cm="1">
        <f t="array" ref="AA30">_xlfn.IFS(W30&lt;8,"",
AND(ABS(IF(Z30="",0,Z30)-100)&gt;'Punten verdeling'!$C$17,ABS(IF(Z30="",0,Z30)-100)&lt;='Punten verdeling'!$D$17),WB_TV_RG_U,
AND(ABS(IF(Z30="",0,Z30)-100)&gt;'Punten verdeling'!C$18,ABS(IF(Z30="",0,Z30)-100)&lt;='Punten verdeling'!D$18),WB_TV_RG_G,
AND(ABS(IF(Z30="",0,Z30)-100)&gt;'Punten verdeling'!C$19,ABS(IF(Z30="",0,Z30)-100)&lt;='Punten verdeling'!D$19),WB_TV_RG_V,
ABS(IF(Z30="",0,Z30)-100)&gt;'Punten verdeling'!C$20,WB_TV_RG_O)</f>
        <v/>
      </c>
    </row>
    <row r="31" spans="2:27" x14ac:dyDescent="0.2">
      <c r="B31" s="12" t="str">
        <f>$B$18</f>
        <v>Pentachloorbenzeen</v>
      </c>
      <c r="C31" s="20">
        <f>IF(VLOOKUP(WB_Kalibratie1[[#This Row],[Component]],Concentraties!$B$8:$L$17,3,FALSE)="","",VLOOKUP(WB_Kalibratie1[[#This Row],[Component]],Concentraties!$B$8:$L$17,3,FALSE))</f>
        <v>0.240456</v>
      </c>
      <c r="D31" s="38"/>
      <c r="E31" s="40"/>
      <c r="F31" s="40"/>
      <c r="G31" s="37"/>
      <c r="H31" s="20" t="str">
        <f t="shared" si="5"/>
        <v/>
      </c>
      <c r="I31" s="108" t="str">
        <f t="shared" si="6"/>
        <v/>
      </c>
      <c r="L31" s="17" t="str">
        <f t="shared" si="7"/>
        <v>Pentachloorbenzeen</v>
      </c>
      <c r="M31" s="61" t="str">
        <f>IF(VLOOKUP(L31,Concentraties!$B$8:$L$17,10,FALSE)="","",VLOOKUP(L31,Concentraties!$B$8:$L$17,10,FALSE))</f>
        <v/>
      </c>
      <c r="N31" s="61">
        <f>AVERAGE(VLOOKUP($L31,WB_BLM_1[],6,FALSE),VLOOKUP($L31,WB_BLM_2[],6,FALSE))</f>
        <v>0</v>
      </c>
      <c r="O31" s="19" t="str">
        <f>IF(VLOOKUP($L31,WB_RG_1[],6,FALSE)="","",VLOOKUP($L31,WB_RG_1[],6,FALSE)-$N31)</f>
        <v/>
      </c>
      <c r="P31" s="19" t="str">
        <f>IF(VLOOKUP($L31,WB_RG_2[],6,FALSE)="","",VLOOKUP($L31,WB_RG_2[],6,FALSE)-$N31)</f>
        <v/>
      </c>
      <c r="Q31" s="19" t="str">
        <f>IF(VLOOKUP($L31,WB_RG_3[],6,FALSE)="","",VLOOKUP($L31,WB_RG_3[],6,FALSE)-$N31)</f>
        <v/>
      </c>
      <c r="R31" s="19" t="str">
        <f>IF(VLOOKUP($L31,WB_RG_4[],6,FALSE)="","",VLOOKUP($L31,WB_RG_4[],6,FALSE)-$N31)</f>
        <v/>
      </c>
      <c r="S31" s="19" t="str">
        <f>IF(VLOOKUP($L31,WB_RG_5[],6,FALSE)="","",VLOOKUP($L31,WB_RG_5[],6,FALSE)-$N31)</f>
        <v/>
      </c>
      <c r="T31" s="19" t="str">
        <f>IF(VLOOKUP($L31,WB_RG_6[],6,FALSE)="","",VLOOKUP($L31,WB_RG_6[],6,FALSE)-$N31)</f>
        <v/>
      </c>
      <c r="U31" s="19" t="str">
        <f>IF(VLOOKUP($L31,WB_RG_7[],6,FALSE)="","",VLOOKUP($L31,WB_RG_7[],6,FALSE)-$N31)</f>
        <v/>
      </c>
      <c r="V31" s="19" t="str">
        <f>IF(VLOOKUP($L31,WB_RG_8[],6,FALSE)="","",VLOOKUP($L31,WB_RG_8[],6,FALSE)-$N31)</f>
        <v/>
      </c>
      <c r="W31" s="29">
        <f t="shared" si="8"/>
        <v>0</v>
      </c>
      <c r="X31" s="19" t="str">
        <f t="shared" si="9"/>
        <v/>
      </c>
      <c r="Y31" s="19" t="str">
        <f t="shared" si="10"/>
        <v/>
      </c>
      <c r="Z31" s="19" t="str">
        <f t="shared" si="11"/>
        <v/>
      </c>
      <c r="AA31" s="100" t="str" cm="1">
        <f t="array" ref="AA31">_xlfn.IFS(W31&lt;8,"",
AND(ABS(IF(Z31="",0,Z31)-100)&gt;'Punten verdeling'!$C$17,ABS(IF(Z31="",0,Z31)-100)&lt;='Punten verdeling'!$D$17),WB_TV_RG_U,
AND(ABS(IF(Z31="",0,Z31)-100)&gt;'Punten verdeling'!C$18,ABS(IF(Z31="",0,Z31)-100)&lt;='Punten verdeling'!D$18),WB_TV_RG_G,
AND(ABS(IF(Z31="",0,Z31)-100)&gt;'Punten verdeling'!C$19,ABS(IF(Z31="",0,Z31)-100)&lt;='Punten verdeling'!D$19),WB_TV_RG_V,
ABS(IF(Z31="",0,Z31)-100)&gt;'Punten verdeling'!C$20,WB_TV_RG_O)</f>
        <v/>
      </c>
    </row>
    <row r="32" spans="2:27" x14ac:dyDescent="0.2">
      <c r="B32" s="12" t="str">
        <f>$B$19</f>
        <v>PCB 28</v>
      </c>
      <c r="C32" s="20">
        <f>IF(VLOOKUP(WB_Kalibratie1[[#This Row],[Component]],Concentraties!$B$8:$L$17,3,FALSE)="","",VLOOKUP(WB_Kalibratie1[[#This Row],[Component]],Concentraties!$B$8:$L$17,3,FALSE))</f>
        <v>0.24091199999999999</v>
      </c>
      <c r="D32" s="38"/>
      <c r="E32" s="40"/>
      <c r="F32" s="40"/>
      <c r="G32" s="37"/>
      <c r="H32" s="20" t="str">
        <f t="shared" si="5"/>
        <v/>
      </c>
      <c r="I32" s="108" t="str">
        <f t="shared" si="6"/>
        <v/>
      </c>
      <c r="L32" s="17" t="str">
        <f t="shared" si="7"/>
        <v>PCB 28</v>
      </c>
      <c r="M32" s="61" t="str">
        <f>IF(VLOOKUP(L32,Concentraties!$B$8:$L$17,10,FALSE)="","",VLOOKUP(L32,Concentraties!$B$8:$L$17,10,FALSE))</f>
        <v/>
      </c>
      <c r="N32" s="61">
        <f>AVERAGE(VLOOKUP($L32,WB_BLM_1[],6,FALSE),VLOOKUP($L32,WB_BLM_2[],6,FALSE))</f>
        <v>0</v>
      </c>
      <c r="O32" s="19" t="str">
        <f>IF(VLOOKUP($L32,WB_RG_1[],6,FALSE)="","",VLOOKUP($L32,WB_RG_1[],6,FALSE)-$N32)</f>
        <v/>
      </c>
      <c r="P32" s="19" t="str">
        <f>IF(VLOOKUP($L32,WB_RG_2[],6,FALSE)="","",VLOOKUP($L32,WB_RG_2[],6,FALSE)-$N32)</f>
        <v/>
      </c>
      <c r="Q32" s="19" t="str">
        <f>IF(VLOOKUP($L32,WB_RG_3[],6,FALSE)="","",VLOOKUP($L32,WB_RG_3[],6,FALSE)-$N32)</f>
        <v/>
      </c>
      <c r="R32" s="19" t="str">
        <f>IF(VLOOKUP($L32,WB_RG_4[],6,FALSE)="","",VLOOKUP($L32,WB_RG_4[],6,FALSE)-$N32)</f>
        <v/>
      </c>
      <c r="S32" s="19" t="str">
        <f>IF(VLOOKUP($L32,WB_RG_5[],6,FALSE)="","",VLOOKUP($L32,WB_RG_5[],6,FALSE)-$N32)</f>
        <v/>
      </c>
      <c r="T32" s="19" t="str">
        <f>IF(VLOOKUP($L32,WB_RG_6[],6,FALSE)="","",VLOOKUP($L32,WB_RG_6[],6,FALSE)-$N32)</f>
        <v/>
      </c>
      <c r="U32" s="19" t="str">
        <f>IF(VLOOKUP($L32,WB_RG_7[],6,FALSE)="","",VLOOKUP($L32,WB_RG_7[],6,FALSE)-$N32)</f>
        <v/>
      </c>
      <c r="V32" s="19" t="str">
        <f>IF(VLOOKUP($L32,WB_RG_8[],6,FALSE)="","",VLOOKUP($L32,WB_RG_8[],6,FALSE)-$N32)</f>
        <v/>
      </c>
      <c r="W32" s="29">
        <f t="shared" si="8"/>
        <v>0</v>
      </c>
      <c r="X32" s="19" t="str">
        <f t="shared" si="9"/>
        <v/>
      </c>
      <c r="Y32" s="19" t="str">
        <f t="shared" si="10"/>
        <v/>
      </c>
      <c r="Z32" s="19" t="str">
        <f t="shared" si="11"/>
        <v/>
      </c>
      <c r="AA32" s="100" t="str" cm="1">
        <f t="array" ref="AA32">_xlfn.IFS(W32&lt;8,"",
AND(ABS(IF(Z32="",0,Z32)-100)&gt;'Punten verdeling'!$C$17,ABS(IF(Z32="",0,Z32)-100)&lt;='Punten verdeling'!$D$17),WB_TV_RG_U,
AND(ABS(IF(Z32="",0,Z32)-100)&gt;'Punten verdeling'!C$18,ABS(IF(Z32="",0,Z32)-100)&lt;='Punten verdeling'!D$18),WB_TV_RG_G,
AND(ABS(IF(Z32="",0,Z32)-100)&gt;'Punten verdeling'!C$19,ABS(IF(Z32="",0,Z32)-100)&lt;='Punten verdeling'!D$19),WB_TV_RG_V,
ABS(IF(Z32="",0,Z32)-100)&gt;'Punten verdeling'!C$20,WB_TV_RG_O)</f>
        <v/>
      </c>
    </row>
    <row r="33" spans="2:44" x14ac:dyDescent="0.2">
      <c r="Z33" s="10" t="s">
        <v>23</v>
      </c>
      <c r="AA33" s="112">
        <f>SUM(AA23:AA32)</f>
        <v>0</v>
      </c>
    </row>
    <row r="34" spans="2:44" ht="20.25" x14ac:dyDescent="0.3">
      <c r="B34" s="8" t="s">
        <v>8</v>
      </c>
      <c r="L34" s="4" t="s">
        <v>105</v>
      </c>
      <c r="Z34" s="10"/>
      <c r="AA34" s="33"/>
      <c r="AB34" s="33"/>
    </row>
    <row r="35" spans="2:44" ht="39" thickBot="1" x14ac:dyDescent="0.25">
      <c r="B35" s="14" t="s">
        <v>2</v>
      </c>
      <c r="C35" s="15" t="s">
        <v>70</v>
      </c>
      <c r="D35" s="15" t="s">
        <v>3</v>
      </c>
      <c r="E35" s="15" t="s">
        <v>47</v>
      </c>
      <c r="F35" s="15" t="s">
        <v>48</v>
      </c>
      <c r="G35" s="15" t="s">
        <v>67</v>
      </c>
      <c r="H35" s="36" t="s">
        <v>4</v>
      </c>
      <c r="I35" s="106" t="s">
        <v>5</v>
      </c>
      <c r="L35" s="23" t="s">
        <v>2</v>
      </c>
      <c r="M35" s="22" t="s">
        <v>68</v>
      </c>
      <c r="N35" s="60" t="s">
        <v>96</v>
      </c>
      <c r="O35" s="22" t="s">
        <v>72</v>
      </c>
      <c r="P35" s="22" t="s">
        <v>73</v>
      </c>
      <c r="Q35" s="22" t="s">
        <v>16</v>
      </c>
      <c r="R35" s="22" t="s">
        <v>71</v>
      </c>
      <c r="S35" s="22" t="s">
        <v>18</v>
      </c>
      <c r="T35" s="22" t="s">
        <v>12</v>
      </c>
      <c r="U35" s="22" t="s">
        <v>33</v>
      </c>
    </row>
    <row r="36" spans="2:44" ht="13.5" thickTop="1" x14ac:dyDescent="0.2">
      <c r="B36" s="13" t="str">
        <f>$B$10</f>
        <v>44-DDD</v>
      </c>
      <c r="C36" s="20">
        <f>IF(VLOOKUP(WB_Kalibratie2[[#This Row],[Component]],Concentraties!$B$8:$L$17,4,FALSE)="","",VLOOKUP(WB_Kalibratie2[[#This Row],[Component]],Concentraties!$B$8:$L$17,4,FALSE))</f>
        <v>0.5958</v>
      </c>
      <c r="D36" s="37"/>
      <c r="E36" s="39"/>
      <c r="F36" s="39"/>
      <c r="G36" s="37"/>
      <c r="H36" s="20" t="str">
        <f t="shared" ref="H36:H45" si="12">IFERROR(IF(C36="-","N.v.t.",IF(G36="","",100*G36/C36)),"")</f>
        <v/>
      </c>
      <c r="I36" s="107" t="str">
        <f t="shared" ref="I36:I45" si="13">IFERROR(MIN(E36,F36)/MAX(E36,F36),"")</f>
        <v/>
      </c>
      <c r="L36" s="18" t="str">
        <f>L10</f>
        <v>44-DDD</v>
      </c>
      <c r="M36" s="61" t="str">
        <f>IF(VLOOKUP(L23,Concentraties!$B$8:$L$17,8,FALSE)="","",VLOOKUP(L23,Concentraties!$B$8:$L$17,8,FALSE))</f>
        <v/>
      </c>
      <c r="N36" s="61">
        <f>AVERAGE(VLOOKUP($L36,WB_BLM_1[],6,FALSE),VLOOKUP($L36,WB_BLM_2[],6,FALSE))</f>
        <v>0</v>
      </c>
      <c r="O36" s="19" t="str">
        <f>IF(VLOOKUP($L36,WB_CM_1[],6,FALSE)="","",VLOOKUP($L36,WB_CM_1[],6,FALSE)-$N36)</f>
        <v/>
      </c>
      <c r="P36" s="19" t="str">
        <f>IF(VLOOKUP($L36,WB_CM_2[],6,FALSE)="","",VLOOKUP($L36,WB_CM_2[],6,FALSE)-$N36)</f>
        <v/>
      </c>
      <c r="Q36" s="29">
        <f t="shared" ref="Q36:Q45" si="14">COUNT(O36:P36)</f>
        <v>0</v>
      </c>
      <c r="R36" s="19" t="str">
        <f t="shared" ref="R36:R45" si="15">IF(Q36&lt;2,"",AVERAGE(O36:P36))</f>
        <v/>
      </c>
      <c r="S36" s="19" t="str">
        <f t="shared" ref="S36:S45" si="16">IF(Q36&lt;2,"",STDEV(O36:P36)*100/R36)</f>
        <v/>
      </c>
      <c r="T36" s="19" t="str">
        <f t="shared" ref="T36:T45" si="17">IF(Q36&lt;2,"",IF(M36="","",AVERAGE(O36:P36)*100/M36))</f>
        <v/>
      </c>
      <c r="U36" s="100" t="str" cm="1">
        <f t="array" ref="U36">_xlfn.IFS(OR(Q36&lt;2,S36&gt;10),"",
AND(ABS(IF(T36="",0,T36)-100)&gt;'Punten verdeling'!$C$21,ABS(IF(T36="",0,T36)-100)&lt;='Punten verdeling'!$D$21),WB_TV_CM_U,
AND(ABS(IF(T36="",0,T36)-100)&gt;'Punten verdeling'!C$22,ABS(IF(T36="",0,T36)-100)&lt;='Punten verdeling'!D$22),WB_TV_CM_G,
AND(ABS(IF(T36="",0,T36)-100)&gt;'Punten verdeling'!C$23,ABS(IF(T36="",0,T36)-100)&lt;='Punten verdeling'!D$23),WB_TV_CM_V,
ABS(IF(T36="",0,T36)-100)&gt;'Punten verdeling'!C$24,WB_TV_CM_O)</f>
        <v/>
      </c>
      <c r="V36" s="83"/>
    </row>
    <row r="37" spans="2:44" x14ac:dyDescent="0.2">
      <c r="B37" s="12" t="str">
        <f>$B$11</f>
        <v>Antraceen</v>
      </c>
      <c r="C37" s="20">
        <f>IF(VLOOKUP(WB_Kalibratie2[[#This Row],[Component]],Concentraties!$B$8:$L$17,4,FALSE)="","",VLOOKUP(WB_Kalibratie2[[#This Row],[Component]],Concentraties!$B$8:$L$17,4,FALSE))</f>
        <v>3.9995999999999996</v>
      </c>
      <c r="D37" s="38"/>
      <c r="E37" s="40"/>
      <c r="F37" s="40"/>
      <c r="G37" s="37"/>
      <c r="H37" s="20" t="str">
        <f t="shared" si="12"/>
        <v/>
      </c>
      <c r="I37" s="108" t="str">
        <f t="shared" si="13"/>
        <v/>
      </c>
      <c r="L37" s="18" t="str">
        <f t="shared" ref="L37:L45" si="18">L11</f>
        <v>Antraceen</v>
      </c>
      <c r="M37" s="61" t="str">
        <f>IF(VLOOKUP(L24,Concentraties!$B$8:$L$17,8,FALSE)="","",VLOOKUP(L24,Concentraties!$B$8:$L$17,8,FALSE))</f>
        <v/>
      </c>
      <c r="N37" s="61">
        <f>AVERAGE(VLOOKUP($L37,WB_BLM_1[],6,FALSE),VLOOKUP($L37,WB_BLM_2[],6,FALSE))</f>
        <v>0</v>
      </c>
      <c r="O37" s="19" t="str">
        <f>IF(VLOOKUP($L37,WB_CM_1[],6,FALSE)="","",VLOOKUP($L37,WB_CM_1[],6,FALSE)-$N37)</f>
        <v/>
      </c>
      <c r="P37" s="19" t="str">
        <f>IF(VLOOKUP($L37,WB_CM_2[],6,FALSE)="","",VLOOKUP($L37,WB_CM_2[],6,FALSE)-$N37)</f>
        <v/>
      </c>
      <c r="Q37" s="29">
        <f t="shared" si="14"/>
        <v>0</v>
      </c>
      <c r="R37" s="19" t="str">
        <f t="shared" si="15"/>
        <v/>
      </c>
      <c r="S37" s="19" t="str">
        <f t="shared" si="16"/>
        <v/>
      </c>
      <c r="T37" s="19" t="str">
        <f t="shared" si="17"/>
        <v/>
      </c>
      <c r="U37" s="100" t="str" cm="1">
        <f t="array" ref="U37">_xlfn.IFS(OR(Q37&lt;2,S37&gt;10),"",
AND(ABS(IF(T37="",0,T37)-100)&gt;'Punten verdeling'!$C$21,ABS(IF(T37="",0,T37)-100)&lt;='Punten verdeling'!$D$21),WB_TV_CM_U,
AND(ABS(IF(T37="",0,T37)-100)&gt;'Punten verdeling'!C$22,ABS(IF(T37="",0,T37)-100)&lt;='Punten verdeling'!D$22),WB_TV_CM_G,
AND(ABS(IF(T37="",0,T37)-100)&gt;'Punten verdeling'!C$23,ABS(IF(T37="",0,T37)-100)&lt;='Punten verdeling'!D$23),WB_TV_CM_V,
ABS(IF(T37="",0,T37)-100)&gt;'Punten verdeling'!C$24,WB_TV_CM_O)</f>
        <v/>
      </c>
    </row>
    <row r="38" spans="2:44" x14ac:dyDescent="0.2">
      <c r="B38" s="12" t="str">
        <f>$B$12</f>
        <v>Benzo(a)pyreen</v>
      </c>
      <c r="C38" s="20">
        <f>IF(VLOOKUP(WB_Kalibratie2[[#This Row],[Component]],Concentraties!$B$8:$L$17,4,FALSE)="","",VLOOKUP(WB_Kalibratie2[[#This Row],[Component]],Concentraties!$B$8:$L$17,4,FALSE))</f>
        <v>4</v>
      </c>
      <c r="D38" s="38"/>
      <c r="E38" s="40"/>
      <c r="F38" s="40"/>
      <c r="G38" s="37"/>
      <c r="H38" s="20" t="str">
        <f t="shared" si="12"/>
        <v/>
      </c>
      <c r="I38" s="108" t="str">
        <f t="shared" si="13"/>
        <v/>
      </c>
      <c r="L38" s="18" t="str">
        <f t="shared" si="18"/>
        <v>Benzo(a)pyreen</v>
      </c>
      <c r="M38" s="61" t="str">
        <f>IF(VLOOKUP(L25,Concentraties!$B$8:$L$17,8,FALSE)="","",VLOOKUP(L25,Concentraties!$B$8:$L$17,8,FALSE))</f>
        <v/>
      </c>
      <c r="N38" s="61">
        <f>AVERAGE(VLOOKUP($L38,WB_BLM_1[],6,FALSE),VLOOKUP($L38,WB_BLM_2[],6,FALSE))</f>
        <v>0</v>
      </c>
      <c r="O38" s="19" t="str">
        <f>IF(VLOOKUP($L38,WB_CM_1[],6,FALSE)="","",VLOOKUP($L38,WB_CM_1[],6,FALSE)-$N38)</f>
        <v/>
      </c>
      <c r="P38" s="19" t="str">
        <f>IF(VLOOKUP($L38,WB_CM_2[],6,FALSE)="","",VLOOKUP($L38,WB_CM_2[],6,FALSE)-$N38)</f>
        <v/>
      </c>
      <c r="Q38" s="29">
        <f t="shared" si="14"/>
        <v>0</v>
      </c>
      <c r="R38" s="19" t="str">
        <f t="shared" si="15"/>
        <v/>
      </c>
      <c r="S38" s="19" t="str">
        <f t="shared" si="16"/>
        <v/>
      </c>
      <c r="T38" s="19" t="str">
        <f t="shared" si="17"/>
        <v/>
      </c>
      <c r="U38" s="100" t="str" cm="1">
        <f t="array" ref="U38">_xlfn.IFS(OR(Q38&lt;2,S38&gt;10),"",
AND(ABS(IF(T38="",0,T38)-100)&gt;'Punten verdeling'!$C$21,ABS(IF(T38="",0,T38)-100)&lt;='Punten verdeling'!$D$21),WB_TV_CM_U,
AND(ABS(IF(T38="",0,T38)-100)&gt;'Punten verdeling'!C$22,ABS(IF(T38="",0,T38)-100)&lt;='Punten verdeling'!D$22),WB_TV_CM_G,
AND(ABS(IF(T38="",0,T38)-100)&gt;'Punten verdeling'!C$23,ABS(IF(T38="",0,T38)-100)&lt;='Punten verdeling'!D$23),WB_TV_CM_V,
ABS(IF(T38="",0,T38)-100)&gt;'Punten verdeling'!C$24,WB_TV_CM_O)</f>
        <v/>
      </c>
    </row>
    <row r="39" spans="2:44" x14ac:dyDescent="0.2">
      <c r="B39" s="12" t="str">
        <f>$B$13</f>
        <v>Benzo(ghi)peryleen</v>
      </c>
      <c r="C39" s="20">
        <f>IF(VLOOKUP(WB_Kalibratie2[[#This Row],[Component]],Concentraties!$B$8:$L$17,4,FALSE)="","",VLOOKUP(WB_Kalibratie2[[#This Row],[Component]],Concentraties!$B$8:$L$17,4,FALSE))</f>
        <v>4</v>
      </c>
      <c r="D39" s="38"/>
      <c r="E39" s="40"/>
      <c r="F39" s="40"/>
      <c r="G39" s="37"/>
      <c r="H39" s="20" t="str">
        <f t="shared" si="12"/>
        <v/>
      </c>
      <c r="I39" s="108" t="str">
        <f t="shared" si="13"/>
        <v/>
      </c>
      <c r="L39" s="18" t="str">
        <f t="shared" si="18"/>
        <v>Benzo(ghi)peryleen</v>
      </c>
      <c r="M39" s="61" t="str">
        <f>IF(VLOOKUP(L26,Concentraties!$B$8:$L$17,8,FALSE)="","",VLOOKUP(L26,Concentraties!$B$8:$L$17,8,FALSE))</f>
        <v/>
      </c>
      <c r="N39" s="61">
        <f>AVERAGE(VLOOKUP($L39,WB_BLM_1[],6,FALSE),VLOOKUP($L39,WB_BLM_2[],6,FALSE))</f>
        <v>0</v>
      </c>
      <c r="O39" s="19" t="str">
        <f>IF(VLOOKUP($L39,WB_CM_1[],6,FALSE)="","",VLOOKUP($L39,WB_CM_1[],6,FALSE)-$N39)</f>
        <v/>
      </c>
      <c r="P39" s="19" t="str">
        <f>IF(VLOOKUP($L39,WB_CM_2[],6,FALSE)="","",VLOOKUP($L39,WB_CM_2[],6,FALSE)-$N39)</f>
        <v/>
      </c>
      <c r="Q39" s="29">
        <f t="shared" si="14"/>
        <v>0</v>
      </c>
      <c r="R39" s="19" t="str">
        <f t="shared" si="15"/>
        <v/>
      </c>
      <c r="S39" s="19" t="str">
        <f t="shared" si="16"/>
        <v/>
      </c>
      <c r="T39" s="19" t="str">
        <f t="shared" si="17"/>
        <v/>
      </c>
      <c r="U39" s="100" t="str" cm="1">
        <f t="array" ref="U39">_xlfn.IFS(OR(Q39&lt;2,S39&gt;10),"",
AND(ABS(IF(T39="",0,T39)-100)&gt;'Punten verdeling'!$C$21,ABS(IF(T39="",0,T39)-100)&lt;='Punten verdeling'!$D$21),WB_TV_CM_U,
AND(ABS(IF(T39="",0,T39)-100)&gt;'Punten verdeling'!C$22,ABS(IF(T39="",0,T39)-100)&lt;='Punten verdeling'!D$22),WB_TV_CM_G,
AND(ABS(IF(T39="",0,T39)-100)&gt;'Punten verdeling'!C$23,ABS(IF(T39="",0,T39)-100)&lt;='Punten verdeling'!D$23),WB_TV_CM_V,
ABS(IF(T39="",0,T39)-100)&gt;'Punten verdeling'!C$24,WB_TV_CM_O)</f>
        <v/>
      </c>
    </row>
    <row r="40" spans="2:44" x14ac:dyDescent="0.2">
      <c r="B40" s="12" t="str">
        <f>$B$14</f>
        <v>Cis-chloordaan</v>
      </c>
      <c r="C40" s="20">
        <f>IF(VLOOKUP(WB_Kalibratie2[[#This Row],[Component]],Concentraties!$B$8:$L$17,4,FALSE)="","",VLOOKUP(WB_Kalibratie2[[#This Row],[Component]],Concentraties!$B$8:$L$17,4,FALSE))</f>
        <v>0.60731999999999997</v>
      </c>
      <c r="D40" s="38"/>
      <c r="E40" s="40"/>
      <c r="F40" s="40"/>
      <c r="G40" s="37"/>
      <c r="H40" s="20" t="str">
        <f t="shared" si="12"/>
        <v/>
      </c>
      <c r="I40" s="108" t="str">
        <f t="shared" si="13"/>
        <v/>
      </c>
      <c r="L40" s="18" t="str">
        <f t="shared" si="18"/>
        <v>Cis-chloordaan</v>
      </c>
      <c r="M40" s="61" t="str">
        <f>IF(VLOOKUP(L27,Concentraties!$B$8:$L$17,8,FALSE)="","",VLOOKUP(L27,Concentraties!$B$8:$L$17,8,FALSE))</f>
        <v/>
      </c>
      <c r="N40" s="61">
        <f>AVERAGE(VLOOKUP($L40,WB_BLM_1[],6,FALSE),VLOOKUP($L40,WB_BLM_2[],6,FALSE))</f>
        <v>0</v>
      </c>
      <c r="O40" s="19" t="str">
        <f>IF(VLOOKUP($L40,WB_CM_1[],6,FALSE)="","",VLOOKUP($L40,WB_CM_1[],6,FALSE)-$N40)</f>
        <v/>
      </c>
      <c r="P40" s="19" t="str">
        <f>IF(VLOOKUP($L40,WB_CM_2[],6,FALSE)="","",VLOOKUP($L40,WB_CM_2[],6,FALSE)-$N40)</f>
        <v/>
      </c>
      <c r="Q40" s="29">
        <f t="shared" si="14"/>
        <v>0</v>
      </c>
      <c r="R40" s="19" t="str">
        <f t="shared" si="15"/>
        <v/>
      </c>
      <c r="S40" s="19" t="str">
        <f t="shared" si="16"/>
        <v/>
      </c>
      <c r="T40" s="19" t="str">
        <f t="shared" si="17"/>
        <v/>
      </c>
      <c r="U40" s="100" t="str" cm="1">
        <f t="array" ref="U40">_xlfn.IFS(OR(Q40&lt;2,S40&gt;10),"",
AND(ABS(IF(T40="",0,T40)-100)&gt;'Punten verdeling'!$C$21,ABS(IF(T40="",0,T40)-100)&lt;='Punten verdeling'!$D$21),WB_TV_CM_U,
AND(ABS(IF(T40="",0,T40)-100)&gt;'Punten verdeling'!C$22,ABS(IF(T40="",0,T40)-100)&lt;='Punten verdeling'!D$22),WB_TV_CM_G,
AND(ABS(IF(T40="",0,T40)-100)&gt;'Punten verdeling'!C$23,ABS(IF(T40="",0,T40)-100)&lt;='Punten verdeling'!D$23),WB_TV_CM_V,
ABS(IF(T40="",0,T40)-100)&gt;'Punten verdeling'!C$24,WB_TV_CM_O)</f>
        <v/>
      </c>
    </row>
    <row r="41" spans="2:44" x14ac:dyDescent="0.2">
      <c r="B41" s="12" t="str">
        <f>$B$15</f>
        <v>Endrin</v>
      </c>
      <c r="C41" s="20">
        <f>IF(VLOOKUP(WB_Kalibratie2[[#This Row],[Component]],Concentraties!$B$8:$L$17,4,FALSE)="","",VLOOKUP(WB_Kalibratie2[[#This Row],[Component]],Concentraties!$B$8:$L$17,4,FALSE))</f>
        <v>0.60072000000000003</v>
      </c>
      <c r="D41" s="38"/>
      <c r="E41" s="40"/>
      <c r="F41" s="40"/>
      <c r="G41" s="37"/>
      <c r="H41" s="20" t="str">
        <f t="shared" si="12"/>
        <v/>
      </c>
      <c r="I41" s="108" t="str">
        <f t="shared" si="13"/>
        <v/>
      </c>
      <c r="L41" s="18" t="str">
        <f t="shared" si="18"/>
        <v>Endrin</v>
      </c>
      <c r="M41" s="61" t="str">
        <f>IF(VLOOKUP(L28,Concentraties!$B$8:$L$17,8,FALSE)="","",VLOOKUP(L28,Concentraties!$B$8:$L$17,8,FALSE))</f>
        <v/>
      </c>
      <c r="N41" s="61">
        <f>AVERAGE(VLOOKUP($L41,WB_BLM_1[],6,FALSE),VLOOKUP($L41,WB_BLM_2[],6,FALSE))</f>
        <v>0</v>
      </c>
      <c r="O41" s="19" t="str">
        <f>IF(VLOOKUP($L41,WB_CM_1[],6,FALSE)="","",VLOOKUP($L41,WB_CM_1[],6,FALSE)-$N41)</f>
        <v/>
      </c>
      <c r="P41" s="19" t="str">
        <f>IF(VLOOKUP($L41,WB_CM_2[],6,FALSE)="","",VLOOKUP($L41,WB_CM_2[],6,FALSE)-$N41)</f>
        <v/>
      </c>
      <c r="Q41" s="29">
        <f t="shared" si="14"/>
        <v>0</v>
      </c>
      <c r="R41" s="19" t="str">
        <f t="shared" si="15"/>
        <v/>
      </c>
      <c r="S41" s="19" t="str">
        <f t="shared" si="16"/>
        <v/>
      </c>
      <c r="T41" s="19" t="str">
        <f t="shared" si="17"/>
        <v/>
      </c>
      <c r="U41" s="100" t="str" cm="1">
        <f t="array" ref="U41">_xlfn.IFS(OR(Q41&lt;2,S41&gt;10),"",
AND(ABS(IF(T41="",0,T41)-100)&gt;'Punten verdeling'!$C$21,ABS(IF(T41="",0,T41)-100)&lt;='Punten verdeling'!$D$21),WB_TV_CM_U,
AND(ABS(IF(T41="",0,T41)-100)&gt;'Punten verdeling'!C$22,ABS(IF(T41="",0,T41)-100)&lt;='Punten verdeling'!D$22),WB_TV_CM_G,
AND(ABS(IF(T41="",0,T41)-100)&gt;'Punten verdeling'!C$23,ABS(IF(T41="",0,T41)-100)&lt;='Punten verdeling'!D$23),WB_TV_CM_V,
ABS(IF(T41="",0,T41)-100)&gt;'Punten verdeling'!C$24,WB_TV_CM_O)</f>
        <v/>
      </c>
    </row>
    <row r="42" spans="2:44" x14ac:dyDescent="0.2">
      <c r="B42" s="12" t="str">
        <f>$B$16</f>
        <v>Hexachloorbutadieen</v>
      </c>
      <c r="C42" s="20">
        <f>IF(VLOOKUP(WB_Kalibratie2[[#This Row],[Component]],Concentraties!$B$8:$L$17,4,FALSE)="","",VLOOKUP(WB_Kalibratie2[[#This Row],[Component]],Concentraties!$B$8:$L$17,4,FALSE))</f>
        <v>0.60089999999999999</v>
      </c>
      <c r="D42" s="38"/>
      <c r="E42" s="40"/>
      <c r="F42" s="40"/>
      <c r="G42" s="37"/>
      <c r="H42" s="20" t="str">
        <f t="shared" si="12"/>
        <v/>
      </c>
      <c r="I42" s="108" t="str">
        <f t="shared" si="13"/>
        <v/>
      </c>
      <c r="L42" s="18" t="str">
        <f t="shared" si="18"/>
        <v>Hexachloorbutadieen</v>
      </c>
      <c r="M42" s="61" t="str">
        <f>IF(VLOOKUP(L29,Concentraties!$B$8:$L$17,8,FALSE)="","",VLOOKUP(L29,Concentraties!$B$8:$L$17,8,FALSE))</f>
        <v/>
      </c>
      <c r="N42" s="61">
        <f>AVERAGE(VLOOKUP($L42,WB_BLM_1[],6,FALSE),VLOOKUP($L42,WB_BLM_2[],6,FALSE))</f>
        <v>0</v>
      </c>
      <c r="O42" s="19" t="str">
        <f>IF(VLOOKUP($L42,WB_CM_1[],6,FALSE)="","",VLOOKUP($L42,WB_CM_1[],6,FALSE)-$N42)</f>
        <v/>
      </c>
      <c r="P42" s="19" t="str">
        <f>IF(VLOOKUP($L42,WB_CM_2[],6,FALSE)="","",VLOOKUP($L42,WB_CM_2[],6,FALSE)-$N42)</f>
        <v/>
      </c>
      <c r="Q42" s="29">
        <f t="shared" si="14"/>
        <v>0</v>
      </c>
      <c r="R42" s="19" t="str">
        <f t="shared" si="15"/>
        <v/>
      </c>
      <c r="S42" s="19" t="str">
        <f t="shared" si="16"/>
        <v/>
      </c>
      <c r="T42" s="19" t="str">
        <f t="shared" si="17"/>
        <v/>
      </c>
      <c r="U42" s="100" t="str" cm="1">
        <f t="array" ref="U42">_xlfn.IFS(OR(Q42&lt;2,S42&gt;10),"",
AND(ABS(IF(T42="",0,T42)-100)&gt;'Punten verdeling'!$C$21,ABS(IF(T42="",0,T42)-100)&lt;='Punten verdeling'!$D$21),WB_TV_CM_U,
AND(ABS(IF(T42="",0,T42)-100)&gt;'Punten verdeling'!C$22,ABS(IF(T42="",0,T42)-100)&lt;='Punten verdeling'!D$22),WB_TV_CM_G,
AND(ABS(IF(T42="",0,T42)-100)&gt;'Punten verdeling'!C$23,ABS(IF(T42="",0,T42)-100)&lt;='Punten verdeling'!D$23),WB_TV_CM_V,
ABS(IF(T42="",0,T42)-100)&gt;'Punten verdeling'!C$24,WB_TV_CM_O)</f>
        <v/>
      </c>
    </row>
    <row r="43" spans="2:44" x14ac:dyDescent="0.2">
      <c r="B43" s="12" t="str">
        <f>$B$17</f>
        <v>Naftaleen</v>
      </c>
      <c r="C43" s="20">
        <f>IF(VLOOKUP(WB_Kalibratie2[[#This Row],[Component]],Concentraties!$B$8:$L$17,4,FALSE)="","",VLOOKUP(WB_Kalibratie2[[#This Row],[Component]],Concentraties!$B$8:$L$17,4,FALSE))</f>
        <v>4</v>
      </c>
      <c r="D43" s="38"/>
      <c r="E43" s="40"/>
      <c r="F43" s="40"/>
      <c r="G43" s="37"/>
      <c r="H43" s="20" t="str">
        <f t="shared" si="12"/>
        <v/>
      </c>
      <c r="I43" s="108" t="str">
        <f t="shared" si="13"/>
        <v/>
      </c>
      <c r="L43" s="18" t="str">
        <f t="shared" si="18"/>
        <v>Naftaleen</v>
      </c>
      <c r="M43" s="61" t="str">
        <f>IF(VLOOKUP(L30,Concentraties!$B$8:$L$17,8,FALSE)="","",VLOOKUP(L30,Concentraties!$B$8:$L$17,8,FALSE))</f>
        <v/>
      </c>
      <c r="N43" s="61">
        <f>AVERAGE(VLOOKUP($L43,WB_BLM_1[],6,FALSE),VLOOKUP($L43,WB_BLM_2[],6,FALSE))</f>
        <v>0</v>
      </c>
      <c r="O43" s="19" t="str">
        <f>IF(VLOOKUP($L43,WB_CM_1[],6,FALSE)="","",VLOOKUP($L43,WB_CM_1[],6,FALSE)-$N43)</f>
        <v/>
      </c>
      <c r="P43" s="19" t="str">
        <f>IF(VLOOKUP($L43,WB_CM_2[],6,FALSE)="","",VLOOKUP($L43,WB_CM_2[],6,FALSE)-$N43)</f>
        <v/>
      </c>
      <c r="Q43" s="29">
        <f t="shared" si="14"/>
        <v>0</v>
      </c>
      <c r="R43" s="19" t="str">
        <f t="shared" si="15"/>
        <v/>
      </c>
      <c r="S43" s="19" t="str">
        <f t="shared" si="16"/>
        <v/>
      </c>
      <c r="T43" s="19" t="str">
        <f t="shared" si="17"/>
        <v/>
      </c>
      <c r="U43" s="100" t="str" cm="1">
        <f t="array" ref="U43">_xlfn.IFS(OR(Q43&lt;2,S43&gt;10),"",
AND(ABS(IF(T43="",0,T43)-100)&gt;'Punten verdeling'!$C$21,ABS(IF(T43="",0,T43)-100)&lt;='Punten verdeling'!$D$21),WB_TV_CM_U,
AND(ABS(IF(T43="",0,T43)-100)&gt;'Punten verdeling'!C$22,ABS(IF(T43="",0,T43)-100)&lt;='Punten verdeling'!D$22),WB_TV_CM_G,
AND(ABS(IF(T43="",0,T43)-100)&gt;'Punten verdeling'!C$23,ABS(IF(T43="",0,T43)-100)&lt;='Punten verdeling'!D$23),WB_TV_CM_V,
ABS(IF(T43="",0,T43)-100)&gt;'Punten verdeling'!C$24,WB_TV_CM_O)</f>
        <v/>
      </c>
    </row>
    <row r="44" spans="2:44" x14ac:dyDescent="0.2">
      <c r="B44" s="12" t="str">
        <f>$B$18</f>
        <v>Pentachloorbenzeen</v>
      </c>
      <c r="C44" s="20">
        <f>IF(VLOOKUP(WB_Kalibratie2[[#This Row],[Component]],Concentraties!$B$8:$L$17,4,FALSE)="","",VLOOKUP(WB_Kalibratie2[[#This Row],[Component]],Concentraties!$B$8:$L$17,4,FALSE))</f>
        <v>0.60114000000000001</v>
      </c>
      <c r="D44" s="38"/>
      <c r="E44" s="40"/>
      <c r="F44" s="40"/>
      <c r="G44" s="37"/>
      <c r="H44" s="20" t="str">
        <f t="shared" si="12"/>
        <v/>
      </c>
      <c r="I44" s="108" t="str">
        <f t="shared" si="13"/>
        <v/>
      </c>
      <c r="L44" s="18" t="str">
        <f t="shared" si="18"/>
        <v>Pentachloorbenzeen</v>
      </c>
      <c r="M44" s="61" t="str">
        <f>IF(VLOOKUP(L31,Concentraties!$B$8:$L$17,8,FALSE)="","",VLOOKUP(L31,Concentraties!$B$8:$L$17,8,FALSE))</f>
        <v/>
      </c>
      <c r="N44" s="61">
        <f>AVERAGE(VLOOKUP($L44,WB_BLM_1[],6,FALSE),VLOOKUP($L44,WB_BLM_2[],6,FALSE))</f>
        <v>0</v>
      </c>
      <c r="O44" s="19" t="str">
        <f>IF(VLOOKUP($L44,WB_CM_1[],6,FALSE)="","",VLOOKUP($L44,WB_CM_1[],6,FALSE)-$N44)</f>
        <v/>
      </c>
      <c r="P44" s="19" t="str">
        <f>IF(VLOOKUP($L44,WB_CM_2[],6,FALSE)="","",VLOOKUP($L44,WB_CM_2[],6,FALSE)-$N44)</f>
        <v/>
      </c>
      <c r="Q44" s="29">
        <f t="shared" si="14"/>
        <v>0</v>
      </c>
      <c r="R44" s="19" t="str">
        <f t="shared" si="15"/>
        <v/>
      </c>
      <c r="S44" s="19" t="str">
        <f t="shared" si="16"/>
        <v/>
      </c>
      <c r="T44" s="19" t="str">
        <f t="shared" si="17"/>
        <v/>
      </c>
      <c r="U44" s="100" t="str" cm="1">
        <f t="array" ref="U44">_xlfn.IFS(OR(Q44&lt;2,S44&gt;10),"",
AND(ABS(IF(T44="",0,T44)-100)&gt;'Punten verdeling'!$C$21,ABS(IF(T44="",0,T44)-100)&lt;='Punten verdeling'!$D$21),WB_TV_CM_U,
AND(ABS(IF(T44="",0,T44)-100)&gt;'Punten verdeling'!C$22,ABS(IF(T44="",0,T44)-100)&lt;='Punten verdeling'!D$22),WB_TV_CM_G,
AND(ABS(IF(T44="",0,T44)-100)&gt;'Punten verdeling'!C$23,ABS(IF(T44="",0,T44)-100)&lt;='Punten verdeling'!D$23),WB_TV_CM_V,
ABS(IF(T44="",0,T44)-100)&gt;'Punten verdeling'!C$24,WB_TV_CM_O)</f>
        <v/>
      </c>
    </row>
    <row r="45" spans="2:44" x14ac:dyDescent="0.2">
      <c r="B45" s="12" t="str">
        <f>$B$19</f>
        <v>PCB 28</v>
      </c>
      <c r="C45" s="20">
        <f>IF(VLOOKUP(WB_Kalibratie2[[#This Row],[Component]],Concentraties!$B$8:$L$17,4,FALSE)="","",VLOOKUP(WB_Kalibratie2[[#This Row],[Component]],Concentraties!$B$8:$L$17,4,FALSE))</f>
        <v>0.60228000000000004</v>
      </c>
      <c r="D45" s="38"/>
      <c r="E45" s="40"/>
      <c r="F45" s="40"/>
      <c r="G45" s="37"/>
      <c r="H45" s="20" t="str">
        <f t="shared" si="12"/>
        <v/>
      </c>
      <c r="I45" s="108" t="str">
        <f t="shared" si="13"/>
        <v/>
      </c>
      <c r="L45" s="18" t="str">
        <f t="shared" si="18"/>
        <v>PCB 28</v>
      </c>
      <c r="M45" s="61" t="str">
        <f>IF(VLOOKUP(L32,Concentraties!$B$8:$L$17,8,FALSE)="","",VLOOKUP(L32,Concentraties!$B$8:$L$17,8,FALSE))</f>
        <v/>
      </c>
      <c r="N45" s="61">
        <f>AVERAGE(VLOOKUP($L45,WB_BLM_1[],6,FALSE),VLOOKUP($L45,WB_BLM_2[],6,FALSE))</f>
        <v>0</v>
      </c>
      <c r="O45" s="19" t="str">
        <f>IF(VLOOKUP($L45,WB_CM_1[],6,FALSE)="","",VLOOKUP($L45,WB_CM_1[],6,FALSE)-$N45)</f>
        <v/>
      </c>
      <c r="P45" s="19" t="str">
        <f>IF(VLOOKUP($L45,WB_CM_2[],6,FALSE)="","",VLOOKUP($L45,WB_CM_2[],6,FALSE)-$N45)</f>
        <v/>
      </c>
      <c r="Q45" s="29">
        <f t="shared" si="14"/>
        <v>0</v>
      </c>
      <c r="R45" s="19" t="str">
        <f t="shared" si="15"/>
        <v/>
      </c>
      <c r="S45" s="19" t="str">
        <f t="shared" si="16"/>
        <v/>
      </c>
      <c r="T45" s="19" t="str">
        <f t="shared" si="17"/>
        <v/>
      </c>
      <c r="U45" s="100" t="str" cm="1">
        <f t="array" ref="U45">_xlfn.IFS(OR(Q45&lt;2,S45&gt;10),"",
AND(ABS(IF(T45="",0,T45)-100)&gt;'Punten verdeling'!$C$21,ABS(IF(T45="",0,T45)-100)&lt;='Punten verdeling'!$D$21),WB_TV_CM_U,
AND(ABS(IF(T45="",0,T45)-100)&gt;'Punten verdeling'!C$22,ABS(IF(T45="",0,T45)-100)&lt;='Punten verdeling'!D$22),WB_TV_CM_G,
AND(ABS(IF(T45="",0,T45)-100)&gt;'Punten verdeling'!C$23,ABS(IF(T45="",0,T45)-100)&lt;='Punten verdeling'!D$23),WB_TV_CM_V,
ABS(IF(T45="",0,T45)-100)&gt;'Punten verdeling'!C$24,WB_TV_CM_O)</f>
        <v/>
      </c>
      <c r="AQ45" s="10"/>
      <c r="AR45" s="126"/>
    </row>
    <row r="46" spans="2:44" x14ac:dyDescent="0.2">
      <c r="L46" s="127" t="s">
        <v>199</v>
      </c>
      <c r="T46" s="10" t="s">
        <v>23</v>
      </c>
      <c r="U46" s="112">
        <f>SUM(U36:U45)</f>
        <v>0</v>
      </c>
    </row>
    <row r="47" spans="2:44" ht="20.25" x14ac:dyDescent="0.3">
      <c r="B47" s="8" t="s">
        <v>9</v>
      </c>
      <c r="L47" s="4" t="s">
        <v>15</v>
      </c>
      <c r="AD47" s="83"/>
    </row>
    <row r="48" spans="2:44" ht="39" thickBot="1" x14ac:dyDescent="0.25">
      <c r="B48" s="14" t="s">
        <v>2</v>
      </c>
      <c r="C48" s="15" t="s">
        <v>70</v>
      </c>
      <c r="D48" s="15" t="s">
        <v>3</v>
      </c>
      <c r="E48" s="15" t="s">
        <v>47</v>
      </c>
      <c r="F48" s="15" t="s">
        <v>48</v>
      </c>
      <c r="G48" s="15" t="s">
        <v>67</v>
      </c>
      <c r="H48" s="36" t="s">
        <v>4</v>
      </c>
      <c r="I48" s="106" t="s">
        <v>5</v>
      </c>
      <c r="L48" s="23" t="s">
        <v>2</v>
      </c>
      <c r="M48" s="22" t="s">
        <v>9</v>
      </c>
      <c r="N48" s="22" t="s">
        <v>10</v>
      </c>
      <c r="O48" s="60" t="s">
        <v>11</v>
      </c>
      <c r="P48" s="22" t="s">
        <v>99</v>
      </c>
      <c r="Q48" s="22" t="s">
        <v>100</v>
      </c>
      <c r="R48" s="22" t="s">
        <v>72</v>
      </c>
      <c r="S48" s="22" t="s">
        <v>73</v>
      </c>
      <c r="T48" s="22" t="s">
        <v>74</v>
      </c>
      <c r="U48" s="22" t="s">
        <v>75</v>
      </c>
      <c r="V48" s="22" t="s">
        <v>76</v>
      </c>
      <c r="W48" s="22" t="s">
        <v>77</v>
      </c>
      <c r="X48" s="22" t="s">
        <v>78</v>
      </c>
      <c r="Y48" s="22" t="s">
        <v>79</v>
      </c>
      <c r="Z48" s="22" t="s">
        <v>80</v>
      </c>
      <c r="AA48" s="22" t="s">
        <v>81</v>
      </c>
      <c r="AB48" s="22" t="s">
        <v>17</v>
      </c>
      <c r="AC48" s="22" t="s">
        <v>101</v>
      </c>
      <c r="AD48" s="22" t="s">
        <v>18</v>
      </c>
      <c r="AE48" s="22" t="s">
        <v>32</v>
      </c>
    </row>
    <row r="49" spans="2:31" ht="13.5" thickTop="1" x14ac:dyDescent="0.2">
      <c r="B49" s="13" t="str">
        <f>$B$10</f>
        <v>44-DDD</v>
      </c>
      <c r="C49" s="20">
        <f>IF(VLOOKUP(WB_Kalibratie3[[#This Row],[Component]],Concentraties!$B$8:$L$17,5,FALSE)="","",VLOOKUP(WB_Kalibratie3[[#This Row],[Component]],Concentraties!$B$8:$L$17,5,FALSE))</f>
        <v>1.1916</v>
      </c>
      <c r="D49" s="37"/>
      <c r="E49" s="39"/>
      <c r="F49" s="39"/>
      <c r="G49" s="37"/>
      <c r="H49" s="20" t="str">
        <f t="shared" ref="H49:H58" si="19">IFERROR(IF(C49="-","N.v.t.",IF(G49="","",100*G49/C49)),"")</f>
        <v/>
      </c>
      <c r="I49" s="107" t="str">
        <f t="shared" ref="I49:I58" si="20">IFERROR(MIN(E49,F49)/MAX(E49,F49),"")</f>
        <v/>
      </c>
      <c r="J49" s="69"/>
      <c r="L49" s="18" t="str">
        <f t="shared" ref="L49:L58" si="21">L23</f>
        <v>44-DDD</v>
      </c>
      <c r="M49" s="20" t="str">
        <f>VLOOKUP($L49,WB_Kalibratie3[],8,FALSE)</f>
        <v/>
      </c>
      <c r="N49" s="20" t="str">
        <f>VLOOKUP($L49,WB_Kalibratie4[],8,FALSE)</f>
        <v/>
      </c>
      <c r="O49" s="62" t="str">
        <f>VLOOKUP($L49,WB_Kalibratie5[],8,FALSE)</f>
        <v/>
      </c>
      <c r="P49" s="27" t="str">
        <f>VLOOKUP($L49,WB_CheckSTD3_1[],8,FALSE)</f>
        <v/>
      </c>
      <c r="Q49" s="27" t="str">
        <f>VLOOKUP($L49,WB_CheckSTD3_2[],8,FALSE)</f>
        <v/>
      </c>
      <c r="R49" s="27" t="str">
        <f>VLOOKUP($L49,WB_CM_1[],8,FALSE)</f>
        <v/>
      </c>
      <c r="S49" s="27" t="str">
        <f>VLOOKUP($L49,WB_CM_2[],8,FALSE)</f>
        <v/>
      </c>
      <c r="T49" s="27" t="str">
        <f>VLOOKUP($L49,WB_RG_1[],8,FALSE)</f>
        <v/>
      </c>
      <c r="U49" s="27" t="str">
        <f>VLOOKUP($L49,WB_RG_2[],8,FALSE)</f>
        <v/>
      </c>
      <c r="V49" s="27" t="str">
        <f>VLOOKUP($L49,WB_RG_3[],8,FALSE)</f>
        <v/>
      </c>
      <c r="W49" s="27" t="str">
        <f>VLOOKUP($L49,WB_RG_4[],8,FALSE)</f>
        <v/>
      </c>
      <c r="X49" s="27" t="str">
        <f>VLOOKUP($L49,WB_RG_5[],8,FALSE)</f>
        <v/>
      </c>
      <c r="Y49" s="27" t="str">
        <f>VLOOKUP($L49,WB_RG_6[],8,FALSE)</f>
        <v/>
      </c>
      <c r="Z49" s="27" t="str">
        <f>VLOOKUP($L49,WB_RG_7[],8,FALSE)</f>
        <v/>
      </c>
      <c r="AA49" s="27" t="str">
        <f>VLOOKUP($L49,WB_RG_8[],8,FALSE)</f>
        <v/>
      </c>
      <c r="AB49" s="25">
        <f>COUNT(M49:AA49)</f>
        <v>0</v>
      </c>
      <c r="AC49" s="27" t="str">
        <f>IF(AB49&lt;1,"",AVERAGE(M49:S49))</f>
        <v/>
      </c>
      <c r="AD49" s="19" t="str">
        <f>IF(AB49&lt;2,"",STDEV(M49:AA49)*100/AC49)</f>
        <v/>
      </c>
      <c r="AE49" s="100" t="str" cm="1">
        <f t="array" ref="AE49">_xlfn.IFS(AB49&lt;15,"",
AND(AD49&gt;'Punten verdeling'!$C$25,AD49&lt;='Punten verdeling'!$D$25),WB_RATIO_U,
AND(AD49&gt;'Punten verdeling'!C$26,AD49&lt;='Punten verdeling'!D$26),WB_RATIO_G,
AND(AD49&gt;'Punten verdeling'!C$27,AD49&lt;='Punten verdeling'!D$27),WB_RATIO_V,
AD49&gt;'Punten verdeling'!C$28,WB_RATIO_O)</f>
        <v/>
      </c>
    </row>
    <row r="50" spans="2:31" x14ac:dyDescent="0.2">
      <c r="B50" s="12" t="str">
        <f>$B$11</f>
        <v>Antraceen</v>
      </c>
      <c r="C50" s="20">
        <f>IF(VLOOKUP(WB_Kalibratie3[[#This Row],[Component]],Concentraties!$B$8:$L$17,5,FALSE)="","",VLOOKUP(WB_Kalibratie3[[#This Row],[Component]],Concentraties!$B$8:$L$17,5,FALSE))</f>
        <v>7.9991999999999992</v>
      </c>
      <c r="D50" s="38"/>
      <c r="E50" s="40"/>
      <c r="F50" s="40"/>
      <c r="G50" s="37"/>
      <c r="H50" s="20" t="str">
        <f t="shared" si="19"/>
        <v/>
      </c>
      <c r="I50" s="108" t="str">
        <f t="shared" si="20"/>
        <v/>
      </c>
      <c r="L50" s="17" t="str">
        <f t="shared" si="21"/>
        <v>Antraceen</v>
      </c>
      <c r="M50" s="20" t="str">
        <f>VLOOKUP($L50,WB_Kalibratie3[],8,FALSE)</f>
        <v/>
      </c>
      <c r="N50" s="34" t="str">
        <f>VLOOKUP($L50,WB_Kalibratie4[],8,FALSE)</f>
        <v/>
      </c>
      <c r="O50" s="62" t="str">
        <f>VLOOKUP($L50,WB_Kalibratie5[],8,FALSE)</f>
        <v/>
      </c>
      <c r="P50" s="27" t="str">
        <f>VLOOKUP($L50,WB_CheckSTD3_1[],8,FALSE)</f>
        <v/>
      </c>
      <c r="Q50" s="27" t="str">
        <f>VLOOKUP($L50,WB_CheckSTD3_2[],8,FALSE)</f>
        <v/>
      </c>
      <c r="R50" s="27" t="str">
        <f>VLOOKUP($L50,WB_CM_1[],8,FALSE)</f>
        <v/>
      </c>
      <c r="S50" s="27" t="str">
        <f>VLOOKUP($L50,WB_CM_2[],8,FALSE)</f>
        <v/>
      </c>
      <c r="T50" s="27" t="str">
        <f>VLOOKUP($L50,WB_RG_1[],8,FALSE)</f>
        <v/>
      </c>
      <c r="U50" s="27" t="str">
        <f>VLOOKUP($L50,WB_RG_2[],8,FALSE)</f>
        <v/>
      </c>
      <c r="V50" s="27" t="str">
        <f>VLOOKUP($L50,WB_RG_3[],8,FALSE)</f>
        <v/>
      </c>
      <c r="W50" s="27" t="str">
        <f>VLOOKUP($L50,WB_RG_4[],8,FALSE)</f>
        <v/>
      </c>
      <c r="X50" s="27" t="str">
        <f>VLOOKUP($L50,WB_RG_5[],8,FALSE)</f>
        <v/>
      </c>
      <c r="Y50" s="27" t="str">
        <f>VLOOKUP($L50,WB_RG_6[],8,FALSE)</f>
        <v/>
      </c>
      <c r="Z50" s="27" t="str">
        <f>VLOOKUP($L50,WB_RG_7[],8,FALSE)</f>
        <v/>
      </c>
      <c r="AA50" s="27" t="str">
        <f>VLOOKUP($L50,WB_RG_8[],8,FALSE)</f>
        <v/>
      </c>
      <c r="AB50" s="25">
        <f t="shared" ref="AB50:AB58" si="22">COUNT(M50:AA50)</f>
        <v>0</v>
      </c>
      <c r="AC50" s="27" t="str">
        <f t="shared" ref="AC50:AC58" si="23">IF(AB50&lt;1,"",AVERAGE(M50:S50))</f>
        <v/>
      </c>
      <c r="AD50" s="19" t="str">
        <f t="shared" ref="AD50:AD58" si="24">IF(AB50&lt;2,"",STDEV(M50:AA50)*100/AC50)</f>
        <v/>
      </c>
      <c r="AE50" s="100" t="str" cm="1">
        <f t="array" ref="AE50">_xlfn.IFS(AB50&lt;15,"",
AND(AD50&gt;'Punten verdeling'!$C$25,AD50&lt;='Punten verdeling'!$D$25),WB_RATIO_U,
AND(AD50&gt;'Punten verdeling'!C$26,AD50&lt;='Punten verdeling'!D$26),WB_RATIO_G,
AND(AD50&gt;'Punten verdeling'!C$27,AD50&lt;='Punten verdeling'!D$27),WB_RATIO_V,
AD50&gt;'Punten verdeling'!C$28,WB_RATIO_O)</f>
        <v/>
      </c>
    </row>
    <row r="51" spans="2:31" x14ac:dyDescent="0.2">
      <c r="B51" s="12" t="str">
        <f>$B$12</f>
        <v>Benzo(a)pyreen</v>
      </c>
      <c r="C51" s="20">
        <f>IF(VLOOKUP(WB_Kalibratie3[[#This Row],[Component]],Concentraties!$B$8:$L$17,5,FALSE)="","",VLOOKUP(WB_Kalibratie3[[#This Row],[Component]],Concentraties!$B$8:$L$17,5,FALSE))</f>
        <v>8</v>
      </c>
      <c r="D51" s="38"/>
      <c r="E51" s="40"/>
      <c r="F51" s="40"/>
      <c r="G51" s="37"/>
      <c r="H51" s="20" t="str">
        <f t="shared" si="19"/>
        <v/>
      </c>
      <c r="I51" s="108" t="str">
        <f t="shared" si="20"/>
        <v/>
      </c>
      <c r="L51" s="17" t="str">
        <f t="shared" si="21"/>
        <v>Benzo(a)pyreen</v>
      </c>
      <c r="M51" s="20" t="str">
        <f>VLOOKUP($L51,WB_Kalibratie3[],8,FALSE)</f>
        <v/>
      </c>
      <c r="N51" s="34" t="str">
        <f>VLOOKUP($L51,WB_Kalibratie4[],8,FALSE)</f>
        <v/>
      </c>
      <c r="O51" s="62" t="str">
        <f>VLOOKUP($L51,WB_Kalibratie5[],8,FALSE)</f>
        <v/>
      </c>
      <c r="P51" s="27" t="str">
        <f>VLOOKUP($L51,WB_CheckSTD3_1[],8,FALSE)</f>
        <v/>
      </c>
      <c r="Q51" s="27" t="str">
        <f>VLOOKUP($L51,WB_CheckSTD3_2[],8,FALSE)</f>
        <v/>
      </c>
      <c r="R51" s="27" t="str">
        <f>VLOOKUP($L51,WB_CM_1[],8,FALSE)</f>
        <v/>
      </c>
      <c r="S51" s="27" t="str">
        <f>VLOOKUP($L51,WB_CM_2[],8,FALSE)</f>
        <v/>
      </c>
      <c r="T51" s="27" t="str">
        <f>VLOOKUP($L51,WB_RG_1[],8,FALSE)</f>
        <v/>
      </c>
      <c r="U51" s="27" t="str">
        <f>VLOOKUP($L51,WB_RG_2[],8,FALSE)</f>
        <v/>
      </c>
      <c r="V51" s="27" t="str">
        <f>VLOOKUP($L51,WB_RG_3[],8,FALSE)</f>
        <v/>
      </c>
      <c r="W51" s="27" t="str">
        <f>VLOOKUP($L51,WB_RG_4[],8,FALSE)</f>
        <v/>
      </c>
      <c r="X51" s="27" t="str">
        <f>VLOOKUP($L51,WB_RG_5[],8,FALSE)</f>
        <v/>
      </c>
      <c r="Y51" s="27" t="str">
        <f>VLOOKUP($L51,WB_RG_6[],8,FALSE)</f>
        <v/>
      </c>
      <c r="Z51" s="27" t="str">
        <f>VLOOKUP($L51,WB_RG_7[],8,FALSE)</f>
        <v/>
      </c>
      <c r="AA51" s="27" t="str">
        <f>VLOOKUP($L51,WB_RG_8[],8,FALSE)</f>
        <v/>
      </c>
      <c r="AB51" s="25">
        <f t="shared" si="22"/>
        <v>0</v>
      </c>
      <c r="AC51" s="27" t="str">
        <f t="shared" si="23"/>
        <v/>
      </c>
      <c r="AD51" s="19" t="str">
        <f t="shared" si="24"/>
        <v/>
      </c>
      <c r="AE51" s="100" t="str" cm="1">
        <f t="array" ref="AE51">_xlfn.IFS(AB51&lt;15,"",
AND(AD51&gt;'Punten verdeling'!$C$25,AD51&lt;='Punten verdeling'!$D$25),WB_RATIO_U,
AND(AD51&gt;'Punten verdeling'!C$26,AD51&lt;='Punten verdeling'!D$26),WB_RATIO_G,
AND(AD51&gt;'Punten verdeling'!C$27,AD51&lt;='Punten verdeling'!D$27),WB_RATIO_V,
AD51&gt;'Punten verdeling'!C$28,WB_RATIO_O)</f>
        <v/>
      </c>
    </row>
    <row r="52" spans="2:31" x14ac:dyDescent="0.2">
      <c r="B52" s="12" t="str">
        <f>$B$13</f>
        <v>Benzo(ghi)peryleen</v>
      </c>
      <c r="C52" s="20">
        <f>IF(VLOOKUP(WB_Kalibratie3[[#This Row],[Component]],Concentraties!$B$8:$L$17,5,FALSE)="","",VLOOKUP(WB_Kalibratie3[[#This Row],[Component]],Concentraties!$B$8:$L$17,5,FALSE))</f>
        <v>8</v>
      </c>
      <c r="D52" s="38"/>
      <c r="E52" s="40"/>
      <c r="F52" s="40"/>
      <c r="G52" s="37"/>
      <c r="H52" s="20" t="str">
        <f t="shared" si="19"/>
        <v/>
      </c>
      <c r="I52" s="108" t="str">
        <f t="shared" si="20"/>
        <v/>
      </c>
      <c r="L52" s="17" t="str">
        <f t="shared" si="21"/>
        <v>Benzo(ghi)peryleen</v>
      </c>
      <c r="M52" s="20" t="str">
        <f>VLOOKUP($L52,WB_Kalibratie3[],8,FALSE)</f>
        <v/>
      </c>
      <c r="N52" s="34" t="str">
        <f>VLOOKUP($L52,WB_Kalibratie4[],8,FALSE)</f>
        <v/>
      </c>
      <c r="O52" s="62" t="str">
        <f>VLOOKUP($L52,WB_Kalibratie5[],8,FALSE)</f>
        <v/>
      </c>
      <c r="P52" s="27" t="str">
        <f>VLOOKUP($L52,WB_CheckSTD3_1[],8,FALSE)</f>
        <v/>
      </c>
      <c r="Q52" s="27" t="str">
        <f>VLOOKUP($L52,WB_CheckSTD3_2[],8,FALSE)</f>
        <v/>
      </c>
      <c r="R52" s="27" t="str">
        <f>VLOOKUP($L52,WB_CM_1[],8,FALSE)</f>
        <v/>
      </c>
      <c r="S52" s="27" t="str">
        <f>VLOOKUP($L52,WB_CM_2[],8,FALSE)</f>
        <v/>
      </c>
      <c r="T52" s="27" t="str">
        <f>VLOOKUP($L52,WB_RG_1[],8,FALSE)</f>
        <v/>
      </c>
      <c r="U52" s="27" t="str">
        <f>VLOOKUP($L52,WB_RG_2[],8,FALSE)</f>
        <v/>
      </c>
      <c r="V52" s="27" t="str">
        <f>VLOOKUP($L52,WB_RG_3[],8,FALSE)</f>
        <v/>
      </c>
      <c r="W52" s="27" t="str">
        <f>VLOOKUP($L52,WB_RG_4[],8,FALSE)</f>
        <v/>
      </c>
      <c r="X52" s="27" t="str">
        <f>VLOOKUP($L52,WB_RG_5[],8,FALSE)</f>
        <v/>
      </c>
      <c r="Y52" s="27" t="str">
        <f>VLOOKUP($L52,WB_RG_6[],8,FALSE)</f>
        <v/>
      </c>
      <c r="Z52" s="27" t="str">
        <f>VLOOKUP($L52,WB_RG_7[],8,FALSE)</f>
        <v/>
      </c>
      <c r="AA52" s="27" t="str">
        <f>VLOOKUP($L52,WB_RG_8[],8,FALSE)</f>
        <v/>
      </c>
      <c r="AB52" s="25">
        <f t="shared" si="22"/>
        <v>0</v>
      </c>
      <c r="AC52" s="27" t="str">
        <f t="shared" si="23"/>
        <v/>
      </c>
      <c r="AD52" s="19" t="str">
        <f t="shared" si="24"/>
        <v/>
      </c>
      <c r="AE52" s="100" t="str" cm="1">
        <f t="array" ref="AE52">_xlfn.IFS(AB52&lt;15,"",
AND(AD52&gt;'Punten verdeling'!$C$25,AD52&lt;='Punten verdeling'!$D$25),WB_RATIO_U,
AND(AD52&gt;'Punten verdeling'!C$26,AD52&lt;='Punten verdeling'!D$26),WB_RATIO_G,
AND(AD52&gt;'Punten verdeling'!C$27,AD52&lt;='Punten verdeling'!D$27),WB_RATIO_V,
AD52&gt;'Punten verdeling'!C$28,WB_RATIO_O)</f>
        <v/>
      </c>
    </row>
    <row r="53" spans="2:31" x14ac:dyDescent="0.2">
      <c r="B53" s="12" t="str">
        <f>$B$14</f>
        <v>Cis-chloordaan</v>
      </c>
      <c r="C53" s="20">
        <f>IF(VLOOKUP(WB_Kalibratie3[[#This Row],[Component]],Concentraties!$B$8:$L$17,5,FALSE)="","",VLOOKUP(WB_Kalibratie3[[#This Row],[Component]],Concentraties!$B$8:$L$17,5,FALSE))</f>
        <v>1.2146399999999999</v>
      </c>
      <c r="D53" s="38"/>
      <c r="E53" s="40"/>
      <c r="F53" s="40"/>
      <c r="G53" s="37"/>
      <c r="H53" s="20" t="str">
        <f t="shared" si="19"/>
        <v/>
      </c>
      <c r="I53" s="108" t="str">
        <f t="shared" si="20"/>
        <v/>
      </c>
      <c r="L53" s="17" t="str">
        <f t="shared" si="21"/>
        <v>Cis-chloordaan</v>
      </c>
      <c r="M53" s="20" t="str">
        <f>VLOOKUP($L53,WB_Kalibratie3[],8,FALSE)</f>
        <v/>
      </c>
      <c r="N53" s="34" t="str">
        <f>VLOOKUP($L53,WB_Kalibratie4[],8,FALSE)</f>
        <v/>
      </c>
      <c r="O53" s="62" t="str">
        <f>VLOOKUP($L53,WB_Kalibratie5[],8,FALSE)</f>
        <v/>
      </c>
      <c r="P53" s="27" t="str">
        <f>VLOOKUP($L53,WB_CheckSTD3_1[],8,FALSE)</f>
        <v/>
      </c>
      <c r="Q53" s="27" t="str">
        <f>VLOOKUP($L53,WB_CheckSTD3_2[],8,FALSE)</f>
        <v/>
      </c>
      <c r="R53" s="27" t="str">
        <f>VLOOKUP($L53,WB_CM_1[],8,FALSE)</f>
        <v/>
      </c>
      <c r="S53" s="27" t="str">
        <f>VLOOKUP($L53,WB_CM_2[],8,FALSE)</f>
        <v/>
      </c>
      <c r="T53" s="27" t="str">
        <f>VLOOKUP($L53,WB_RG_1[],8,FALSE)</f>
        <v/>
      </c>
      <c r="U53" s="27" t="str">
        <f>VLOOKUP($L53,WB_RG_2[],8,FALSE)</f>
        <v/>
      </c>
      <c r="V53" s="27" t="str">
        <f>VLOOKUP($L53,WB_RG_3[],8,FALSE)</f>
        <v/>
      </c>
      <c r="W53" s="27" t="str">
        <f>VLOOKUP($L53,WB_RG_4[],8,FALSE)</f>
        <v/>
      </c>
      <c r="X53" s="27" t="str">
        <f>VLOOKUP($L53,WB_RG_5[],8,FALSE)</f>
        <v/>
      </c>
      <c r="Y53" s="27" t="str">
        <f>VLOOKUP($L53,WB_RG_6[],8,FALSE)</f>
        <v/>
      </c>
      <c r="Z53" s="27" t="str">
        <f>VLOOKUP($L53,WB_RG_7[],8,FALSE)</f>
        <v/>
      </c>
      <c r="AA53" s="27" t="str">
        <f>VLOOKUP($L53,WB_RG_8[],8,FALSE)</f>
        <v/>
      </c>
      <c r="AB53" s="25">
        <f t="shared" si="22"/>
        <v>0</v>
      </c>
      <c r="AC53" s="27" t="str">
        <f t="shared" si="23"/>
        <v/>
      </c>
      <c r="AD53" s="19" t="str">
        <f t="shared" si="24"/>
        <v/>
      </c>
      <c r="AE53" s="100" t="str" cm="1">
        <f t="array" ref="AE53">_xlfn.IFS(AB53&lt;15,"",
AND(AD53&gt;'Punten verdeling'!$C$25,AD53&lt;='Punten verdeling'!$D$25),WB_RATIO_U,
AND(AD53&gt;'Punten verdeling'!C$26,AD53&lt;='Punten verdeling'!D$26),WB_RATIO_G,
AND(AD53&gt;'Punten verdeling'!C$27,AD53&lt;='Punten verdeling'!D$27),WB_RATIO_V,
AD53&gt;'Punten verdeling'!C$28,WB_RATIO_O)</f>
        <v/>
      </c>
    </row>
    <row r="54" spans="2:31" x14ac:dyDescent="0.2">
      <c r="B54" s="12" t="str">
        <f>$B$15</f>
        <v>Endrin</v>
      </c>
      <c r="C54" s="20">
        <f>IF(VLOOKUP(WB_Kalibratie3[[#This Row],[Component]],Concentraties!$B$8:$L$17,5,FALSE)="","",VLOOKUP(WB_Kalibratie3[[#This Row],[Component]],Concentraties!$B$8:$L$17,5,FALSE))</f>
        <v>1.2014400000000001</v>
      </c>
      <c r="D54" s="38"/>
      <c r="E54" s="40"/>
      <c r="F54" s="40"/>
      <c r="G54" s="37"/>
      <c r="H54" s="20" t="str">
        <f t="shared" si="19"/>
        <v/>
      </c>
      <c r="I54" s="108" t="str">
        <f t="shared" si="20"/>
        <v/>
      </c>
      <c r="L54" s="17" t="str">
        <f t="shared" si="21"/>
        <v>Endrin</v>
      </c>
      <c r="M54" s="20" t="str">
        <f>VLOOKUP($L54,WB_Kalibratie3[],8,FALSE)</f>
        <v/>
      </c>
      <c r="N54" s="34" t="str">
        <f>VLOOKUP($L54,WB_Kalibratie4[],8,FALSE)</f>
        <v/>
      </c>
      <c r="O54" s="62" t="str">
        <f>VLOOKUP($L54,WB_Kalibratie5[],8,FALSE)</f>
        <v/>
      </c>
      <c r="P54" s="27" t="str">
        <f>VLOOKUP($L54,WB_CheckSTD3_1[],8,FALSE)</f>
        <v/>
      </c>
      <c r="Q54" s="27" t="str">
        <f>VLOOKUP($L54,WB_CheckSTD3_2[],8,FALSE)</f>
        <v/>
      </c>
      <c r="R54" s="27" t="str">
        <f>VLOOKUP($L54,WB_CM_1[],8,FALSE)</f>
        <v/>
      </c>
      <c r="S54" s="27" t="str">
        <f>VLOOKUP($L54,WB_CM_2[],8,FALSE)</f>
        <v/>
      </c>
      <c r="T54" s="27" t="str">
        <f>VLOOKUP($L54,WB_RG_1[],8,FALSE)</f>
        <v/>
      </c>
      <c r="U54" s="27" t="str">
        <f>VLOOKUP($L54,WB_RG_2[],8,FALSE)</f>
        <v/>
      </c>
      <c r="V54" s="27" t="str">
        <f>VLOOKUP($L54,WB_RG_3[],8,FALSE)</f>
        <v/>
      </c>
      <c r="W54" s="27" t="str">
        <f>VLOOKUP($L54,WB_RG_4[],8,FALSE)</f>
        <v/>
      </c>
      <c r="X54" s="27" t="str">
        <f>VLOOKUP($L54,WB_RG_5[],8,FALSE)</f>
        <v/>
      </c>
      <c r="Y54" s="27" t="str">
        <f>VLOOKUP($L54,WB_RG_6[],8,FALSE)</f>
        <v/>
      </c>
      <c r="Z54" s="27" t="str">
        <f>VLOOKUP($L54,WB_RG_7[],8,FALSE)</f>
        <v/>
      </c>
      <c r="AA54" s="27" t="str">
        <f>VLOOKUP($L54,WB_RG_8[],8,FALSE)</f>
        <v/>
      </c>
      <c r="AB54" s="25">
        <f t="shared" si="22"/>
        <v>0</v>
      </c>
      <c r="AC54" s="27" t="str">
        <f t="shared" si="23"/>
        <v/>
      </c>
      <c r="AD54" s="19" t="str">
        <f t="shared" si="24"/>
        <v/>
      </c>
      <c r="AE54" s="100" t="str" cm="1">
        <f t="array" ref="AE54">_xlfn.IFS(AB54&lt;15,"",
AND(AD54&gt;'Punten verdeling'!$C$25,AD54&lt;='Punten verdeling'!$D$25),WB_RATIO_U,
AND(AD54&gt;'Punten verdeling'!C$26,AD54&lt;='Punten verdeling'!D$26),WB_RATIO_G,
AND(AD54&gt;'Punten verdeling'!C$27,AD54&lt;='Punten verdeling'!D$27),WB_RATIO_V,
AD54&gt;'Punten verdeling'!C$28,WB_RATIO_O)</f>
        <v/>
      </c>
    </row>
    <row r="55" spans="2:31" x14ac:dyDescent="0.2">
      <c r="B55" s="12" t="str">
        <f>$B$16</f>
        <v>Hexachloorbutadieen</v>
      </c>
      <c r="C55" s="20">
        <f>IF(VLOOKUP(WB_Kalibratie3[[#This Row],[Component]],Concentraties!$B$8:$L$17,5,FALSE)="","",VLOOKUP(WB_Kalibratie3[[#This Row],[Component]],Concentraties!$B$8:$L$17,5,FALSE))</f>
        <v>1.2018</v>
      </c>
      <c r="D55" s="38"/>
      <c r="E55" s="40"/>
      <c r="F55" s="40"/>
      <c r="G55" s="37"/>
      <c r="H55" s="20" t="str">
        <f t="shared" si="19"/>
        <v/>
      </c>
      <c r="I55" s="108" t="str">
        <f t="shared" si="20"/>
        <v/>
      </c>
      <c r="L55" s="17" t="str">
        <f t="shared" si="21"/>
        <v>Hexachloorbutadieen</v>
      </c>
      <c r="M55" s="20" t="str">
        <f>VLOOKUP($L55,WB_Kalibratie3[],8,FALSE)</f>
        <v/>
      </c>
      <c r="N55" s="34" t="str">
        <f>VLOOKUP($L55,WB_Kalibratie4[],8,FALSE)</f>
        <v/>
      </c>
      <c r="O55" s="62" t="str">
        <f>VLOOKUP($L55,WB_Kalibratie5[],8,FALSE)</f>
        <v/>
      </c>
      <c r="P55" s="27" t="str">
        <f>VLOOKUP($L55,WB_CheckSTD3_1[],8,FALSE)</f>
        <v/>
      </c>
      <c r="Q55" s="27" t="str">
        <f>VLOOKUP($L55,WB_CheckSTD3_2[],8,FALSE)</f>
        <v/>
      </c>
      <c r="R55" s="27" t="str">
        <f>VLOOKUP($L55,WB_CM_1[],8,FALSE)</f>
        <v/>
      </c>
      <c r="S55" s="27" t="str">
        <f>VLOOKUP($L55,WB_CM_2[],8,FALSE)</f>
        <v/>
      </c>
      <c r="T55" s="27" t="str">
        <f>VLOOKUP($L55,WB_RG_1[],8,FALSE)</f>
        <v/>
      </c>
      <c r="U55" s="27" t="str">
        <f>VLOOKUP($L55,WB_RG_2[],8,FALSE)</f>
        <v/>
      </c>
      <c r="V55" s="27" t="str">
        <f>VLOOKUP($L55,WB_RG_3[],8,FALSE)</f>
        <v/>
      </c>
      <c r="W55" s="27" t="str">
        <f>VLOOKUP($L55,WB_RG_4[],8,FALSE)</f>
        <v/>
      </c>
      <c r="X55" s="27" t="str">
        <f>VLOOKUP($L55,WB_RG_5[],8,FALSE)</f>
        <v/>
      </c>
      <c r="Y55" s="27" t="str">
        <f>VLOOKUP($L55,WB_RG_6[],8,FALSE)</f>
        <v/>
      </c>
      <c r="Z55" s="27" t="str">
        <f>VLOOKUP($L55,WB_RG_7[],8,FALSE)</f>
        <v/>
      </c>
      <c r="AA55" s="27" t="str">
        <f>VLOOKUP($L55,WB_RG_8[],8,FALSE)</f>
        <v/>
      </c>
      <c r="AB55" s="25">
        <f t="shared" si="22"/>
        <v>0</v>
      </c>
      <c r="AC55" s="27" t="str">
        <f t="shared" si="23"/>
        <v/>
      </c>
      <c r="AD55" s="19" t="str">
        <f t="shared" si="24"/>
        <v/>
      </c>
      <c r="AE55" s="100" t="str" cm="1">
        <f t="array" ref="AE55">_xlfn.IFS(AB55&lt;15,"",
AND(AD55&gt;'Punten verdeling'!$C$25,AD55&lt;='Punten verdeling'!$D$25),WB_RATIO_U,
AND(AD55&gt;'Punten verdeling'!C$26,AD55&lt;='Punten verdeling'!D$26),WB_RATIO_G,
AND(AD55&gt;'Punten verdeling'!C$27,AD55&lt;='Punten verdeling'!D$27),WB_RATIO_V,
AD55&gt;'Punten verdeling'!C$28,WB_RATIO_O)</f>
        <v/>
      </c>
    </row>
    <row r="56" spans="2:31" x14ac:dyDescent="0.2">
      <c r="B56" s="12" t="str">
        <f>$B$17</f>
        <v>Naftaleen</v>
      </c>
      <c r="C56" s="20">
        <f>IF(VLOOKUP(WB_Kalibratie3[[#This Row],[Component]],Concentraties!$B$8:$L$17,5,FALSE)="","",VLOOKUP(WB_Kalibratie3[[#This Row],[Component]],Concentraties!$B$8:$L$17,5,FALSE))</f>
        <v>8</v>
      </c>
      <c r="D56" s="38"/>
      <c r="E56" s="40"/>
      <c r="F56" s="40"/>
      <c r="G56" s="37"/>
      <c r="H56" s="20" t="str">
        <f t="shared" si="19"/>
        <v/>
      </c>
      <c r="I56" s="108" t="str">
        <f t="shared" si="20"/>
        <v/>
      </c>
      <c r="L56" s="17" t="str">
        <f t="shared" si="21"/>
        <v>Naftaleen</v>
      </c>
      <c r="M56" s="20" t="str">
        <f>VLOOKUP($L56,WB_Kalibratie3[],8,FALSE)</f>
        <v/>
      </c>
      <c r="N56" s="34" t="str">
        <f>VLOOKUP($L56,WB_Kalibratie4[],8,FALSE)</f>
        <v/>
      </c>
      <c r="O56" s="62" t="str">
        <f>VLOOKUP($L56,WB_Kalibratie5[],8,FALSE)</f>
        <v/>
      </c>
      <c r="P56" s="27" t="str">
        <f>VLOOKUP($L56,WB_CheckSTD3_1[],8,FALSE)</f>
        <v/>
      </c>
      <c r="Q56" s="27" t="str">
        <f>VLOOKUP($L56,WB_CheckSTD3_2[],8,FALSE)</f>
        <v/>
      </c>
      <c r="R56" s="27" t="str">
        <f>VLOOKUP($L56,WB_CM_1[],8,FALSE)</f>
        <v/>
      </c>
      <c r="S56" s="27" t="str">
        <f>VLOOKUP($L56,WB_CM_2[],8,FALSE)</f>
        <v/>
      </c>
      <c r="T56" s="27" t="str">
        <f>VLOOKUP($L56,WB_RG_1[],8,FALSE)</f>
        <v/>
      </c>
      <c r="U56" s="27" t="str">
        <f>VLOOKUP($L56,WB_RG_2[],8,FALSE)</f>
        <v/>
      </c>
      <c r="V56" s="27" t="str">
        <f>VLOOKUP($L56,WB_RG_3[],8,FALSE)</f>
        <v/>
      </c>
      <c r="W56" s="27" t="str">
        <f>VLOOKUP($L56,WB_RG_4[],8,FALSE)</f>
        <v/>
      </c>
      <c r="X56" s="27" t="str">
        <f>VLOOKUP($L56,WB_RG_5[],8,FALSE)</f>
        <v/>
      </c>
      <c r="Y56" s="27" t="str">
        <f>VLOOKUP($L56,WB_RG_6[],8,FALSE)</f>
        <v/>
      </c>
      <c r="Z56" s="27" t="str">
        <f>VLOOKUP($L56,WB_RG_7[],8,FALSE)</f>
        <v/>
      </c>
      <c r="AA56" s="27" t="str">
        <f>VLOOKUP($L56,WB_RG_8[],8,FALSE)</f>
        <v/>
      </c>
      <c r="AB56" s="25">
        <f t="shared" si="22"/>
        <v>0</v>
      </c>
      <c r="AC56" s="27" t="str">
        <f t="shared" si="23"/>
        <v/>
      </c>
      <c r="AD56" s="19" t="str">
        <f t="shared" si="24"/>
        <v/>
      </c>
      <c r="AE56" s="100" t="str" cm="1">
        <f t="array" ref="AE56">_xlfn.IFS(AB56&lt;15,"",
AND(AD56&gt;'Punten verdeling'!$C$25,AD56&lt;='Punten verdeling'!$D$25),WB_RATIO_U,
AND(AD56&gt;'Punten verdeling'!C$26,AD56&lt;='Punten verdeling'!D$26),WB_RATIO_G,
AND(AD56&gt;'Punten verdeling'!C$27,AD56&lt;='Punten verdeling'!D$27),WB_RATIO_V,
AD56&gt;'Punten verdeling'!C$28,WB_RATIO_O)</f>
        <v/>
      </c>
    </row>
    <row r="57" spans="2:31" x14ac:dyDescent="0.2">
      <c r="B57" s="12" t="str">
        <f>$B$18</f>
        <v>Pentachloorbenzeen</v>
      </c>
      <c r="C57" s="20">
        <f>IF(VLOOKUP(WB_Kalibratie3[[#This Row],[Component]],Concentraties!$B$8:$L$17,5,FALSE)="","",VLOOKUP(WB_Kalibratie3[[#This Row],[Component]],Concentraties!$B$8:$L$17,5,FALSE))</f>
        <v>1.20228</v>
      </c>
      <c r="D57" s="38"/>
      <c r="E57" s="40"/>
      <c r="F57" s="40"/>
      <c r="G57" s="37"/>
      <c r="H57" s="20" t="str">
        <f t="shared" si="19"/>
        <v/>
      </c>
      <c r="I57" s="108" t="str">
        <f t="shared" si="20"/>
        <v/>
      </c>
      <c r="L57" s="17" t="str">
        <f t="shared" si="21"/>
        <v>Pentachloorbenzeen</v>
      </c>
      <c r="M57" s="20" t="str">
        <f>VLOOKUP($L57,WB_Kalibratie3[],8,FALSE)</f>
        <v/>
      </c>
      <c r="N57" s="34" t="str">
        <f>VLOOKUP($L57,WB_Kalibratie4[],8,FALSE)</f>
        <v/>
      </c>
      <c r="O57" s="62" t="str">
        <f>VLOOKUP($L57,WB_Kalibratie5[],8,FALSE)</f>
        <v/>
      </c>
      <c r="P57" s="27" t="str">
        <f>VLOOKUP($L57,WB_CheckSTD3_1[],8,FALSE)</f>
        <v/>
      </c>
      <c r="Q57" s="27" t="str">
        <f>VLOOKUP($L57,WB_CheckSTD3_2[],8,FALSE)</f>
        <v/>
      </c>
      <c r="R57" s="27" t="str">
        <f>VLOOKUP($L57,WB_CM_1[],8,FALSE)</f>
        <v/>
      </c>
      <c r="S57" s="27" t="str">
        <f>VLOOKUP($L57,WB_CM_2[],8,FALSE)</f>
        <v/>
      </c>
      <c r="T57" s="27" t="str">
        <f>VLOOKUP($L57,WB_RG_1[],8,FALSE)</f>
        <v/>
      </c>
      <c r="U57" s="27" t="str">
        <f>VLOOKUP($L57,WB_RG_2[],8,FALSE)</f>
        <v/>
      </c>
      <c r="V57" s="27" t="str">
        <f>VLOOKUP($L57,WB_RG_3[],8,FALSE)</f>
        <v/>
      </c>
      <c r="W57" s="27" t="str">
        <f>VLOOKUP($L57,WB_RG_4[],8,FALSE)</f>
        <v/>
      </c>
      <c r="X57" s="27" t="str">
        <f>VLOOKUP($L57,WB_RG_5[],8,FALSE)</f>
        <v/>
      </c>
      <c r="Y57" s="27" t="str">
        <f>VLOOKUP($L57,WB_RG_6[],8,FALSE)</f>
        <v/>
      </c>
      <c r="Z57" s="27" t="str">
        <f>VLOOKUP($L57,WB_RG_7[],8,FALSE)</f>
        <v/>
      </c>
      <c r="AA57" s="27" t="str">
        <f>VLOOKUP($L57,WB_RG_8[],8,FALSE)</f>
        <v/>
      </c>
      <c r="AB57" s="25">
        <f t="shared" si="22"/>
        <v>0</v>
      </c>
      <c r="AC57" s="27" t="str">
        <f t="shared" si="23"/>
        <v/>
      </c>
      <c r="AD57" s="19" t="str">
        <f t="shared" si="24"/>
        <v/>
      </c>
      <c r="AE57" s="100" t="str" cm="1">
        <f t="array" ref="AE57">_xlfn.IFS(AB57&lt;15,"",
AND(AD57&gt;'Punten verdeling'!$C$25,AD57&lt;='Punten verdeling'!$D$25),WB_RATIO_U,
AND(AD57&gt;'Punten verdeling'!C$26,AD57&lt;='Punten verdeling'!D$26),WB_RATIO_G,
AND(AD57&gt;'Punten verdeling'!C$27,AD57&lt;='Punten verdeling'!D$27),WB_RATIO_V,
AD57&gt;'Punten verdeling'!C$28,WB_RATIO_O)</f>
        <v/>
      </c>
    </row>
    <row r="58" spans="2:31" x14ac:dyDescent="0.2">
      <c r="B58" s="12" t="str">
        <f>$B$19</f>
        <v>PCB 28</v>
      </c>
      <c r="C58" s="20">
        <f>IF(VLOOKUP(WB_Kalibratie3[[#This Row],[Component]],Concentraties!$B$8:$L$17,5,FALSE)="","",VLOOKUP(WB_Kalibratie3[[#This Row],[Component]],Concentraties!$B$8:$L$17,5,FALSE))</f>
        <v>1.2045600000000001</v>
      </c>
      <c r="D58" s="38"/>
      <c r="E58" s="40"/>
      <c r="F58" s="40"/>
      <c r="G58" s="37"/>
      <c r="H58" s="20" t="str">
        <f t="shared" si="19"/>
        <v/>
      </c>
      <c r="I58" s="108" t="str">
        <f t="shared" si="20"/>
        <v/>
      </c>
      <c r="L58" s="17" t="str">
        <f t="shared" si="21"/>
        <v>PCB 28</v>
      </c>
      <c r="M58" s="20" t="str">
        <f>VLOOKUP($L58,WB_Kalibratie3[],8,FALSE)</f>
        <v/>
      </c>
      <c r="N58" s="34" t="str">
        <f>VLOOKUP($L58,WB_Kalibratie4[],8,FALSE)</f>
        <v/>
      </c>
      <c r="O58" s="62" t="str">
        <f>VLOOKUP($L58,WB_Kalibratie5[],8,FALSE)</f>
        <v/>
      </c>
      <c r="P58" s="27" t="str">
        <f>VLOOKUP($L58,WB_CheckSTD3_1[],8,FALSE)</f>
        <v/>
      </c>
      <c r="Q58" s="27" t="str">
        <f>VLOOKUP($L58,WB_CheckSTD3_2[],8,FALSE)</f>
        <v/>
      </c>
      <c r="R58" s="27" t="str">
        <f>VLOOKUP($L58,WB_CM_1[],8,FALSE)</f>
        <v/>
      </c>
      <c r="S58" s="27" t="str">
        <f>VLOOKUP($L58,WB_CM_2[],8,FALSE)</f>
        <v/>
      </c>
      <c r="T58" s="27" t="str">
        <f>VLOOKUP($L58,WB_RG_1[],8,FALSE)</f>
        <v/>
      </c>
      <c r="U58" s="27" t="str">
        <f>VLOOKUP($L58,WB_RG_2[],8,FALSE)</f>
        <v/>
      </c>
      <c r="V58" s="27" t="str">
        <f>VLOOKUP($L58,WB_RG_3[],8,FALSE)</f>
        <v/>
      </c>
      <c r="W58" s="27" t="str">
        <f>VLOOKUP($L58,WB_RG_4[],8,FALSE)</f>
        <v/>
      </c>
      <c r="X58" s="27" t="str">
        <f>VLOOKUP($L58,WB_RG_5[],8,FALSE)</f>
        <v/>
      </c>
      <c r="Y58" s="27" t="str">
        <f>VLOOKUP($L58,WB_RG_6[],8,FALSE)</f>
        <v/>
      </c>
      <c r="Z58" s="27" t="str">
        <f>VLOOKUP($L58,WB_RG_7[],8,FALSE)</f>
        <v/>
      </c>
      <c r="AA58" s="27" t="str">
        <f>VLOOKUP($L58,WB_RG_8[],8,FALSE)</f>
        <v/>
      </c>
      <c r="AB58" s="25">
        <f t="shared" si="22"/>
        <v>0</v>
      </c>
      <c r="AC58" s="27" t="str">
        <f t="shared" si="23"/>
        <v/>
      </c>
      <c r="AD58" s="19" t="str">
        <f t="shared" si="24"/>
        <v/>
      </c>
      <c r="AE58" s="100" t="str" cm="1">
        <f t="array" ref="AE58">_xlfn.IFS(AB58&lt;15,"",
AND(AD58&gt;'Punten verdeling'!$C$25,AD58&lt;='Punten verdeling'!$D$25),WB_RATIO_U,
AND(AD58&gt;'Punten verdeling'!C$26,AD58&lt;='Punten verdeling'!D$26),WB_RATIO_G,
AND(AD58&gt;'Punten verdeling'!C$27,AD58&lt;='Punten verdeling'!D$27),WB_RATIO_V,
AD58&gt;'Punten verdeling'!C$28,WB_RATIO_O)</f>
        <v/>
      </c>
    </row>
    <row r="59" spans="2:31" x14ac:dyDescent="0.2">
      <c r="AD59" s="10" t="s">
        <v>23</v>
      </c>
      <c r="AE59" s="112">
        <f>SUM(AE49:AE58)</f>
        <v>0</v>
      </c>
    </row>
    <row r="60" spans="2:31" ht="20.25" x14ac:dyDescent="0.3">
      <c r="B60" s="8" t="s">
        <v>10</v>
      </c>
      <c r="L60" s="4" t="s">
        <v>106</v>
      </c>
    </row>
    <row r="61" spans="2:31" ht="63.75" thickBot="1" x14ac:dyDescent="0.25">
      <c r="B61" s="14" t="s">
        <v>2</v>
      </c>
      <c r="C61" s="15" t="s">
        <v>70</v>
      </c>
      <c r="D61" s="15" t="s">
        <v>3</v>
      </c>
      <c r="E61" s="15" t="s">
        <v>47</v>
      </c>
      <c r="F61" s="15" t="s">
        <v>48</v>
      </c>
      <c r="G61" s="15" t="s">
        <v>67</v>
      </c>
      <c r="H61" s="36" t="s">
        <v>4</v>
      </c>
      <c r="I61" s="106" t="s">
        <v>5</v>
      </c>
      <c r="L61" s="23" t="s">
        <v>2</v>
      </c>
      <c r="M61" s="22" t="s">
        <v>189</v>
      </c>
      <c r="N61" s="22" t="s">
        <v>190</v>
      </c>
      <c r="O61" s="22" t="s">
        <v>191</v>
      </c>
      <c r="P61" s="22" t="s">
        <v>192</v>
      </c>
      <c r="Q61" s="22" t="s">
        <v>193</v>
      </c>
      <c r="R61" s="22" t="s">
        <v>194</v>
      </c>
      <c r="S61" s="22" t="s">
        <v>195</v>
      </c>
      <c r="T61" s="22" t="s">
        <v>115</v>
      </c>
      <c r="U61" s="22" t="s">
        <v>116</v>
      </c>
      <c r="V61" s="22" t="s">
        <v>117</v>
      </c>
      <c r="W61" s="22" t="s">
        <v>118</v>
      </c>
      <c r="X61" s="22" t="s">
        <v>119</v>
      </c>
      <c r="Y61" s="22" t="s">
        <v>120</v>
      </c>
      <c r="Z61" s="22" t="s">
        <v>122</v>
      </c>
      <c r="AA61" s="22" t="s">
        <v>121</v>
      </c>
      <c r="AB61" s="22" t="s">
        <v>114</v>
      </c>
      <c r="AC61" s="22" t="s">
        <v>196</v>
      </c>
      <c r="AD61" s="22" t="s">
        <v>188</v>
      </c>
      <c r="AE61" s="22" t="s">
        <v>32</v>
      </c>
    </row>
    <row r="62" spans="2:31" ht="13.5" thickTop="1" x14ac:dyDescent="0.2">
      <c r="B62" s="13" t="str">
        <f>$B$10</f>
        <v>44-DDD</v>
      </c>
      <c r="C62" s="20">
        <f>IF(VLOOKUP(WB_Kalibratie4[[#This Row],[Component]],Concentraties!$B$8:$L$17,6,FALSE)="","",VLOOKUP(WB_Kalibratie4[[#This Row],[Component]],Concentraties!$B$8:$L$17,6,FALSE))</f>
        <v>2.3832</v>
      </c>
      <c r="D62" s="37"/>
      <c r="E62" s="39"/>
      <c r="F62" s="39"/>
      <c r="G62" s="37"/>
      <c r="H62" s="20" t="str">
        <f t="shared" ref="H62:H71" si="25">IFERROR(IF(C62="-","N.v.t.",IF(G62="","",100*G62/C62)),"")</f>
        <v/>
      </c>
      <c r="I62" s="107" t="str">
        <f t="shared" ref="I62:I71" si="26">IFERROR(MIN(E62,F62)/MAX(E62,F62),"")</f>
        <v/>
      </c>
      <c r="L62" s="18" t="str">
        <f t="shared" ref="L62:L71" si="27">L36</f>
        <v>44-DDD</v>
      </c>
      <c r="M62" s="20" t="str">
        <f>IF(VLOOKUP($L62,WB_Kalibratie0[],2,FALSE)="","",VLOOKUP($L62,WB_Kalibratie0[],2,FALSE))</f>
        <v>-</v>
      </c>
      <c r="N62" s="20">
        <f>IF(VLOOKUP($L62,WB_Kalibratie1[],2,FALSE)="","",VLOOKUP($L62,WB_Kalibratie1[],2,FALSE))</f>
        <v>0.23832</v>
      </c>
      <c r="O62" s="62">
        <f>IF(VLOOKUP($L62,WB_Kalibratie2[],2,FALSE)="","",VLOOKUP($L62,WB_Kalibratie2[],2,FALSE))</f>
        <v>0.5958</v>
      </c>
      <c r="P62" s="27">
        <f>IF(VLOOKUP($L62,WB_Kalibratie3[],2,FALSE)="","",VLOOKUP($L62,WB_Kalibratie3[],2,FALSE))</f>
        <v>1.1916</v>
      </c>
      <c r="Q62" s="27">
        <f>IF(VLOOKUP($L62,WB_Kalibratie4[],2,FALSE)="","",VLOOKUP($L62,WB_Kalibratie4[],2,FALSE))</f>
        <v>2.3832</v>
      </c>
      <c r="R62" s="27">
        <f>IF(VLOOKUP($L62,WB_Kalibratie5[],2,FALSE)="","",VLOOKUP($L62,WB_Kalibratie5[],2,FALSE))</f>
        <v>4.7664</v>
      </c>
      <c r="S62" s="27" t="str">
        <f>IF(VLOOKUP($L62,WB_Standaard_Hoog[],2,FALSE)="","",VLOOKUP($L62,WB_Standaard_Hoog[],2,FALSE))</f>
        <v/>
      </c>
      <c r="T62" s="27" t="str">
        <f>IF(VLOOKUP($L62,WB_Kalibratie0[],4,FALSE)="","",VLOOKUP($L62,WB_Kalibratie0[],4,FALSE))</f>
        <v/>
      </c>
      <c r="U62" s="27" t="str">
        <f>IF(VLOOKUP($L62,WB_Kalibratie1[],4,FALSE)="","",VLOOKUP($L62,WB_Kalibratie1[],4,FALSE))</f>
        <v/>
      </c>
      <c r="V62" s="27" t="str">
        <f>IF(VLOOKUP($L62,WB_Kalibratie2[],4,FALSE)="","",VLOOKUP($L62,WB_Kalibratie2[],4,FALSE))</f>
        <v/>
      </c>
      <c r="W62" s="27" t="str">
        <f>IF(VLOOKUP($L62,WB_Kalibratie3[],4,FALSE)="","",VLOOKUP($L62,WB_Kalibratie3[],4,FALSE))</f>
        <v/>
      </c>
      <c r="X62" s="27" t="str">
        <f>IF(VLOOKUP($L62,WB_Kalibratie4[],4,FALSE)="","",VLOOKUP($L62,WB_Kalibratie4[],4,FALSE))</f>
        <v/>
      </c>
      <c r="Y62" s="27" t="str">
        <f>IF(VLOOKUP($L62,WB_Kalibratie5[],4,FALSE)="","",VLOOKUP($L62,WB_Kalibratie5[],4,FALSE))</f>
        <v/>
      </c>
      <c r="Z62" s="27" t="str">
        <f>IF(VLOOKUP($L62,WB_Standaard_Hoog[],4,FALSE)="","",VLOOKUP($L62,WB_Standaard_Hoog[],4,FALSE))</f>
        <v/>
      </c>
      <c r="AA62" s="27" t="str">
        <f>IFERROR(SLOPE(U62:Y62,N62:R62),"")</f>
        <v/>
      </c>
      <c r="AB62" s="20" t="str">
        <f>IFERROR(INTERCEPT(U62:Y62,N62:R62),"")</f>
        <v/>
      </c>
      <c r="AC62" s="27" t="str">
        <f>IFERROR((Z62-AB62)/AA62,"")</f>
        <v/>
      </c>
      <c r="AD62" s="19" t="str">
        <f>IFERROR(IF(AC62&lt;2,"",AC62*100/S62),"")</f>
        <v/>
      </c>
      <c r="AE62" s="100" t="str" cm="1">
        <f t="array" ref="AE62">_xlfn.IFS(Z62="","",
AND(ABS(IF(AD62="",0,AD62)-100)&gt;'Punten verdeling'!$C$29,ABS(IF(AD62="",0,AD62)-100)&lt;='Punten verdeling'!$D$29),WB_Lin_U,
AND(ABS(IF(AD62="",0,AD62)-100)&gt;'Punten verdeling'!C$30,ABS(IF(AD62="",0,AD62)-100)&lt;='Punten verdeling'!D$30),WB_Lin_G,
AND(ABS(IF(AD62="",0,AD62)-100)&gt;'Punten verdeling'!C$31,ABS(IF(AD62="",0,AD62)-100)&lt;='Punten verdeling'!D$31),WB_Lin_V,
ABS(IF(AD62="",0,AD62)-100)&gt;'Punten verdeling'!C$32,WB_Lin_O)</f>
        <v/>
      </c>
    </row>
    <row r="63" spans="2:31" x14ac:dyDescent="0.2">
      <c r="B63" s="12" t="str">
        <f>$B$11</f>
        <v>Antraceen</v>
      </c>
      <c r="C63" s="20">
        <f>IF(VLOOKUP(WB_Kalibratie4[[#This Row],[Component]],Concentraties!$B$8:$L$17,6,FALSE)="","",VLOOKUP(WB_Kalibratie4[[#This Row],[Component]],Concentraties!$B$8:$L$17,6,FALSE))</f>
        <v>15.998399999999998</v>
      </c>
      <c r="D63" s="38"/>
      <c r="E63" s="40"/>
      <c r="F63" s="40"/>
      <c r="G63" s="37"/>
      <c r="H63" s="20" t="str">
        <f t="shared" si="25"/>
        <v/>
      </c>
      <c r="I63" s="108" t="str">
        <f t="shared" si="26"/>
        <v/>
      </c>
      <c r="L63" s="17" t="str">
        <f t="shared" si="27"/>
        <v>Antraceen</v>
      </c>
      <c r="M63" s="20" t="str">
        <f>IF(VLOOKUP($L63,WB_Kalibratie0[],2,FALSE)="","",VLOOKUP($L63,WB_Kalibratie0[],2,FALSE))</f>
        <v>-</v>
      </c>
      <c r="N63" s="34">
        <f>IF(VLOOKUP($L63,WB_Kalibratie1[],2,FALSE)="","",VLOOKUP($L63,WB_Kalibratie1[],2,FALSE))</f>
        <v>1.9997999999999998</v>
      </c>
      <c r="O63" s="62">
        <f>IF(VLOOKUP($L63,WB_Kalibratie2[],2,FALSE)="","",VLOOKUP($L63,WB_Kalibratie2[],2,FALSE))</f>
        <v>3.9995999999999996</v>
      </c>
      <c r="P63" s="27">
        <f>IF(VLOOKUP($L63,WB_Kalibratie3[],2,FALSE)="","",VLOOKUP($L63,WB_Kalibratie3[],2,FALSE))</f>
        <v>7.9991999999999992</v>
      </c>
      <c r="Q63" s="27">
        <f>IF(VLOOKUP($L63,WB_Kalibratie4[],2,FALSE)="","",VLOOKUP($L63,WB_Kalibratie4[],2,FALSE))</f>
        <v>15.998399999999998</v>
      </c>
      <c r="R63" s="27">
        <f>IF(VLOOKUP($L63,WB_Kalibratie5[],2,FALSE)="","",VLOOKUP($L63,WB_Kalibratie5[],2,FALSE))</f>
        <v>31.996799999999997</v>
      </c>
      <c r="S63" s="27" t="str">
        <f>IF(VLOOKUP($L63,WB_Standaard_Hoog[],2,FALSE)="","",VLOOKUP($L63,WB_Standaard_Hoog[],2,FALSE))</f>
        <v/>
      </c>
      <c r="T63" s="27" t="str">
        <f>IF(VLOOKUP($L63,WB_Kalibratie0[],4,FALSE)="","",VLOOKUP($L63,WB_Kalibratie0[],4,FALSE))</f>
        <v/>
      </c>
      <c r="U63" s="27" t="str">
        <f>IF(VLOOKUP($L63,WB_Kalibratie1[],4,FALSE)="","",VLOOKUP($L63,WB_Kalibratie1[],4,FALSE))</f>
        <v/>
      </c>
      <c r="V63" s="27" t="str">
        <f>IF(VLOOKUP($L63,WB_Kalibratie2[],4,FALSE)="","",VLOOKUP($L63,WB_Kalibratie2[],4,FALSE))</f>
        <v/>
      </c>
      <c r="W63" s="27" t="str">
        <f>IF(VLOOKUP($L63,WB_Kalibratie3[],4,FALSE)="","",VLOOKUP($L63,WB_Kalibratie3[],4,FALSE))</f>
        <v/>
      </c>
      <c r="X63" s="27" t="str">
        <f>IF(VLOOKUP($L63,WB_Kalibratie4[],4,FALSE)="","",VLOOKUP($L63,WB_Kalibratie4[],4,FALSE))</f>
        <v/>
      </c>
      <c r="Y63" s="27" t="str">
        <f>IF(VLOOKUP($L63,WB_Kalibratie5[],4,FALSE)="","",VLOOKUP($L63,WB_Kalibratie5[],4,FALSE))</f>
        <v/>
      </c>
      <c r="Z63" s="27" t="str">
        <f>IF(VLOOKUP($L63,WB_Standaard_Hoog[],4,FALSE)="","",VLOOKUP($L63,WB_Standaard_Hoog[],4,FALSE))</f>
        <v/>
      </c>
      <c r="AA63" s="27" t="str">
        <f t="shared" ref="AA63:AA71" si="28">IFERROR(SLOPE(U63:Y63,N63:R63),"")</f>
        <v/>
      </c>
      <c r="AB63" s="20" t="str">
        <f t="shared" ref="AB63:AB71" si="29">IFERROR(INTERCEPT(U63:Y63,N63:R63),"")</f>
        <v/>
      </c>
      <c r="AC63" s="27" t="str">
        <f t="shared" ref="AC63:AC71" si="30">IFERROR((Z63-AB63)/AA63,"")</f>
        <v/>
      </c>
      <c r="AD63" s="19" t="str">
        <f t="shared" ref="AD63:AD71" si="31">IFERROR(IF(AC63&lt;2,"",AC63*100/S63),"")</f>
        <v/>
      </c>
      <c r="AE63" s="100" t="str" cm="1">
        <f t="array" ref="AE63">_xlfn.IFS(Z63="","",
AND(ABS(IF(AD63="",0,AD63)-100)&gt;'Punten verdeling'!$C$29,ABS(IF(AD63="",0,AD63)-100)&lt;='Punten verdeling'!$D$29),WB_Lin_U,
AND(ABS(IF(AD63="",0,AD63)-100)&gt;'Punten verdeling'!C$30,ABS(IF(AD63="",0,AD63)-100)&lt;='Punten verdeling'!D$30),WB_Lin_G,
AND(ABS(IF(AD63="",0,AD63)-100)&gt;'Punten verdeling'!C$31,ABS(IF(AD63="",0,AD63)-100)&lt;='Punten verdeling'!D$31),WB_Lin_V,
ABS(IF(AD63="",0,AD63)-100)&gt;'Punten verdeling'!C$32,WB_Lin_O)</f>
        <v/>
      </c>
    </row>
    <row r="64" spans="2:31" x14ac:dyDescent="0.2">
      <c r="B64" s="12" t="str">
        <f>$B$12</f>
        <v>Benzo(a)pyreen</v>
      </c>
      <c r="C64" s="20">
        <f>IF(VLOOKUP(WB_Kalibratie4[[#This Row],[Component]],Concentraties!$B$8:$L$17,6,FALSE)="","",VLOOKUP(WB_Kalibratie4[[#This Row],[Component]],Concentraties!$B$8:$L$17,6,FALSE))</f>
        <v>16</v>
      </c>
      <c r="D64" s="38"/>
      <c r="E64" s="40"/>
      <c r="F64" s="40"/>
      <c r="G64" s="37"/>
      <c r="H64" s="20" t="str">
        <f t="shared" si="25"/>
        <v/>
      </c>
      <c r="I64" s="108" t="str">
        <f t="shared" si="26"/>
        <v/>
      </c>
      <c r="L64" s="17" t="str">
        <f t="shared" si="27"/>
        <v>Benzo(a)pyreen</v>
      </c>
      <c r="M64" s="20" t="str">
        <f>IF(VLOOKUP($L64,WB_Kalibratie0[],2,FALSE)="","",VLOOKUP($L64,WB_Kalibratie0[],2,FALSE))</f>
        <v>-</v>
      </c>
      <c r="N64" s="34">
        <f>IF(VLOOKUP($L64,WB_Kalibratie1[],2,FALSE)="","",VLOOKUP($L64,WB_Kalibratie1[],2,FALSE))</f>
        <v>2</v>
      </c>
      <c r="O64" s="62">
        <f>IF(VLOOKUP($L64,WB_Kalibratie2[],2,FALSE)="","",VLOOKUP($L64,WB_Kalibratie2[],2,FALSE))</f>
        <v>4</v>
      </c>
      <c r="P64" s="27">
        <f>IF(VLOOKUP($L64,WB_Kalibratie3[],2,FALSE)="","",VLOOKUP($L64,WB_Kalibratie3[],2,FALSE))</f>
        <v>8</v>
      </c>
      <c r="Q64" s="27">
        <f>IF(VLOOKUP($L64,WB_Kalibratie4[],2,FALSE)="","",VLOOKUP($L64,WB_Kalibratie4[],2,FALSE))</f>
        <v>16</v>
      </c>
      <c r="R64" s="27">
        <f>IF(VLOOKUP($L64,WB_Kalibratie5[],2,FALSE)="","",VLOOKUP($L64,WB_Kalibratie5[],2,FALSE))</f>
        <v>32</v>
      </c>
      <c r="S64" s="27" t="str">
        <f>IF(VLOOKUP($L64,WB_Standaard_Hoog[],2,FALSE)="","",VLOOKUP($L64,WB_Standaard_Hoog[],2,FALSE))</f>
        <v/>
      </c>
      <c r="T64" s="27" t="str">
        <f>IF(VLOOKUP($L64,WB_Kalibratie0[],4,FALSE)="","",VLOOKUP($L64,WB_Kalibratie0[],4,FALSE))</f>
        <v/>
      </c>
      <c r="U64" s="27" t="str">
        <f>IF(VLOOKUP($L64,WB_Kalibratie1[],4,FALSE)="","",VLOOKUP($L64,WB_Kalibratie1[],4,FALSE))</f>
        <v/>
      </c>
      <c r="V64" s="27" t="str">
        <f>IF(VLOOKUP($L64,WB_Kalibratie2[],4,FALSE)="","",VLOOKUP($L64,WB_Kalibratie2[],4,FALSE))</f>
        <v/>
      </c>
      <c r="W64" s="27" t="str">
        <f>IF(VLOOKUP($L64,WB_Kalibratie3[],4,FALSE)="","",VLOOKUP($L64,WB_Kalibratie3[],4,FALSE))</f>
        <v/>
      </c>
      <c r="X64" s="27" t="str">
        <f>IF(VLOOKUP($L64,WB_Kalibratie4[],4,FALSE)="","",VLOOKUP($L64,WB_Kalibratie4[],4,FALSE))</f>
        <v/>
      </c>
      <c r="Y64" s="27" t="str">
        <f>IF(VLOOKUP($L64,WB_Kalibratie5[],4,FALSE)="","",VLOOKUP($L64,WB_Kalibratie5[],4,FALSE))</f>
        <v/>
      </c>
      <c r="Z64" s="27" t="str">
        <f>IF(VLOOKUP($L64,WB_Standaard_Hoog[],4,FALSE)="","",VLOOKUP($L64,WB_Standaard_Hoog[],4,FALSE))</f>
        <v/>
      </c>
      <c r="AA64" s="27" t="str">
        <f t="shared" si="28"/>
        <v/>
      </c>
      <c r="AB64" s="20" t="str">
        <f t="shared" si="29"/>
        <v/>
      </c>
      <c r="AC64" s="27" t="str">
        <f t="shared" si="30"/>
        <v/>
      </c>
      <c r="AD64" s="19" t="str">
        <f t="shared" si="31"/>
        <v/>
      </c>
      <c r="AE64" s="100" t="str" cm="1">
        <f t="array" ref="AE64">_xlfn.IFS(Z64="","",
AND(ABS(IF(AD64="",0,AD64)-100)&gt;'Punten verdeling'!$C$29,ABS(IF(AD64="",0,AD64)-100)&lt;='Punten verdeling'!$D$29),WB_Lin_U,
AND(ABS(IF(AD64="",0,AD64)-100)&gt;'Punten verdeling'!C$30,ABS(IF(AD64="",0,AD64)-100)&lt;='Punten verdeling'!D$30),WB_Lin_G,
AND(ABS(IF(AD64="",0,AD64)-100)&gt;'Punten verdeling'!C$31,ABS(IF(AD64="",0,AD64)-100)&lt;='Punten verdeling'!D$31),WB_Lin_V,
ABS(IF(AD64="",0,AD64)-100)&gt;'Punten verdeling'!C$32,WB_Lin_O)</f>
        <v/>
      </c>
    </row>
    <row r="65" spans="2:31" x14ac:dyDescent="0.2">
      <c r="B65" s="12" t="str">
        <f>$B$13</f>
        <v>Benzo(ghi)peryleen</v>
      </c>
      <c r="C65" s="20">
        <f>IF(VLOOKUP(WB_Kalibratie4[[#This Row],[Component]],Concentraties!$B$8:$L$17,6,FALSE)="","",VLOOKUP(WB_Kalibratie4[[#This Row],[Component]],Concentraties!$B$8:$L$17,6,FALSE))</f>
        <v>16</v>
      </c>
      <c r="D65" s="38"/>
      <c r="E65" s="40"/>
      <c r="F65" s="40"/>
      <c r="G65" s="37"/>
      <c r="H65" s="20" t="str">
        <f t="shared" si="25"/>
        <v/>
      </c>
      <c r="I65" s="108" t="str">
        <f t="shared" si="26"/>
        <v/>
      </c>
      <c r="L65" s="17" t="str">
        <f t="shared" si="27"/>
        <v>Benzo(ghi)peryleen</v>
      </c>
      <c r="M65" s="20" t="str">
        <f>IF(VLOOKUP($L65,WB_Kalibratie0[],2,FALSE)="","",VLOOKUP($L65,WB_Kalibratie0[],2,FALSE))</f>
        <v>-</v>
      </c>
      <c r="N65" s="34">
        <f>IF(VLOOKUP($L65,WB_Kalibratie1[],2,FALSE)="","",VLOOKUP($L65,WB_Kalibratie1[],2,FALSE))</f>
        <v>2</v>
      </c>
      <c r="O65" s="62">
        <f>IF(VLOOKUP($L65,WB_Kalibratie2[],2,FALSE)="","",VLOOKUP($L65,WB_Kalibratie2[],2,FALSE))</f>
        <v>4</v>
      </c>
      <c r="P65" s="27">
        <f>IF(VLOOKUP($L65,WB_Kalibratie3[],2,FALSE)="","",VLOOKUP($L65,WB_Kalibratie3[],2,FALSE))</f>
        <v>8</v>
      </c>
      <c r="Q65" s="27">
        <f>IF(VLOOKUP($L65,WB_Kalibratie4[],2,FALSE)="","",VLOOKUP($L65,WB_Kalibratie4[],2,FALSE))</f>
        <v>16</v>
      </c>
      <c r="R65" s="27">
        <f>IF(VLOOKUP($L65,WB_Kalibratie5[],2,FALSE)="","",VLOOKUP($L65,WB_Kalibratie5[],2,FALSE))</f>
        <v>32</v>
      </c>
      <c r="S65" s="27" t="str">
        <f>IF(VLOOKUP($L65,WB_Standaard_Hoog[],2,FALSE)="","",VLOOKUP($L65,WB_Standaard_Hoog[],2,FALSE))</f>
        <v/>
      </c>
      <c r="T65" s="27" t="str">
        <f>IF(VLOOKUP($L65,WB_Kalibratie0[],4,FALSE)="","",VLOOKUP($L65,WB_Kalibratie0[],4,FALSE))</f>
        <v/>
      </c>
      <c r="U65" s="27" t="str">
        <f>IF(VLOOKUP($L65,WB_Kalibratie1[],4,FALSE)="","",VLOOKUP($L65,WB_Kalibratie1[],4,FALSE))</f>
        <v/>
      </c>
      <c r="V65" s="27" t="str">
        <f>IF(VLOOKUP($L65,WB_Kalibratie2[],4,FALSE)="","",VLOOKUP($L65,WB_Kalibratie2[],4,FALSE))</f>
        <v/>
      </c>
      <c r="W65" s="27" t="str">
        <f>IF(VLOOKUP($L65,WB_Kalibratie3[],4,FALSE)="","",VLOOKUP($L65,WB_Kalibratie3[],4,FALSE))</f>
        <v/>
      </c>
      <c r="X65" s="27" t="str">
        <f>IF(VLOOKUP($L65,WB_Kalibratie4[],4,FALSE)="","",VLOOKUP($L65,WB_Kalibratie4[],4,FALSE))</f>
        <v/>
      </c>
      <c r="Y65" s="27" t="str">
        <f>IF(VLOOKUP($L65,WB_Kalibratie5[],4,FALSE)="","",VLOOKUP($L65,WB_Kalibratie5[],4,FALSE))</f>
        <v/>
      </c>
      <c r="Z65" s="27" t="str">
        <f>IF(VLOOKUP($L65,WB_Standaard_Hoog[],4,FALSE)="","",VLOOKUP($L65,WB_Standaard_Hoog[],4,FALSE))</f>
        <v/>
      </c>
      <c r="AA65" s="27" t="str">
        <f t="shared" si="28"/>
        <v/>
      </c>
      <c r="AB65" s="20" t="str">
        <f t="shared" si="29"/>
        <v/>
      </c>
      <c r="AC65" s="27" t="str">
        <f t="shared" si="30"/>
        <v/>
      </c>
      <c r="AD65" s="19" t="str">
        <f t="shared" si="31"/>
        <v/>
      </c>
      <c r="AE65" s="100" t="str" cm="1">
        <f t="array" ref="AE65">_xlfn.IFS(Z65="","",
AND(ABS(IF(AD65="",0,AD65)-100)&gt;'Punten verdeling'!$C$29,ABS(IF(AD65="",0,AD65)-100)&lt;='Punten verdeling'!$D$29),WB_Lin_U,
AND(ABS(IF(AD65="",0,AD65)-100)&gt;'Punten verdeling'!C$30,ABS(IF(AD65="",0,AD65)-100)&lt;='Punten verdeling'!D$30),WB_Lin_G,
AND(ABS(IF(AD65="",0,AD65)-100)&gt;'Punten verdeling'!C$31,ABS(IF(AD65="",0,AD65)-100)&lt;='Punten verdeling'!D$31),WB_Lin_V,
ABS(IF(AD65="",0,AD65)-100)&gt;'Punten verdeling'!C$32,WB_Lin_O)</f>
        <v/>
      </c>
    </row>
    <row r="66" spans="2:31" x14ac:dyDescent="0.2">
      <c r="B66" s="12" t="str">
        <f>$B$14</f>
        <v>Cis-chloordaan</v>
      </c>
      <c r="C66" s="20">
        <f>IF(VLOOKUP(WB_Kalibratie4[[#This Row],[Component]],Concentraties!$B$8:$L$17,6,FALSE)="","",VLOOKUP(WB_Kalibratie4[[#This Row],[Component]],Concentraties!$B$8:$L$17,6,FALSE))</f>
        <v>2.4292799999999999</v>
      </c>
      <c r="D66" s="38"/>
      <c r="E66" s="40"/>
      <c r="F66" s="40"/>
      <c r="G66" s="37"/>
      <c r="H66" s="20" t="str">
        <f t="shared" si="25"/>
        <v/>
      </c>
      <c r="I66" s="108" t="str">
        <f t="shared" si="26"/>
        <v/>
      </c>
      <c r="L66" s="17" t="str">
        <f t="shared" si="27"/>
        <v>Cis-chloordaan</v>
      </c>
      <c r="M66" s="20" t="str">
        <f>IF(VLOOKUP($L66,WB_Kalibratie0[],2,FALSE)="","",VLOOKUP($L66,WB_Kalibratie0[],2,FALSE))</f>
        <v>-</v>
      </c>
      <c r="N66" s="34">
        <f>IF(VLOOKUP($L66,WB_Kalibratie1[],2,FALSE)="","",VLOOKUP($L66,WB_Kalibratie1[],2,FALSE))</f>
        <v>0.24292799999999998</v>
      </c>
      <c r="O66" s="62">
        <f>IF(VLOOKUP($L66,WB_Kalibratie2[],2,FALSE)="","",VLOOKUP($L66,WB_Kalibratie2[],2,FALSE))</f>
        <v>0.60731999999999997</v>
      </c>
      <c r="P66" s="27">
        <f>IF(VLOOKUP($L66,WB_Kalibratie3[],2,FALSE)="","",VLOOKUP($L66,WB_Kalibratie3[],2,FALSE))</f>
        <v>1.2146399999999999</v>
      </c>
      <c r="Q66" s="27">
        <f>IF(VLOOKUP($L66,WB_Kalibratie4[],2,FALSE)="","",VLOOKUP($L66,WB_Kalibratie4[],2,FALSE))</f>
        <v>2.4292799999999999</v>
      </c>
      <c r="R66" s="27">
        <f>IF(VLOOKUP($L66,WB_Kalibratie5[],2,FALSE)="","",VLOOKUP($L66,WB_Kalibratie5[],2,FALSE))</f>
        <v>4.8585599999999998</v>
      </c>
      <c r="S66" s="27" t="str">
        <f>IF(VLOOKUP($L66,WB_Standaard_Hoog[],2,FALSE)="","",VLOOKUP($L66,WB_Standaard_Hoog[],2,FALSE))</f>
        <v/>
      </c>
      <c r="T66" s="27" t="str">
        <f>IF(VLOOKUP($L66,WB_Kalibratie0[],4,FALSE)="","",VLOOKUP($L66,WB_Kalibratie0[],4,FALSE))</f>
        <v/>
      </c>
      <c r="U66" s="27" t="str">
        <f>IF(VLOOKUP($L66,WB_Kalibratie1[],4,FALSE)="","",VLOOKUP($L66,WB_Kalibratie1[],4,FALSE))</f>
        <v/>
      </c>
      <c r="V66" s="27" t="str">
        <f>IF(VLOOKUP($L66,WB_Kalibratie2[],4,FALSE)="","",VLOOKUP($L66,WB_Kalibratie2[],4,FALSE))</f>
        <v/>
      </c>
      <c r="W66" s="27" t="str">
        <f>IF(VLOOKUP($L66,WB_Kalibratie3[],4,FALSE)="","",VLOOKUP($L66,WB_Kalibratie3[],4,FALSE))</f>
        <v/>
      </c>
      <c r="X66" s="27" t="str">
        <f>IF(VLOOKUP($L66,WB_Kalibratie4[],4,FALSE)="","",VLOOKUP($L66,WB_Kalibratie4[],4,FALSE))</f>
        <v/>
      </c>
      <c r="Y66" s="27" t="str">
        <f>IF(VLOOKUP($L66,WB_Kalibratie5[],4,FALSE)="","",VLOOKUP($L66,WB_Kalibratie5[],4,FALSE))</f>
        <v/>
      </c>
      <c r="Z66" s="27" t="str">
        <f>IF(VLOOKUP($L66,WB_Standaard_Hoog[],4,FALSE)="","",VLOOKUP($L66,WB_Standaard_Hoog[],4,FALSE))</f>
        <v/>
      </c>
      <c r="AA66" s="27" t="str">
        <f t="shared" si="28"/>
        <v/>
      </c>
      <c r="AB66" s="20" t="str">
        <f t="shared" si="29"/>
        <v/>
      </c>
      <c r="AC66" s="27" t="str">
        <f t="shared" si="30"/>
        <v/>
      </c>
      <c r="AD66" s="19" t="str">
        <f t="shared" si="31"/>
        <v/>
      </c>
      <c r="AE66" s="100" t="str" cm="1">
        <f t="array" ref="AE66">_xlfn.IFS(Z66="","",
AND(ABS(IF(AD66="",0,AD66)-100)&gt;'Punten verdeling'!$C$29,ABS(IF(AD66="",0,AD66)-100)&lt;='Punten verdeling'!$D$29),WB_Lin_U,
AND(ABS(IF(AD66="",0,AD66)-100)&gt;'Punten verdeling'!C$30,ABS(IF(AD66="",0,AD66)-100)&lt;='Punten verdeling'!D$30),WB_Lin_G,
AND(ABS(IF(AD66="",0,AD66)-100)&gt;'Punten verdeling'!C$31,ABS(IF(AD66="",0,AD66)-100)&lt;='Punten verdeling'!D$31),WB_Lin_V,
ABS(IF(AD66="",0,AD66)-100)&gt;'Punten verdeling'!C$32,WB_Lin_O)</f>
        <v/>
      </c>
    </row>
    <row r="67" spans="2:31" x14ac:dyDescent="0.2">
      <c r="B67" s="12" t="str">
        <f>$B$15</f>
        <v>Endrin</v>
      </c>
      <c r="C67" s="20">
        <f>IF(VLOOKUP(WB_Kalibratie4[[#This Row],[Component]],Concentraties!$B$8:$L$17,6,FALSE)="","",VLOOKUP(WB_Kalibratie4[[#This Row],[Component]],Concentraties!$B$8:$L$17,6,FALSE))</f>
        <v>2.4028800000000001</v>
      </c>
      <c r="D67" s="38"/>
      <c r="E67" s="40"/>
      <c r="F67" s="40"/>
      <c r="G67" s="37"/>
      <c r="H67" s="20" t="str">
        <f t="shared" si="25"/>
        <v/>
      </c>
      <c r="I67" s="108" t="str">
        <f t="shared" si="26"/>
        <v/>
      </c>
      <c r="L67" s="17" t="str">
        <f t="shared" si="27"/>
        <v>Endrin</v>
      </c>
      <c r="M67" s="20" t="str">
        <f>IF(VLOOKUP($L67,WB_Kalibratie0[],2,FALSE)="","",VLOOKUP($L67,WB_Kalibratie0[],2,FALSE))</f>
        <v>-</v>
      </c>
      <c r="N67" s="34">
        <f>IF(VLOOKUP($L67,WB_Kalibratie1[],2,FALSE)="","",VLOOKUP($L67,WB_Kalibratie1[],2,FALSE))</f>
        <v>0.24028800000000003</v>
      </c>
      <c r="O67" s="62">
        <f>IF(VLOOKUP($L67,WB_Kalibratie2[],2,FALSE)="","",VLOOKUP($L67,WB_Kalibratie2[],2,FALSE))</f>
        <v>0.60072000000000003</v>
      </c>
      <c r="P67" s="27">
        <f>IF(VLOOKUP($L67,WB_Kalibratie3[],2,FALSE)="","",VLOOKUP($L67,WB_Kalibratie3[],2,FALSE))</f>
        <v>1.2014400000000001</v>
      </c>
      <c r="Q67" s="27">
        <f>IF(VLOOKUP($L67,WB_Kalibratie4[],2,FALSE)="","",VLOOKUP($L67,WB_Kalibratie4[],2,FALSE))</f>
        <v>2.4028800000000001</v>
      </c>
      <c r="R67" s="27">
        <f>IF(VLOOKUP($L67,WB_Kalibratie5[],2,FALSE)="","",VLOOKUP($L67,WB_Kalibratie5[],2,FALSE))</f>
        <v>4.8057600000000003</v>
      </c>
      <c r="S67" s="27" t="str">
        <f>IF(VLOOKUP($L67,WB_Standaard_Hoog[],2,FALSE)="","",VLOOKUP($L67,WB_Standaard_Hoog[],2,FALSE))</f>
        <v/>
      </c>
      <c r="T67" s="27" t="str">
        <f>IF(VLOOKUP($L67,WB_Kalibratie0[],4,FALSE)="","",VLOOKUP($L67,WB_Kalibratie0[],4,FALSE))</f>
        <v/>
      </c>
      <c r="U67" s="27" t="str">
        <f>IF(VLOOKUP($L67,WB_Kalibratie1[],4,FALSE)="","",VLOOKUP($L67,WB_Kalibratie1[],4,FALSE))</f>
        <v/>
      </c>
      <c r="V67" s="27" t="str">
        <f>IF(VLOOKUP($L67,WB_Kalibratie2[],4,FALSE)="","",VLOOKUP($L67,WB_Kalibratie2[],4,FALSE))</f>
        <v/>
      </c>
      <c r="W67" s="27" t="str">
        <f>IF(VLOOKUP($L67,WB_Kalibratie3[],4,FALSE)="","",VLOOKUP($L67,WB_Kalibratie3[],4,FALSE))</f>
        <v/>
      </c>
      <c r="X67" s="27" t="str">
        <f>IF(VLOOKUP($L67,WB_Kalibratie4[],4,FALSE)="","",VLOOKUP($L67,WB_Kalibratie4[],4,FALSE))</f>
        <v/>
      </c>
      <c r="Y67" s="27" t="str">
        <f>IF(VLOOKUP($L67,WB_Kalibratie5[],4,FALSE)="","",VLOOKUP($L67,WB_Kalibratie5[],4,FALSE))</f>
        <v/>
      </c>
      <c r="Z67" s="27" t="str">
        <f>IF(VLOOKUP($L67,WB_Standaard_Hoog[],4,FALSE)="","",VLOOKUP($L67,WB_Standaard_Hoog[],4,FALSE))</f>
        <v/>
      </c>
      <c r="AA67" s="27" t="str">
        <f t="shared" si="28"/>
        <v/>
      </c>
      <c r="AB67" s="20" t="str">
        <f t="shared" si="29"/>
        <v/>
      </c>
      <c r="AC67" s="27" t="str">
        <f t="shared" si="30"/>
        <v/>
      </c>
      <c r="AD67" s="19" t="str">
        <f t="shared" si="31"/>
        <v/>
      </c>
      <c r="AE67" s="100" t="str" cm="1">
        <f t="array" ref="AE67">_xlfn.IFS(Z67="","",
AND(ABS(IF(AD67="",0,AD67)-100)&gt;'Punten verdeling'!$C$29,ABS(IF(AD67="",0,AD67)-100)&lt;='Punten verdeling'!$D$29),WB_Lin_U,
AND(ABS(IF(AD67="",0,AD67)-100)&gt;'Punten verdeling'!C$30,ABS(IF(AD67="",0,AD67)-100)&lt;='Punten verdeling'!D$30),WB_Lin_G,
AND(ABS(IF(AD67="",0,AD67)-100)&gt;'Punten verdeling'!C$31,ABS(IF(AD67="",0,AD67)-100)&lt;='Punten verdeling'!D$31),WB_Lin_V,
ABS(IF(AD67="",0,AD67)-100)&gt;'Punten verdeling'!C$32,WB_Lin_O)</f>
        <v/>
      </c>
    </row>
    <row r="68" spans="2:31" x14ac:dyDescent="0.2">
      <c r="B68" s="12" t="str">
        <f>$B$16</f>
        <v>Hexachloorbutadieen</v>
      </c>
      <c r="C68" s="20">
        <f>IF(VLOOKUP(WB_Kalibratie4[[#This Row],[Component]],Concentraties!$B$8:$L$17,6,FALSE)="","",VLOOKUP(WB_Kalibratie4[[#This Row],[Component]],Concentraties!$B$8:$L$17,6,FALSE))</f>
        <v>2.4036</v>
      </c>
      <c r="D68" s="38"/>
      <c r="E68" s="40"/>
      <c r="F68" s="40"/>
      <c r="G68" s="37"/>
      <c r="H68" s="20" t="str">
        <f t="shared" si="25"/>
        <v/>
      </c>
      <c r="I68" s="108" t="str">
        <f t="shared" si="26"/>
        <v/>
      </c>
      <c r="L68" s="17" t="str">
        <f t="shared" si="27"/>
        <v>Hexachloorbutadieen</v>
      </c>
      <c r="M68" s="20" t="str">
        <f>IF(VLOOKUP($L68,WB_Kalibratie0[],2,FALSE)="","",VLOOKUP($L68,WB_Kalibratie0[],2,FALSE))</f>
        <v>-</v>
      </c>
      <c r="N68" s="34">
        <f>IF(VLOOKUP($L68,WB_Kalibratie1[],2,FALSE)="","",VLOOKUP($L68,WB_Kalibratie1[],2,FALSE))</f>
        <v>0.24035999999999999</v>
      </c>
      <c r="O68" s="62">
        <f>IF(VLOOKUP($L68,WB_Kalibratie2[],2,FALSE)="","",VLOOKUP($L68,WB_Kalibratie2[],2,FALSE))</f>
        <v>0.60089999999999999</v>
      </c>
      <c r="P68" s="27">
        <f>IF(VLOOKUP($L68,WB_Kalibratie3[],2,FALSE)="","",VLOOKUP($L68,WB_Kalibratie3[],2,FALSE))</f>
        <v>1.2018</v>
      </c>
      <c r="Q68" s="27">
        <f>IF(VLOOKUP($L68,WB_Kalibratie4[],2,FALSE)="","",VLOOKUP($L68,WB_Kalibratie4[],2,FALSE))</f>
        <v>2.4036</v>
      </c>
      <c r="R68" s="27">
        <f>IF(VLOOKUP($L68,WB_Kalibratie5[],2,FALSE)="","",VLOOKUP($L68,WB_Kalibratie5[],2,FALSE))</f>
        <v>4.8071999999999999</v>
      </c>
      <c r="S68" s="27" t="str">
        <f>IF(VLOOKUP($L68,WB_Standaard_Hoog[],2,FALSE)="","",VLOOKUP($L68,WB_Standaard_Hoog[],2,FALSE))</f>
        <v/>
      </c>
      <c r="T68" s="27" t="str">
        <f>IF(VLOOKUP($L68,WB_Kalibratie0[],4,FALSE)="","",VLOOKUP($L68,WB_Kalibratie0[],4,FALSE))</f>
        <v/>
      </c>
      <c r="U68" s="27" t="str">
        <f>IF(VLOOKUP($L68,WB_Kalibratie1[],4,FALSE)="","",VLOOKUP($L68,WB_Kalibratie1[],4,FALSE))</f>
        <v/>
      </c>
      <c r="V68" s="27" t="str">
        <f>IF(VLOOKUP($L68,WB_Kalibratie2[],4,FALSE)="","",VLOOKUP($L68,WB_Kalibratie2[],4,FALSE))</f>
        <v/>
      </c>
      <c r="W68" s="27" t="str">
        <f>IF(VLOOKUP($L68,WB_Kalibratie3[],4,FALSE)="","",VLOOKUP($L68,WB_Kalibratie3[],4,FALSE))</f>
        <v/>
      </c>
      <c r="X68" s="27" t="str">
        <f>IF(VLOOKUP($L68,WB_Kalibratie4[],4,FALSE)="","",VLOOKUP($L68,WB_Kalibratie4[],4,FALSE))</f>
        <v/>
      </c>
      <c r="Y68" s="27" t="str">
        <f>IF(VLOOKUP($L68,WB_Kalibratie5[],4,FALSE)="","",VLOOKUP($L68,WB_Kalibratie5[],4,FALSE))</f>
        <v/>
      </c>
      <c r="Z68" s="27" t="str">
        <f>IF(VLOOKUP($L68,WB_Standaard_Hoog[],4,FALSE)="","",VLOOKUP($L68,WB_Standaard_Hoog[],4,FALSE))</f>
        <v/>
      </c>
      <c r="AA68" s="27" t="str">
        <f t="shared" si="28"/>
        <v/>
      </c>
      <c r="AB68" s="20" t="str">
        <f t="shared" si="29"/>
        <v/>
      </c>
      <c r="AC68" s="27" t="str">
        <f t="shared" si="30"/>
        <v/>
      </c>
      <c r="AD68" s="19" t="str">
        <f t="shared" si="31"/>
        <v/>
      </c>
      <c r="AE68" s="100" t="str" cm="1">
        <f t="array" ref="AE68">_xlfn.IFS(Z68="","",
AND(ABS(IF(AD68="",0,AD68)-100)&gt;'Punten verdeling'!$C$29,ABS(IF(AD68="",0,AD68)-100)&lt;='Punten verdeling'!$D$29),WB_Lin_U,
AND(ABS(IF(AD68="",0,AD68)-100)&gt;'Punten verdeling'!C$30,ABS(IF(AD68="",0,AD68)-100)&lt;='Punten verdeling'!D$30),WB_Lin_G,
AND(ABS(IF(AD68="",0,AD68)-100)&gt;'Punten verdeling'!C$31,ABS(IF(AD68="",0,AD68)-100)&lt;='Punten verdeling'!D$31),WB_Lin_V,
ABS(IF(AD68="",0,AD68)-100)&gt;'Punten verdeling'!C$32,WB_Lin_O)</f>
        <v/>
      </c>
    </row>
    <row r="69" spans="2:31" x14ac:dyDescent="0.2">
      <c r="B69" s="12" t="str">
        <f>$B$17</f>
        <v>Naftaleen</v>
      </c>
      <c r="C69" s="20">
        <f>IF(VLOOKUP(WB_Kalibratie4[[#This Row],[Component]],Concentraties!$B$8:$L$17,6,FALSE)="","",VLOOKUP(WB_Kalibratie4[[#This Row],[Component]],Concentraties!$B$8:$L$17,6,FALSE))</f>
        <v>16</v>
      </c>
      <c r="D69" s="38"/>
      <c r="E69" s="40"/>
      <c r="F69" s="40"/>
      <c r="G69" s="37"/>
      <c r="H69" s="20" t="str">
        <f t="shared" si="25"/>
        <v/>
      </c>
      <c r="I69" s="108" t="str">
        <f t="shared" si="26"/>
        <v/>
      </c>
      <c r="L69" s="17" t="str">
        <f t="shared" si="27"/>
        <v>Naftaleen</v>
      </c>
      <c r="M69" s="20" t="str">
        <f>IF(VLOOKUP($L69,WB_Kalibratie0[],2,FALSE)="","",VLOOKUP($L69,WB_Kalibratie0[],2,FALSE))</f>
        <v>-</v>
      </c>
      <c r="N69" s="34">
        <f>IF(VLOOKUP($L69,WB_Kalibratie1[],2,FALSE)="","",VLOOKUP($L69,WB_Kalibratie1[],2,FALSE))</f>
        <v>2</v>
      </c>
      <c r="O69" s="62">
        <f>IF(VLOOKUP($L69,WB_Kalibratie2[],2,FALSE)="","",VLOOKUP($L69,WB_Kalibratie2[],2,FALSE))</f>
        <v>4</v>
      </c>
      <c r="P69" s="27">
        <f>IF(VLOOKUP($L69,WB_Kalibratie3[],2,FALSE)="","",VLOOKUP($L69,WB_Kalibratie3[],2,FALSE))</f>
        <v>8</v>
      </c>
      <c r="Q69" s="27">
        <f>IF(VLOOKUP($L69,WB_Kalibratie4[],2,FALSE)="","",VLOOKUP($L69,WB_Kalibratie4[],2,FALSE))</f>
        <v>16</v>
      </c>
      <c r="R69" s="27">
        <f>IF(VLOOKUP($L69,WB_Kalibratie5[],2,FALSE)="","",VLOOKUP($L69,WB_Kalibratie5[],2,FALSE))</f>
        <v>32</v>
      </c>
      <c r="S69" s="27" t="str">
        <f>IF(VLOOKUP($L69,WB_Standaard_Hoog[],2,FALSE)="","",VLOOKUP($L69,WB_Standaard_Hoog[],2,FALSE))</f>
        <v/>
      </c>
      <c r="T69" s="27" t="str">
        <f>IF(VLOOKUP($L69,WB_Kalibratie0[],4,FALSE)="","",VLOOKUP($L69,WB_Kalibratie0[],4,FALSE))</f>
        <v/>
      </c>
      <c r="U69" s="27" t="str">
        <f>IF(VLOOKUP($L69,WB_Kalibratie1[],4,FALSE)="","",VLOOKUP($L69,WB_Kalibratie1[],4,FALSE))</f>
        <v/>
      </c>
      <c r="V69" s="27" t="str">
        <f>IF(VLOOKUP($L69,WB_Kalibratie2[],4,FALSE)="","",VLOOKUP($L69,WB_Kalibratie2[],4,FALSE))</f>
        <v/>
      </c>
      <c r="W69" s="27" t="str">
        <f>IF(VLOOKUP($L69,WB_Kalibratie3[],4,FALSE)="","",VLOOKUP($L69,WB_Kalibratie3[],4,FALSE))</f>
        <v/>
      </c>
      <c r="X69" s="27" t="str">
        <f>IF(VLOOKUP($L69,WB_Kalibratie4[],4,FALSE)="","",VLOOKUP($L69,WB_Kalibratie4[],4,FALSE))</f>
        <v/>
      </c>
      <c r="Y69" s="27" t="str">
        <f>IF(VLOOKUP($L69,WB_Kalibratie5[],4,FALSE)="","",VLOOKUP($L69,WB_Kalibratie5[],4,FALSE))</f>
        <v/>
      </c>
      <c r="Z69" s="27" t="str">
        <f>IF(VLOOKUP($L69,WB_Standaard_Hoog[],4,FALSE)="","",VLOOKUP($L69,WB_Standaard_Hoog[],4,FALSE))</f>
        <v/>
      </c>
      <c r="AA69" s="27" t="str">
        <f t="shared" si="28"/>
        <v/>
      </c>
      <c r="AB69" s="20" t="str">
        <f t="shared" si="29"/>
        <v/>
      </c>
      <c r="AC69" s="27" t="str">
        <f t="shared" si="30"/>
        <v/>
      </c>
      <c r="AD69" s="19" t="str">
        <f t="shared" si="31"/>
        <v/>
      </c>
      <c r="AE69" s="100" t="str" cm="1">
        <f t="array" ref="AE69">_xlfn.IFS(Z69="","",
AND(ABS(IF(AD69="",0,AD69)-100)&gt;'Punten verdeling'!$C$29,ABS(IF(AD69="",0,AD69)-100)&lt;='Punten verdeling'!$D$29),WB_Lin_U,
AND(ABS(IF(AD69="",0,AD69)-100)&gt;'Punten verdeling'!C$30,ABS(IF(AD69="",0,AD69)-100)&lt;='Punten verdeling'!D$30),WB_Lin_G,
AND(ABS(IF(AD69="",0,AD69)-100)&gt;'Punten verdeling'!C$31,ABS(IF(AD69="",0,AD69)-100)&lt;='Punten verdeling'!D$31),WB_Lin_V,
ABS(IF(AD69="",0,AD69)-100)&gt;'Punten verdeling'!C$32,WB_Lin_O)</f>
        <v/>
      </c>
    </row>
    <row r="70" spans="2:31" x14ac:dyDescent="0.2">
      <c r="B70" s="12" t="str">
        <f>$B$18</f>
        <v>Pentachloorbenzeen</v>
      </c>
      <c r="C70" s="20">
        <f>IF(VLOOKUP(WB_Kalibratie4[[#This Row],[Component]],Concentraties!$B$8:$L$17,6,FALSE)="","",VLOOKUP(WB_Kalibratie4[[#This Row],[Component]],Concentraties!$B$8:$L$17,6,FALSE))</f>
        <v>2.40456</v>
      </c>
      <c r="D70" s="38"/>
      <c r="E70" s="40"/>
      <c r="F70" s="40"/>
      <c r="G70" s="37"/>
      <c r="H70" s="20" t="str">
        <f t="shared" si="25"/>
        <v/>
      </c>
      <c r="I70" s="108" t="str">
        <f t="shared" si="26"/>
        <v/>
      </c>
      <c r="L70" s="17" t="str">
        <f t="shared" si="27"/>
        <v>Pentachloorbenzeen</v>
      </c>
      <c r="M70" s="20" t="str">
        <f>IF(VLOOKUP($L70,WB_Kalibratie0[],2,FALSE)="","",VLOOKUP($L70,WB_Kalibratie0[],2,FALSE))</f>
        <v>-</v>
      </c>
      <c r="N70" s="34">
        <f>IF(VLOOKUP($L70,WB_Kalibratie1[],2,FALSE)="","",VLOOKUP($L70,WB_Kalibratie1[],2,FALSE))</f>
        <v>0.240456</v>
      </c>
      <c r="O70" s="62">
        <f>IF(VLOOKUP($L70,WB_Kalibratie2[],2,FALSE)="","",VLOOKUP($L70,WB_Kalibratie2[],2,FALSE))</f>
        <v>0.60114000000000001</v>
      </c>
      <c r="P70" s="27">
        <f>IF(VLOOKUP($L70,WB_Kalibratie3[],2,FALSE)="","",VLOOKUP($L70,WB_Kalibratie3[],2,FALSE))</f>
        <v>1.20228</v>
      </c>
      <c r="Q70" s="27">
        <f>IF(VLOOKUP($L70,WB_Kalibratie4[],2,FALSE)="","",VLOOKUP($L70,WB_Kalibratie4[],2,FALSE))</f>
        <v>2.40456</v>
      </c>
      <c r="R70" s="27">
        <f>IF(VLOOKUP($L70,WB_Kalibratie5[],2,FALSE)="","",VLOOKUP($L70,WB_Kalibratie5[],2,FALSE))</f>
        <v>4.8091200000000001</v>
      </c>
      <c r="S70" s="27" t="str">
        <f>IF(VLOOKUP($L70,WB_Standaard_Hoog[],2,FALSE)="","",VLOOKUP($L70,WB_Standaard_Hoog[],2,FALSE))</f>
        <v/>
      </c>
      <c r="T70" s="27" t="str">
        <f>IF(VLOOKUP($L70,WB_Kalibratie0[],4,FALSE)="","",VLOOKUP($L70,WB_Kalibratie0[],4,FALSE))</f>
        <v/>
      </c>
      <c r="U70" s="27" t="str">
        <f>IF(VLOOKUP($L70,WB_Kalibratie1[],4,FALSE)="","",VLOOKUP($L70,WB_Kalibratie1[],4,FALSE))</f>
        <v/>
      </c>
      <c r="V70" s="27" t="str">
        <f>IF(VLOOKUP($L70,WB_Kalibratie2[],4,FALSE)="","",VLOOKUP($L70,WB_Kalibratie2[],4,FALSE))</f>
        <v/>
      </c>
      <c r="W70" s="27" t="str">
        <f>IF(VLOOKUP($L70,WB_Kalibratie3[],4,FALSE)="","",VLOOKUP($L70,WB_Kalibratie3[],4,FALSE))</f>
        <v/>
      </c>
      <c r="X70" s="27" t="str">
        <f>IF(VLOOKUP($L70,WB_Kalibratie4[],4,FALSE)="","",VLOOKUP($L70,WB_Kalibratie4[],4,FALSE))</f>
        <v/>
      </c>
      <c r="Y70" s="27" t="str">
        <f>IF(VLOOKUP($L70,WB_Kalibratie5[],4,FALSE)="","",VLOOKUP($L70,WB_Kalibratie5[],4,FALSE))</f>
        <v/>
      </c>
      <c r="Z70" s="27" t="str">
        <f>IF(VLOOKUP($L70,WB_Standaard_Hoog[],4,FALSE)="","",VLOOKUP($L70,WB_Standaard_Hoog[],4,FALSE))</f>
        <v/>
      </c>
      <c r="AA70" s="27" t="str">
        <f t="shared" si="28"/>
        <v/>
      </c>
      <c r="AB70" s="20" t="str">
        <f t="shared" si="29"/>
        <v/>
      </c>
      <c r="AC70" s="27" t="str">
        <f t="shared" si="30"/>
        <v/>
      </c>
      <c r="AD70" s="19" t="str">
        <f t="shared" si="31"/>
        <v/>
      </c>
      <c r="AE70" s="100" t="str" cm="1">
        <f t="array" ref="AE70">_xlfn.IFS(Z70="","",
AND(ABS(IF(AD70="",0,AD70)-100)&gt;'Punten verdeling'!$C$29,ABS(IF(AD70="",0,AD70)-100)&lt;='Punten verdeling'!$D$29),WB_Lin_U,
AND(ABS(IF(AD70="",0,AD70)-100)&gt;'Punten verdeling'!C$30,ABS(IF(AD70="",0,AD70)-100)&lt;='Punten verdeling'!D$30),WB_Lin_G,
AND(ABS(IF(AD70="",0,AD70)-100)&gt;'Punten verdeling'!C$31,ABS(IF(AD70="",0,AD70)-100)&lt;='Punten verdeling'!D$31),WB_Lin_V,
ABS(IF(AD70="",0,AD70)-100)&gt;'Punten verdeling'!C$32,WB_Lin_O)</f>
        <v/>
      </c>
    </row>
    <row r="71" spans="2:31" x14ac:dyDescent="0.2">
      <c r="B71" s="12" t="str">
        <f>$B$19</f>
        <v>PCB 28</v>
      </c>
      <c r="C71" s="20">
        <f>IF(VLOOKUP(WB_Kalibratie4[[#This Row],[Component]],Concentraties!$B$8:$L$17,6,FALSE)="","",VLOOKUP(WB_Kalibratie4[[#This Row],[Component]],Concentraties!$B$8:$L$17,6,FALSE))</f>
        <v>2.4091200000000002</v>
      </c>
      <c r="D71" s="38"/>
      <c r="E71" s="40"/>
      <c r="F71" s="40"/>
      <c r="G71" s="37"/>
      <c r="H71" s="20" t="str">
        <f t="shared" si="25"/>
        <v/>
      </c>
      <c r="I71" s="108" t="str">
        <f t="shared" si="26"/>
        <v/>
      </c>
      <c r="L71" s="17" t="str">
        <f t="shared" si="27"/>
        <v>PCB 28</v>
      </c>
      <c r="M71" s="20" t="str">
        <f>IF(VLOOKUP($L71,WB_Kalibratie0[],2,FALSE)="","",VLOOKUP($L71,WB_Kalibratie0[],2,FALSE))</f>
        <v>-</v>
      </c>
      <c r="N71" s="34">
        <f>IF(VLOOKUP($L71,WB_Kalibratie1[],2,FALSE)="","",VLOOKUP($L71,WB_Kalibratie1[],2,FALSE))</f>
        <v>0.24091199999999999</v>
      </c>
      <c r="O71" s="62">
        <f>IF(VLOOKUP($L71,WB_Kalibratie2[],2,FALSE)="","",VLOOKUP($L71,WB_Kalibratie2[],2,FALSE))</f>
        <v>0.60228000000000004</v>
      </c>
      <c r="P71" s="27">
        <f>IF(VLOOKUP($L71,WB_Kalibratie3[],2,FALSE)="","",VLOOKUP($L71,WB_Kalibratie3[],2,FALSE))</f>
        <v>1.2045600000000001</v>
      </c>
      <c r="Q71" s="27">
        <f>IF(VLOOKUP($L71,WB_Kalibratie4[],2,FALSE)="","",VLOOKUP($L71,WB_Kalibratie4[],2,FALSE))</f>
        <v>2.4091200000000002</v>
      </c>
      <c r="R71" s="27">
        <f>IF(VLOOKUP($L71,WB_Kalibratie5[],2,FALSE)="","",VLOOKUP($L71,WB_Kalibratie5[],2,FALSE))</f>
        <v>4.8182400000000003</v>
      </c>
      <c r="S71" s="27" t="str">
        <f>IF(VLOOKUP($L71,WB_Standaard_Hoog[],2,FALSE)="","",VLOOKUP($L71,WB_Standaard_Hoog[],2,FALSE))</f>
        <v/>
      </c>
      <c r="T71" s="27" t="str">
        <f>IF(VLOOKUP($L71,WB_Kalibratie0[],4,FALSE)="","",VLOOKUP($L71,WB_Kalibratie0[],4,FALSE))</f>
        <v/>
      </c>
      <c r="U71" s="27" t="str">
        <f>IF(VLOOKUP($L71,WB_Kalibratie1[],4,FALSE)="","",VLOOKUP($L71,WB_Kalibratie1[],4,FALSE))</f>
        <v/>
      </c>
      <c r="V71" s="27" t="str">
        <f>IF(VLOOKUP($L71,WB_Kalibratie2[],4,FALSE)="","",VLOOKUP($L71,WB_Kalibratie2[],4,FALSE))</f>
        <v/>
      </c>
      <c r="W71" s="27" t="str">
        <f>IF(VLOOKUP($L71,WB_Kalibratie3[],4,FALSE)="","",VLOOKUP($L71,WB_Kalibratie3[],4,FALSE))</f>
        <v/>
      </c>
      <c r="X71" s="27" t="str">
        <f>IF(VLOOKUP($L71,WB_Kalibratie4[],4,FALSE)="","",VLOOKUP($L71,WB_Kalibratie4[],4,FALSE))</f>
        <v/>
      </c>
      <c r="Y71" s="27" t="str">
        <f>IF(VLOOKUP($L71,WB_Kalibratie5[],4,FALSE)="","",VLOOKUP($L71,WB_Kalibratie5[],4,FALSE))</f>
        <v/>
      </c>
      <c r="Z71" s="27" t="str">
        <f>IF(VLOOKUP($L71,WB_Standaard_Hoog[],4,FALSE)="","",VLOOKUP($L71,WB_Standaard_Hoog[],4,FALSE))</f>
        <v/>
      </c>
      <c r="AA71" s="27" t="str">
        <f t="shared" si="28"/>
        <v/>
      </c>
      <c r="AB71" s="20" t="str">
        <f t="shared" si="29"/>
        <v/>
      </c>
      <c r="AC71" s="27" t="str">
        <f t="shared" si="30"/>
        <v/>
      </c>
      <c r="AD71" s="19" t="str">
        <f t="shared" si="31"/>
        <v/>
      </c>
      <c r="AE71" s="100" t="str" cm="1">
        <f t="array" ref="AE71">_xlfn.IFS(Z71="","",
AND(ABS(IF(AD71="",0,AD71)-100)&gt;'Punten verdeling'!$C$29,ABS(IF(AD71="",0,AD71)-100)&lt;='Punten verdeling'!$D$29),WB_Lin_U,
AND(ABS(IF(AD71="",0,AD71)-100)&gt;'Punten verdeling'!C$30,ABS(IF(AD71="",0,AD71)-100)&lt;='Punten verdeling'!D$30),WB_Lin_G,
AND(ABS(IF(AD71="",0,AD71)-100)&gt;'Punten verdeling'!C$31,ABS(IF(AD71="",0,AD71)-100)&lt;='Punten verdeling'!D$31),WB_Lin_V,
ABS(IF(AD71="",0,AD71)-100)&gt;'Punten verdeling'!C$32,WB_Lin_O)</f>
        <v/>
      </c>
    </row>
    <row r="72" spans="2:31" x14ac:dyDescent="0.2">
      <c r="AD72" s="10" t="s">
        <v>23</v>
      </c>
      <c r="AE72" s="112">
        <f>SUM(AE62:AE71)</f>
        <v>0</v>
      </c>
    </row>
    <row r="73" spans="2:31" ht="20.25" x14ac:dyDescent="0.3">
      <c r="B73" s="8" t="s">
        <v>11</v>
      </c>
      <c r="L73" s="4" t="s">
        <v>130</v>
      </c>
    </row>
    <row r="74" spans="2:31" ht="39" thickBot="1" x14ac:dyDescent="0.25">
      <c r="B74" s="14" t="s">
        <v>2</v>
      </c>
      <c r="C74" s="15" t="s">
        <v>70</v>
      </c>
      <c r="D74" s="15" t="s">
        <v>3</v>
      </c>
      <c r="E74" s="15" t="s">
        <v>47</v>
      </c>
      <c r="F74" s="15" t="s">
        <v>48</v>
      </c>
      <c r="G74" s="15" t="s">
        <v>67</v>
      </c>
      <c r="H74" s="36" t="s">
        <v>4</v>
      </c>
      <c r="I74" s="106" t="s">
        <v>5</v>
      </c>
      <c r="L74" s="23" t="s">
        <v>2</v>
      </c>
      <c r="M74" s="22" t="s">
        <v>3</v>
      </c>
      <c r="N74" s="22" t="s">
        <v>129</v>
      </c>
      <c r="P74" s="93"/>
      <c r="Q74" s="91"/>
      <c r="R74" s="92"/>
    </row>
    <row r="75" spans="2:31" ht="13.5" thickTop="1" x14ac:dyDescent="0.2">
      <c r="B75" s="13" t="str">
        <f>$B$10</f>
        <v>44-DDD</v>
      </c>
      <c r="C75" s="20">
        <f>IF(VLOOKUP(WB_Kalibratie5[[#This Row],[Component]],Concentraties!$B$8:$L$17,7,FALSE)="","",VLOOKUP(WB_Kalibratie5[[#This Row],[Component]],Concentraties!$B$8:$L$17,7,FALSE))</f>
        <v>4.7664</v>
      </c>
      <c r="D75" s="37"/>
      <c r="E75" s="39"/>
      <c r="F75" s="39"/>
      <c r="G75" s="37"/>
      <c r="H75" s="20" t="str">
        <f t="shared" ref="H75:H84" si="32">IFERROR(IF(C75="-","N.v.t.",IF(G75="","",100*G75/C75)),"")</f>
        <v/>
      </c>
      <c r="I75" s="107" t="str">
        <f t="shared" ref="I75:I84" si="33">IFERROR(MIN(E75,F75)/MAX(E75,F75),"")</f>
        <v/>
      </c>
      <c r="L75" s="18" t="str">
        <f>B88</f>
        <v>pcb 31</v>
      </c>
      <c r="M75" s="20" t="str">
        <f>IF(VLOOKUP($L75,ScheidingPCB[],3,FALSE)="","",VLOOKUP($L75,ScheidingPCB[],3,FALSE))</f>
        <v/>
      </c>
      <c r="N75" s="20" t="str">
        <f>IF(VLOOKUP($L75,ScheidingPCB[],4,FALSE)="","",VLOOKUP($L75,ScheidingPCB[],4,FALSE))</f>
        <v/>
      </c>
    </row>
    <row r="76" spans="2:31" x14ac:dyDescent="0.2">
      <c r="B76" s="12" t="str">
        <f>$B$11</f>
        <v>Antraceen</v>
      </c>
      <c r="C76" s="20">
        <f>IF(VLOOKUP(WB_Kalibratie5[[#This Row],[Component]],Concentraties!$B$8:$L$17,7,FALSE)="","",VLOOKUP(WB_Kalibratie5[[#This Row],[Component]],Concentraties!$B$8:$L$17,7,FALSE))</f>
        <v>31.996799999999997</v>
      </c>
      <c r="D76" s="38"/>
      <c r="E76" s="39"/>
      <c r="F76" s="40"/>
      <c r="G76" s="37"/>
      <c r="H76" s="20" t="str">
        <f t="shared" si="32"/>
        <v/>
      </c>
      <c r="I76" s="108" t="str">
        <f t="shared" si="33"/>
        <v/>
      </c>
      <c r="L76" s="18" t="str">
        <f>B89</f>
        <v>pcb 28</v>
      </c>
      <c r="M76" s="20" t="str">
        <f>IF(VLOOKUP($L76,ScheidingPCB[],3,FALSE)="","",VLOOKUP($L76,ScheidingPCB[],3,FALSE))</f>
        <v/>
      </c>
      <c r="N76" s="20" t="str">
        <f>IF(VLOOKUP($L76,ScheidingPCB[],4,FALSE)="","",VLOOKUP($L76,ScheidingPCB[],4,FALSE))</f>
        <v/>
      </c>
    </row>
    <row r="77" spans="2:31" x14ac:dyDescent="0.2">
      <c r="B77" s="12" t="str">
        <f>$B$12</f>
        <v>Benzo(a)pyreen</v>
      </c>
      <c r="C77" s="20">
        <f>IF(VLOOKUP(WB_Kalibratie5[[#This Row],[Component]],Concentraties!$B$8:$L$17,7,FALSE)="","",VLOOKUP(WB_Kalibratie5[[#This Row],[Component]],Concentraties!$B$8:$L$17,7,FALSE))</f>
        <v>32</v>
      </c>
      <c r="D77" s="38"/>
      <c r="E77" s="39"/>
      <c r="F77" s="40"/>
      <c r="G77" s="37"/>
      <c r="H77" s="20" t="str">
        <f t="shared" si="32"/>
        <v/>
      </c>
      <c r="I77" s="108" t="str">
        <f t="shared" si="33"/>
        <v/>
      </c>
    </row>
    <row r="78" spans="2:31" x14ac:dyDescent="0.2">
      <c r="B78" s="12" t="str">
        <f>$B$13</f>
        <v>Benzo(ghi)peryleen</v>
      </c>
      <c r="C78" s="20">
        <f>IF(VLOOKUP(WB_Kalibratie5[[#This Row],[Component]],Concentraties!$B$8:$L$17,7,FALSE)="","",VLOOKUP(WB_Kalibratie5[[#This Row],[Component]],Concentraties!$B$8:$L$17,7,FALSE))</f>
        <v>32</v>
      </c>
      <c r="D78" s="38"/>
      <c r="E78" s="39"/>
      <c r="F78" s="40"/>
      <c r="G78" s="37"/>
      <c r="H78" s="20" t="str">
        <f t="shared" si="32"/>
        <v/>
      </c>
      <c r="I78" s="108" t="str">
        <f t="shared" si="33"/>
        <v/>
      </c>
      <c r="L78" s="89" t="s">
        <v>131</v>
      </c>
      <c r="M78" s="90" t="str">
        <f>IFERROR(2*((ABS(M76-M75))/(N75+N76)),"")</f>
        <v/>
      </c>
      <c r="N78" s="26" t="str">
        <f>IF(AND(M78&gt;0.5,M78&lt;&gt;""),"Voldoet","Voldoet niet")</f>
        <v>Voldoet niet</v>
      </c>
    </row>
    <row r="79" spans="2:31" x14ac:dyDescent="0.2">
      <c r="B79" s="12" t="str">
        <f>$B$14</f>
        <v>Cis-chloordaan</v>
      </c>
      <c r="C79" s="20">
        <f>IF(VLOOKUP(WB_Kalibratie5[[#This Row],[Component]],Concentraties!$B$8:$L$17,7,FALSE)="","",VLOOKUP(WB_Kalibratie5[[#This Row],[Component]],Concentraties!$B$8:$L$17,7,FALSE))</f>
        <v>4.8585599999999998</v>
      </c>
      <c r="D79" s="38"/>
      <c r="E79" s="39"/>
      <c r="F79" s="40"/>
      <c r="G79" s="37"/>
      <c r="H79" s="20" t="str">
        <f t="shared" si="32"/>
        <v/>
      </c>
      <c r="I79" s="108" t="str">
        <f t="shared" si="33"/>
        <v/>
      </c>
      <c r="L79" s="94" t="s">
        <v>132</v>
      </c>
    </row>
    <row r="80" spans="2:31" x14ac:dyDescent="0.2">
      <c r="B80" s="12" t="str">
        <f>$B$15</f>
        <v>Endrin</v>
      </c>
      <c r="C80" s="20">
        <f>IF(VLOOKUP(WB_Kalibratie5[[#This Row],[Component]],Concentraties!$B$8:$L$17,7,FALSE)="","",VLOOKUP(WB_Kalibratie5[[#This Row],[Component]],Concentraties!$B$8:$L$17,7,FALSE))</f>
        <v>4.8057600000000003</v>
      </c>
      <c r="D80" s="38"/>
      <c r="E80" s="39"/>
      <c r="F80" s="40"/>
      <c r="G80" s="37"/>
      <c r="H80" s="20" t="str">
        <f t="shared" si="32"/>
        <v/>
      </c>
      <c r="I80" s="108" t="str">
        <f t="shared" si="33"/>
        <v/>
      </c>
    </row>
    <row r="81" spans="2:9" x14ac:dyDescent="0.2">
      <c r="B81" s="12" t="str">
        <f>$B$16</f>
        <v>Hexachloorbutadieen</v>
      </c>
      <c r="C81" s="20">
        <f>IF(VLOOKUP(WB_Kalibratie5[[#This Row],[Component]],Concentraties!$B$8:$L$17,7,FALSE)="","",VLOOKUP(WB_Kalibratie5[[#This Row],[Component]],Concentraties!$B$8:$L$17,7,FALSE))</f>
        <v>4.8071999999999999</v>
      </c>
      <c r="D81" s="38"/>
      <c r="E81" s="39"/>
      <c r="F81" s="40"/>
      <c r="G81" s="37"/>
      <c r="H81" s="20" t="str">
        <f t="shared" si="32"/>
        <v/>
      </c>
      <c r="I81" s="108" t="str">
        <f t="shared" si="33"/>
        <v/>
      </c>
    </row>
    <row r="82" spans="2:9" x14ac:dyDescent="0.2">
      <c r="B82" s="12" t="str">
        <f>$B$17</f>
        <v>Naftaleen</v>
      </c>
      <c r="C82" s="20">
        <f>IF(VLOOKUP(WB_Kalibratie5[[#This Row],[Component]],Concentraties!$B$8:$L$17,7,FALSE)="","",VLOOKUP(WB_Kalibratie5[[#This Row],[Component]],Concentraties!$B$8:$L$17,7,FALSE))</f>
        <v>32</v>
      </c>
      <c r="D82" s="38"/>
      <c r="E82" s="39"/>
      <c r="F82" s="40"/>
      <c r="G82" s="37"/>
      <c r="H82" s="20" t="str">
        <f t="shared" si="32"/>
        <v/>
      </c>
      <c r="I82" s="108" t="str">
        <f t="shared" si="33"/>
        <v/>
      </c>
    </row>
    <row r="83" spans="2:9" x14ac:dyDescent="0.2">
      <c r="B83" s="12" t="str">
        <f>$B$18</f>
        <v>Pentachloorbenzeen</v>
      </c>
      <c r="C83" s="20">
        <f>IF(VLOOKUP(WB_Kalibratie5[[#This Row],[Component]],Concentraties!$B$8:$L$17,7,FALSE)="","",VLOOKUP(WB_Kalibratie5[[#This Row],[Component]],Concentraties!$B$8:$L$17,7,FALSE))</f>
        <v>4.8091200000000001</v>
      </c>
      <c r="D83" s="38"/>
      <c r="E83" s="39"/>
      <c r="F83" s="40"/>
      <c r="G83" s="37"/>
      <c r="H83" s="20" t="str">
        <f t="shared" si="32"/>
        <v/>
      </c>
      <c r="I83" s="108" t="str">
        <f t="shared" si="33"/>
        <v/>
      </c>
    </row>
    <row r="84" spans="2:9" x14ac:dyDescent="0.2">
      <c r="B84" s="12" t="str">
        <f>$B$19</f>
        <v>PCB 28</v>
      </c>
      <c r="C84" s="20">
        <f>IF(VLOOKUP(WB_Kalibratie5[[#This Row],[Component]],Concentraties!$B$8:$L$17,7,FALSE)="","",VLOOKUP(WB_Kalibratie5[[#This Row],[Component]],Concentraties!$B$8:$L$17,7,FALSE))</f>
        <v>4.8182400000000003</v>
      </c>
      <c r="D84" s="38"/>
      <c r="E84" s="39"/>
      <c r="F84" s="40"/>
      <c r="G84" s="37"/>
      <c r="H84" s="20" t="str">
        <f t="shared" si="32"/>
        <v/>
      </c>
      <c r="I84" s="108" t="str">
        <f t="shared" si="33"/>
        <v/>
      </c>
    </row>
    <row r="86" spans="2:9" ht="20.25" x14ac:dyDescent="0.3">
      <c r="B86" s="8" t="s">
        <v>168</v>
      </c>
    </row>
    <row r="87" spans="2:9" ht="39" thickBot="1" x14ac:dyDescent="0.25">
      <c r="B87" s="14" t="s">
        <v>2</v>
      </c>
      <c r="C87" s="15" t="s">
        <v>70</v>
      </c>
      <c r="D87" s="15" t="s">
        <v>3</v>
      </c>
      <c r="E87" s="15" t="s">
        <v>129</v>
      </c>
      <c r="F87" s="85" t="s">
        <v>108</v>
      </c>
      <c r="G87" s="85" t="s">
        <v>109</v>
      </c>
      <c r="H87" s="36" t="s">
        <v>4</v>
      </c>
      <c r="I87" s="106" t="s">
        <v>5</v>
      </c>
    </row>
    <row r="88" spans="2:9" ht="13.5" thickTop="1" x14ac:dyDescent="0.2">
      <c r="B88" s="13" t="s">
        <v>102</v>
      </c>
      <c r="C88" s="20" t="str">
        <f>IFERROR(IF(VLOOKUP(ScheidingPCB[[#This Row],[Component]],Concentraties!$B$8:$L$17,2,FALSE)="","",VLOOKUP(ScheidingPCB[[#This Row],[Component]],Concentraties!$B$8:$L$17,2,FALSE)),"-")</f>
        <v>-</v>
      </c>
      <c r="D88" s="37"/>
      <c r="E88" s="113"/>
      <c r="F88" s="39" t="s">
        <v>107</v>
      </c>
      <c r="G88" s="39" t="s">
        <v>107</v>
      </c>
      <c r="H88" s="20" t="str">
        <f>IFERROR(IF(C88="-","N.v.t.",IF(G88="","",100*G88/C88)),"")</f>
        <v>N.v.t.</v>
      </c>
      <c r="I88" s="107" t="s">
        <v>107</v>
      </c>
    </row>
    <row r="89" spans="2:9" x14ac:dyDescent="0.2">
      <c r="B89" s="12" t="s">
        <v>103</v>
      </c>
      <c r="C89" s="20" t="str">
        <f>IFERROR(IF(VLOOKUP(ScheidingPCB[[#This Row],[Component]],Concentraties!$B$8:$L$17,2,FALSE)="","",VLOOKUP(ScheidingPCB[[#This Row],[Component]],Concentraties!$B$8:$L$17,2,FALSE)),"-")</f>
        <v>-</v>
      </c>
      <c r="D89" s="38"/>
      <c r="E89" s="114"/>
      <c r="F89" s="39" t="s">
        <v>107</v>
      </c>
      <c r="G89" s="39" t="s">
        <v>107</v>
      </c>
      <c r="H89" s="20" t="str">
        <f>IFERROR(IF(C89="-","N.v.t.",IF(G89="","",100*G89/C89)),"")</f>
        <v>N.v.t.</v>
      </c>
      <c r="I89" s="107" t="s">
        <v>107</v>
      </c>
    </row>
    <row r="90" spans="2:9" x14ac:dyDescent="0.2">
      <c r="B90" s="12"/>
      <c r="C90" s="20" t="str">
        <f>IFERROR(IF(VLOOKUP(ScheidingPCB[[#This Row],[Component]],Concentraties!$B$8:$L$17,2,FALSE)="","",VLOOKUP(ScheidingPCB[[#This Row],[Component]],Concentraties!$B$8:$L$17,2,FALSE)),"-")</f>
        <v>-</v>
      </c>
      <c r="D90" s="38"/>
      <c r="E90" s="40"/>
      <c r="F90" s="39" t="s">
        <v>107</v>
      </c>
      <c r="G90" s="39" t="s">
        <v>107</v>
      </c>
      <c r="H90" s="20" t="str">
        <f t="shared" ref="H90:H97" si="34">IFERROR(IF(C90="-","N.v.t.",IF(G90="","",100*G90/C90)),"")</f>
        <v>N.v.t.</v>
      </c>
      <c r="I90" s="107" t="s">
        <v>107</v>
      </c>
    </row>
    <row r="91" spans="2:9" x14ac:dyDescent="0.2">
      <c r="B91" s="12"/>
      <c r="C91" s="20" t="str">
        <f>IFERROR(IF(VLOOKUP(ScheidingPCB[[#This Row],[Component]],Concentraties!$B$8:$L$17,2,FALSE)="","",VLOOKUP(ScheidingPCB[[#This Row],[Component]],Concentraties!$B$8:$L$17,2,FALSE)),"-")</f>
        <v>-</v>
      </c>
      <c r="D91" s="38"/>
      <c r="E91" s="40"/>
      <c r="F91" s="39" t="s">
        <v>107</v>
      </c>
      <c r="G91" s="39" t="s">
        <v>107</v>
      </c>
      <c r="H91" s="20" t="str">
        <f t="shared" si="34"/>
        <v>N.v.t.</v>
      </c>
      <c r="I91" s="107" t="s">
        <v>107</v>
      </c>
    </row>
    <row r="92" spans="2:9" x14ac:dyDescent="0.2">
      <c r="B92" s="12"/>
      <c r="C92" s="20" t="str">
        <f>IFERROR(IF(VLOOKUP(ScheidingPCB[[#This Row],[Component]],Concentraties!$B$8:$L$17,2,FALSE)="","",VLOOKUP(ScheidingPCB[[#This Row],[Component]],Concentraties!$B$8:$L$17,2,FALSE)),"-")</f>
        <v>-</v>
      </c>
      <c r="D92" s="38"/>
      <c r="E92" s="40"/>
      <c r="F92" s="39" t="s">
        <v>107</v>
      </c>
      <c r="G92" s="39" t="s">
        <v>107</v>
      </c>
      <c r="H92" s="20" t="str">
        <f t="shared" si="34"/>
        <v>N.v.t.</v>
      </c>
      <c r="I92" s="107" t="s">
        <v>107</v>
      </c>
    </row>
    <row r="93" spans="2:9" x14ac:dyDescent="0.2">
      <c r="B93" s="12"/>
      <c r="C93" s="20" t="str">
        <f>IFERROR(IF(VLOOKUP(ScheidingPCB[[#This Row],[Component]],Concentraties!$B$8:$L$17,2,FALSE)="","",VLOOKUP(ScheidingPCB[[#This Row],[Component]],Concentraties!$B$8:$L$17,2,FALSE)),"-")</f>
        <v>-</v>
      </c>
      <c r="D93" s="38"/>
      <c r="E93" s="40"/>
      <c r="F93" s="39" t="s">
        <v>107</v>
      </c>
      <c r="G93" s="39" t="s">
        <v>107</v>
      </c>
      <c r="H93" s="20" t="str">
        <f t="shared" si="34"/>
        <v>N.v.t.</v>
      </c>
      <c r="I93" s="107" t="s">
        <v>107</v>
      </c>
    </row>
    <row r="94" spans="2:9" x14ac:dyDescent="0.2">
      <c r="B94" s="12"/>
      <c r="C94" s="20" t="str">
        <f>IFERROR(IF(VLOOKUP(ScheidingPCB[[#This Row],[Component]],Concentraties!$B$8:$L$17,2,FALSE)="","",VLOOKUP(ScheidingPCB[[#This Row],[Component]],Concentraties!$B$8:$L$17,2,FALSE)),"-")</f>
        <v>-</v>
      </c>
      <c r="D94" s="38"/>
      <c r="E94" s="40"/>
      <c r="F94" s="39" t="s">
        <v>107</v>
      </c>
      <c r="G94" s="39" t="s">
        <v>107</v>
      </c>
      <c r="H94" s="20" t="str">
        <f t="shared" si="34"/>
        <v>N.v.t.</v>
      </c>
      <c r="I94" s="107" t="s">
        <v>107</v>
      </c>
    </row>
    <row r="95" spans="2:9" x14ac:dyDescent="0.2">
      <c r="B95" s="12"/>
      <c r="C95" s="20" t="str">
        <f>IFERROR(IF(VLOOKUP(ScheidingPCB[[#This Row],[Component]],Concentraties!$B$8:$L$17,2,FALSE)="","",VLOOKUP(ScheidingPCB[[#This Row],[Component]],Concentraties!$B$8:$L$17,2,FALSE)),"-")</f>
        <v>-</v>
      </c>
      <c r="D95" s="38"/>
      <c r="E95" s="40"/>
      <c r="F95" s="39" t="s">
        <v>107</v>
      </c>
      <c r="G95" s="39" t="s">
        <v>107</v>
      </c>
      <c r="H95" s="20" t="str">
        <f t="shared" si="34"/>
        <v>N.v.t.</v>
      </c>
      <c r="I95" s="107" t="s">
        <v>107</v>
      </c>
    </row>
    <row r="96" spans="2:9" x14ac:dyDescent="0.2">
      <c r="B96" s="12"/>
      <c r="C96" s="20" t="str">
        <f>IFERROR(IF(VLOOKUP(ScheidingPCB[[#This Row],[Component]],Concentraties!$B$8:$L$17,2,FALSE)="","",VLOOKUP(ScheidingPCB[[#This Row],[Component]],Concentraties!$B$8:$L$17,2,FALSE)),"-")</f>
        <v>-</v>
      </c>
      <c r="D96" s="38"/>
      <c r="E96" s="40"/>
      <c r="F96" s="39" t="s">
        <v>107</v>
      </c>
      <c r="G96" s="39" t="s">
        <v>107</v>
      </c>
      <c r="H96" s="20" t="str">
        <f t="shared" si="34"/>
        <v>N.v.t.</v>
      </c>
      <c r="I96" s="107" t="s">
        <v>107</v>
      </c>
    </row>
    <row r="97" spans="2:10" x14ac:dyDescent="0.2">
      <c r="B97" s="78"/>
      <c r="C97" s="20" t="str">
        <f>IFERROR(IF(VLOOKUP(ScheidingPCB[[#This Row],[Component]],Concentraties!$B$8:$L$17,2,FALSE)="","",VLOOKUP(ScheidingPCB[[#This Row],[Component]],Concentraties!$B$8:$L$17,2,FALSE)),"-")</f>
        <v>-</v>
      </c>
      <c r="D97" s="79"/>
      <c r="E97" s="80"/>
      <c r="F97" s="39" t="s">
        <v>107</v>
      </c>
      <c r="G97" s="39" t="s">
        <v>107</v>
      </c>
      <c r="H97" s="20" t="str">
        <f t="shared" si="34"/>
        <v>N.v.t.</v>
      </c>
      <c r="I97" s="107" t="s">
        <v>107</v>
      </c>
    </row>
    <row r="99" spans="2:10" ht="20.25" x14ac:dyDescent="0.3">
      <c r="B99" s="8" t="s">
        <v>94</v>
      </c>
    </row>
    <row r="100" spans="2:10" ht="39" thickBot="1" x14ac:dyDescent="0.25">
      <c r="B100" s="14" t="s">
        <v>2</v>
      </c>
      <c r="C100" s="15" t="s">
        <v>70</v>
      </c>
      <c r="D100" s="15" t="s">
        <v>3</v>
      </c>
      <c r="E100" s="15" t="s">
        <v>47</v>
      </c>
      <c r="F100" s="15" t="s">
        <v>48</v>
      </c>
      <c r="G100" s="15" t="s">
        <v>67</v>
      </c>
      <c r="H100" s="36" t="s">
        <v>4</v>
      </c>
      <c r="I100" s="106" t="s">
        <v>5</v>
      </c>
    </row>
    <row r="101" spans="2:10" ht="13.5" thickTop="1" x14ac:dyDescent="0.2">
      <c r="B101" s="13" t="str">
        <f>$B$10</f>
        <v>44-DDD</v>
      </c>
      <c r="C101" s="20" t="str">
        <f>IF(VLOOKUP(SpoelHexaan1[[#This Row],[Component]],Concentraties!$B$8:$L$17,2,FALSE)="","",VLOOKUP(SpoelHexaan1[[#This Row],[Component]],Concentraties!$B$8:$L$17,2,FALSE))</f>
        <v>-</v>
      </c>
      <c r="D101" s="37"/>
      <c r="E101" s="39"/>
      <c r="F101" s="39"/>
      <c r="G101" s="37"/>
      <c r="H101" s="20" t="str">
        <f t="shared" ref="H101:H110" si="35">IFERROR(IF(C101="-","N.v.t.",IF(G101="","",100*G101/C101)),"")</f>
        <v>N.v.t.</v>
      </c>
      <c r="I101" s="107" t="str">
        <f t="shared" ref="I101:I110" si="36">IFERROR(MIN(E101,F101)/MAX(E101,F101),"")</f>
        <v/>
      </c>
    </row>
    <row r="102" spans="2:10" x14ac:dyDescent="0.2">
      <c r="B102" s="12" t="str">
        <f>$B$11</f>
        <v>Antraceen</v>
      </c>
      <c r="C102" s="20" t="str">
        <f>IF(VLOOKUP(SpoelHexaan1[[#This Row],[Component]],Concentraties!$B$8:$L$17,2,FALSE)="","",VLOOKUP(SpoelHexaan1[[#This Row],[Component]],Concentraties!$B$8:$L$17,2,FALSE))</f>
        <v>-</v>
      </c>
      <c r="D102" s="38"/>
      <c r="E102" s="40"/>
      <c r="F102" s="40"/>
      <c r="G102" s="37"/>
      <c r="H102" s="20" t="str">
        <f t="shared" si="35"/>
        <v>N.v.t.</v>
      </c>
      <c r="I102" s="108" t="str">
        <f t="shared" si="36"/>
        <v/>
      </c>
    </row>
    <row r="103" spans="2:10" x14ac:dyDescent="0.2">
      <c r="B103" s="12" t="str">
        <f>$B$12</f>
        <v>Benzo(a)pyreen</v>
      </c>
      <c r="C103" s="20" t="str">
        <f>IF(VLOOKUP(SpoelHexaan1[[#This Row],[Component]],Concentraties!$B$8:$L$17,2,FALSE)="","",VLOOKUP(SpoelHexaan1[[#This Row],[Component]],Concentraties!$B$8:$L$17,2,FALSE))</f>
        <v>-</v>
      </c>
      <c r="D103" s="38"/>
      <c r="E103" s="40"/>
      <c r="F103" s="40"/>
      <c r="G103" s="37"/>
      <c r="H103" s="20" t="str">
        <f t="shared" si="35"/>
        <v>N.v.t.</v>
      </c>
      <c r="I103" s="108" t="str">
        <f t="shared" si="36"/>
        <v/>
      </c>
    </row>
    <row r="104" spans="2:10" x14ac:dyDescent="0.2">
      <c r="B104" s="12" t="str">
        <f>$B$13</f>
        <v>Benzo(ghi)peryleen</v>
      </c>
      <c r="C104" s="20" t="str">
        <f>IF(VLOOKUP(SpoelHexaan1[[#This Row],[Component]],Concentraties!$B$8:$L$17,2,FALSE)="","",VLOOKUP(SpoelHexaan1[[#This Row],[Component]],Concentraties!$B$8:$L$17,2,FALSE))</f>
        <v>-</v>
      </c>
      <c r="D104" s="38"/>
      <c r="E104" s="40"/>
      <c r="F104" s="40"/>
      <c r="G104" s="37"/>
      <c r="H104" s="20" t="str">
        <f t="shared" si="35"/>
        <v>N.v.t.</v>
      </c>
      <c r="I104" s="108" t="str">
        <f t="shared" si="36"/>
        <v/>
      </c>
    </row>
    <row r="105" spans="2:10" x14ac:dyDescent="0.2">
      <c r="B105" s="12" t="str">
        <f>$B$14</f>
        <v>Cis-chloordaan</v>
      </c>
      <c r="C105" s="20" t="str">
        <f>IF(VLOOKUP(SpoelHexaan1[[#This Row],[Component]],Concentraties!$B$8:$L$17,2,FALSE)="","",VLOOKUP(SpoelHexaan1[[#This Row],[Component]],Concentraties!$B$8:$L$17,2,FALSE))</f>
        <v>-</v>
      </c>
      <c r="D105" s="38"/>
      <c r="E105" s="40"/>
      <c r="F105" s="40"/>
      <c r="G105" s="37"/>
      <c r="H105" s="20" t="str">
        <f t="shared" si="35"/>
        <v>N.v.t.</v>
      </c>
      <c r="I105" s="108" t="str">
        <f t="shared" si="36"/>
        <v/>
      </c>
    </row>
    <row r="106" spans="2:10" x14ac:dyDescent="0.2">
      <c r="B106" s="12" t="str">
        <f>$B$15</f>
        <v>Endrin</v>
      </c>
      <c r="C106" s="20" t="str">
        <f>IF(VLOOKUP(SpoelHexaan1[[#This Row],[Component]],Concentraties!$B$8:$L$17,2,FALSE)="","",VLOOKUP(SpoelHexaan1[[#This Row],[Component]],Concentraties!$B$8:$L$17,2,FALSE))</f>
        <v>-</v>
      </c>
      <c r="D106" s="38"/>
      <c r="E106" s="40"/>
      <c r="F106" s="40"/>
      <c r="G106" s="37"/>
      <c r="H106" s="20" t="str">
        <f t="shared" si="35"/>
        <v>N.v.t.</v>
      </c>
      <c r="I106" s="108" t="str">
        <f t="shared" si="36"/>
        <v/>
      </c>
    </row>
    <row r="107" spans="2:10" x14ac:dyDescent="0.2">
      <c r="B107" s="12" t="str">
        <f>$B$16</f>
        <v>Hexachloorbutadieen</v>
      </c>
      <c r="C107" s="20" t="str">
        <f>IF(VLOOKUP(SpoelHexaan1[[#This Row],[Component]],Concentraties!$B$8:$L$17,2,FALSE)="","",VLOOKUP(SpoelHexaan1[[#This Row],[Component]],Concentraties!$B$8:$L$17,2,FALSE))</f>
        <v>-</v>
      </c>
      <c r="D107" s="38"/>
      <c r="E107" s="40"/>
      <c r="F107" s="40"/>
      <c r="G107" s="37"/>
      <c r="H107" s="20" t="str">
        <f t="shared" si="35"/>
        <v>N.v.t.</v>
      </c>
      <c r="I107" s="108" t="str">
        <f t="shared" si="36"/>
        <v/>
      </c>
    </row>
    <row r="108" spans="2:10" x14ac:dyDescent="0.2">
      <c r="B108" s="12" t="str">
        <f>$B$17</f>
        <v>Naftaleen</v>
      </c>
      <c r="C108" s="20" t="str">
        <f>IF(VLOOKUP(SpoelHexaan1[[#This Row],[Component]],Concentraties!$B$8:$L$17,2,FALSE)="","",VLOOKUP(SpoelHexaan1[[#This Row],[Component]],Concentraties!$B$8:$L$17,2,FALSE))</f>
        <v>-</v>
      </c>
      <c r="D108" s="38"/>
      <c r="E108" s="40"/>
      <c r="F108" s="40"/>
      <c r="G108" s="37"/>
      <c r="H108" s="20" t="str">
        <f t="shared" si="35"/>
        <v>N.v.t.</v>
      </c>
      <c r="I108" s="108" t="str">
        <f t="shared" si="36"/>
        <v/>
      </c>
    </row>
    <row r="109" spans="2:10" x14ac:dyDescent="0.2">
      <c r="B109" s="12" t="str">
        <f>$B$18</f>
        <v>Pentachloorbenzeen</v>
      </c>
      <c r="C109" s="20" t="str">
        <f>IF(VLOOKUP(SpoelHexaan1[[#This Row],[Component]],Concentraties!$B$8:$L$17,2,FALSE)="","",VLOOKUP(SpoelHexaan1[[#This Row],[Component]],Concentraties!$B$8:$L$17,2,FALSE))</f>
        <v>-</v>
      </c>
      <c r="D109" s="38"/>
      <c r="E109" s="40"/>
      <c r="F109" s="40"/>
      <c r="G109" s="37"/>
      <c r="H109" s="20" t="str">
        <f t="shared" si="35"/>
        <v>N.v.t.</v>
      </c>
      <c r="I109" s="108" t="str">
        <f t="shared" si="36"/>
        <v/>
      </c>
    </row>
    <row r="110" spans="2:10" x14ac:dyDescent="0.2">
      <c r="B110" s="78" t="str">
        <f>$B$19</f>
        <v>PCB 28</v>
      </c>
      <c r="C110" s="20" t="str">
        <f>IF(VLOOKUP(SpoelHexaan1[[#This Row],[Component]],Concentraties!$B$8:$L$17,2,FALSE)="","",VLOOKUP(SpoelHexaan1[[#This Row],[Component]],Concentraties!$B$8:$L$17,2,FALSE))</f>
        <v>-</v>
      </c>
      <c r="D110" s="79"/>
      <c r="E110" s="80"/>
      <c r="F110" s="80"/>
      <c r="G110" s="81"/>
      <c r="H110" s="20" t="str">
        <f t="shared" si="35"/>
        <v>N.v.t.</v>
      </c>
      <c r="I110" s="111" t="str">
        <f t="shared" si="36"/>
        <v/>
      </c>
    </row>
    <row r="111" spans="2:10" x14ac:dyDescent="0.2">
      <c r="J111" s="65"/>
    </row>
    <row r="112" spans="2:10" ht="20.25" x14ac:dyDescent="0.3">
      <c r="B112" s="8" t="s">
        <v>93</v>
      </c>
    </row>
    <row r="113" spans="2:10" ht="39" thickBot="1" x14ac:dyDescent="0.25">
      <c r="B113" s="14" t="s">
        <v>2</v>
      </c>
      <c r="C113" s="15" t="s">
        <v>70</v>
      </c>
      <c r="D113" s="15" t="s">
        <v>3</v>
      </c>
      <c r="E113" s="15" t="s">
        <v>47</v>
      </c>
      <c r="F113" s="15" t="s">
        <v>48</v>
      </c>
      <c r="G113" s="15" t="s">
        <v>67</v>
      </c>
      <c r="H113" s="36" t="s">
        <v>4</v>
      </c>
      <c r="I113" s="106" t="s">
        <v>5</v>
      </c>
    </row>
    <row r="114" spans="2:10" ht="13.5" thickTop="1" x14ac:dyDescent="0.2">
      <c r="B114" s="13" t="str">
        <f>$B$10</f>
        <v>44-DDD</v>
      </c>
      <c r="C114" s="20" t="str">
        <f>IF(VLOOKUP(BlancoHexaan[[#This Row],[Component]],Concentraties!$B$8:$L$17,2,FALSE)="","",VLOOKUP(BlancoHexaan[[#This Row],[Component]],Concentraties!$B$8:$L$17,2,FALSE))</f>
        <v>-</v>
      </c>
      <c r="D114" s="37"/>
      <c r="E114" s="39"/>
      <c r="F114" s="39"/>
      <c r="G114" s="37"/>
      <c r="H114" s="20" t="str">
        <f t="shared" ref="H114:H123" si="37">IFERROR(IF(C114="-","N.v.t.",IF(G114="","",100*G114/C114)),"")</f>
        <v>N.v.t.</v>
      </c>
      <c r="I114" s="107" t="str">
        <f t="shared" ref="I114:I123" si="38">IFERROR(MIN(E114,F114)/MAX(E114,F114),"")</f>
        <v/>
      </c>
    </row>
    <row r="115" spans="2:10" x14ac:dyDescent="0.2">
      <c r="B115" s="12" t="str">
        <f>$B$11</f>
        <v>Antraceen</v>
      </c>
      <c r="C115" s="20" t="str">
        <f>IF(VLOOKUP(BlancoHexaan[[#This Row],[Component]],Concentraties!$B$8:$L$17,2,FALSE)="","",VLOOKUP(BlancoHexaan[[#This Row],[Component]],Concentraties!$B$8:$L$17,2,FALSE))</f>
        <v>-</v>
      </c>
      <c r="D115" s="38"/>
      <c r="E115" s="40"/>
      <c r="F115" s="40"/>
      <c r="G115" s="37"/>
      <c r="H115" s="20" t="str">
        <f t="shared" si="37"/>
        <v>N.v.t.</v>
      </c>
      <c r="I115" s="108" t="str">
        <f t="shared" si="38"/>
        <v/>
      </c>
    </row>
    <row r="116" spans="2:10" x14ac:dyDescent="0.2">
      <c r="B116" s="12" t="str">
        <f>$B$12</f>
        <v>Benzo(a)pyreen</v>
      </c>
      <c r="C116" s="20" t="str">
        <f>IF(VLOOKUP(BlancoHexaan[[#This Row],[Component]],Concentraties!$B$8:$L$17,2,FALSE)="","",VLOOKUP(BlancoHexaan[[#This Row],[Component]],Concentraties!$B$8:$L$17,2,FALSE))</f>
        <v>-</v>
      </c>
      <c r="D116" s="38"/>
      <c r="E116" s="40"/>
      <c r="F116" s="40"/>
      <c r="G116" s="37"/>
      <c r="H116" s="20" t="str">
        <f t="shared" si="37"/>
        <v>N.v.t.</v>
      </c>
      <c r="I116" s="108" t="str">
        <f t="shared" si="38"/>
        <v/>
      </c>
    </row>
    <row r="117" spans="2:10" x14ac:dyDescent="0.2">
      <c r="B117" s="12" t="str">
        <f>$B$13</f>
        <v>Benzo(ghi)peryleen</v>
      </c>
      <c r="C117" s="20" t="str">
        <f>IF(VLOOKUP(BlancoHexaan[[#This Row],[Component]],Concentraties!$B$8:$L$17,2,FALSE)="","",VLOOKUP(BlancoHexaan[[#This Row],[Component]],Concentraties!$B$8:$L$17,2,FALSE))</f>
        <v>-</v>
      </c>
      <c r="D117" s="38"/>
      <c r="E117" s="40"/>
      <c r="F117" s="40"/>
      <c r="G117" s="37"/>
      <c r="H117" s="20" t="str">
        <f t="shared" si="37"/>
        <v>N.v.t.</v>
      </c>
      <c r="I117" s="108" t="str">
        <f t="shared" si="38"/>
        <v/>
      </c>
    </row>
    <row r="118" spans="2:10" x14ac:dyDescent="0.2">
      <c r="B118" s="12" t="str">
        <f>$B$14</f>
        <v>Cis-chloordaan</v>
      </c>
      <c r="C118" s="20" t="str">
        <f>IF(VLOOKUP(BlancoHexaan[[#This Row],[Component]],Concentraties!$B$8:$L$17,2,FALSE)="","",VLOOKUP(BlancoHexaan[[#This Row],[Component]],Concentraties!$B$8:$L$17,2,FALSE))</f>
        <v>-</v>
      </c>
      <c r="D118" s="38"/>
      <c r="E118" s="40"/>
      <c r="F118" s="40"/>
      <c r="G118" s="37"/>
      <c r="H118" s="20" t="str">
        <f t="shared" si="37"/>
        <v>N.v.t.</v>
      </c>
      <c r="I118" s="108" t="str">
        <f t="shared" si="38"/>
        <v/>
      </c>
    </row>
    <row r="119" spans="2:10" x14ac:dyDescent="0.2">
      <c r="B119" s="12" t="str">
        <f>$B$15</f>
        <v>Endrin</v>
      </c>
      <c r="C119" s="20" t="str">
        <f>IF(VLOOKUP(BlancoHexaan[[#This Row],[Component]],Concentraties!$B$8:$L$17,2,FALSE)="","",VLOOKUP(BlancoHexaan[[#This Row],[Component]],Concentraties!$B$8:$L$17,2,FALSE))</f>
        <v>-</v>
      </c>
      <c r="D119" s="38"/>
      <c r="E119" s="40"/>
      <c r="F119" s="40"/>
      <c r="G119" s="37"/>
      <c r="H119" s="20" t="str">
        <f t="shared" si="37"/>
        <v>N.v.t.</v>
      </c>
      <c r="I119" s="108" t="str">
        <f t="shared" si="38"/>
        <v/>
      </c>
    </row>
    <row r="120" spans="2:10" x14ac:dyDescent="0.2">
      <c r="B120" s="12" t="str">
        <f>$B$16</f>
        <v>Hexachloorbutadieen</v>
      </c>
      <c r="C120" s="20" t="str">
        <f>IF(VLOOKUP(BlancoHexaan[[#This Row],[Component]],Concentraties!$B$8:$L$17,2,FALSE)="","",VLOOKUP(BlancoHexaan[[#This Row],[Component]],Concentraties!$B$8:$L$17,2,FALSE))</f>
        <v>-</v>
      </c>
      <c r="D120" s="38"/>
      <c r="E120" s="40"/>
      <c r="F120" s="40"/>
      <c r="G120" s="37"/>
      <c r="H120" s="20" t="str">
        <f t="shared" si="37"/>
        <v>N.v.t.</v>
      </c>
      <c r="I120" s="108" t="str">
        <f t="shared" si="38"/>
        <v/>
      </c>
    </row>
    <row r="121" spans="2:10" x14ac:dyDescent="0.2">
      <c r="B121" s="12" t="str">
        <f>$B$17</f>
        <v>Naftaleen</v>
      </c>
      <c r="C121" s="20" t="str">
        <f>IF(VLOOKUP(BlancoHexaan[[#This Row],[Component]],Concentraties!$B$8:$L$17,2,FALSE)="","",VLOOKUP(BlancoHexaan[[#This Row],[Component]],Concentraties!$B$8:$L$17,2,FALSE))</f>
        <v>-</v>
      </c>
      <c r="D121" s="38"/>
      <c r="E121" s="40"/>
      <c r="F121" s="40"/>
      <c r="G121" s="37"/>
      <c r="H121" s="20" t="str">
        <f t="shared" si="37"/>
        <v>N.v.t.</v>
      </c>
      <c r="I121" s="108" t="str">
        <f t="shared" si="38"/>
        <v/>
      </c>
    </row>
    <row r="122" spans="2:10" x14ac:dyDescent="0.2">
      <c r="B122" s="12" t="str">
        <f>$B$18</f>
        <v>Pentachloorbenzeen</v>
      </c>
      <c r="C122" s="20" t="str">
        <f>IF(VLOOKUP(BlancoHexaan[[#This Row],[Component]],Concentraties!$B$8:$L$17,2,FALSE)="","",VLOOKUP(BlancoHexaan[[#This Row],[Component]],Concentraties!$B$8:$L$17,2,FALSE))</f>
        <v>-</v>
      </c>
      <c r="D122" s="38"/>
      <c r="E122" s="40"/>
      <c r="F122" s="40"/>
      <c r="G122" s="37"/>
      <c r="H122" s="20" t="str">
        <f t="shared" si="37"/>
        <v>N.v.t.</v>
      </c>
      <c r="I122" s="108" t="str">
        <f t="shared" si="38"/>
        <v/>
      </c>
    </row>
    <row r="123" spans="2:10" x14ac:dyDescent="0.2">
      <c r="B123" s="78" t="str">
        <f>$B$19</f>
        <v>PCB 28</v>
      </c>
      <c r="C123" s="20" t="str">
        <f>IF(VLOOKUP(BlancoHexaan[[#This Row],[Component]],Concentraties!$B$8:$L$17,2,FALSE)="","",VLOOKUP(BlancoHexaan[[#This Row],[Component]],Concentraties!$B$8:$L$17,2,FALSE))</f>
        <v>-</v>
      </c>
      <c r="D123" s="79"/>
      <c r="E123" s="80"/>
      <c r="F123" s="80"/>
      <c r="G123" s="81"/>
      <c r="H123" s="20" t="str">
        <f t="shared" si="37"/>
        <v>N.v.t.</v>
      </c>
      <c r="I123" s="111" t="str">
        <f t="shared" si="38"/>
        <v/>
      </c>
    </row>
    <row r="124" spans="2:10" x14ac:dyDescent="0.2">
      <c r="B124" s="10"/>
      <c r="C124" s="11"/>
      <c r="D124" s="11"/>
      <c r="E124" s="11"/>
      <c r="F124" s="11"/>
      <c r="G124" s="11"/>
      <c r="H124" s="68"/>
      <c r="I124" s="109"/>
      <c r="J124" s="65"/>
    </row>
    <row r="125" spans="2:10" ht="20.25" x14ac:dyDescent="0.3">
      <c r="B125" s="8" t="s">
        <v>98</v>
      </c>
    </row>
    <row r="126" spans="2:10" ht="39" thickBot="1" x14ac:dyDescent="0.25">
      <c r="B126" s="14" t="s">
        <v>2</v>
      </c>
      <c r="C126" s="15" t="s">
        <v>70</v>
      </c>
      <c r="D126" s="15" t="s">
        <v>3</v>
      </c>
      <c r="E126" s="15" t="s">
        <v>47</v>
      </c>
      <c r="F126" s="15" t="s">
        <v>48</v>
      </c>
      <c r="G126" s="15" t="s">
        <v>67</v>
      </c>
      <c r="H126" s="36" t="s">
        <v>4</v>
      </c>
      <c r="I126" s="106" t="s">
        <v>5</v>
      </c>
    </row>
    <row r="127" spans="2:10" ht="13.5" thickTop="1" x14ac:dyDescent="0.2">
      <c r="B127" s="13" t="str">
        <f>$B$10</f>
        <v>44-DDD</v>
      </c>
      <c r="C127" s="25" t="str">
        <f>IF(VLOOKUP(WB_BLM_1[[#This Row],[Component]],Concentraties!$B$8:$L$17,2,FALSE)="","",VLOOKUP(WB_BLM_1[[#This Row],[Component]],Concentraties!$B$8:$L$17,2,FALSE))</f>
        <v>-</v>
      </c>
      <c r="D127" s="37"/>
      <c r="E127" s="39"/>
      <c r="F127" s="39"/>
      <c r="G127" s="37"/>
      <c r="H127" s="20" t="str">
        <f t="shared" ref="H127:H136" si="39">IFERROR(IF(C127="-","N.v.t.",IF(G127="","",100*G127/C127)),"")</f>
        <v>N.v.t.</v>
      </c>
      <c r="I127" s="107" t="str">
        <f t="shared" ref="I127:I136" si="40">IFERROR(MIN(E127,F127)/MAX(E127,F127),"")</f>
        <v/>
      </c>
    </row>
    <row r="128" spans="2:10" x14ac:dyDescent="0.2">
      <c r="B128" s="12" t="str">
        <f>$B$11</f>
        <v>Antraceen</v>
      </c>
      <c r="C128" s="25" t="str">
        <f>IF(VLOOKUP(WB_BLM_1[[#This Row],[Component]],Concentraties!$B$8:$L$17,2,FALSE)="","",VLOOKUP(WB_BLM_1[[#This Row],[Component]],Concentraties!$B$8:$L$17,2,FALSE))</f>
        <v>-</v>
      </c>
      <c r="D128" s="38"/>
      <c r="E128" s="40"/>
      <c r="F128" s="40"/>
      <c r="G128" s="37"/>
      <c r="H128" s="20" t="str">
        <f t="shared" si="39"/>
        <v>N.v.t.</v>
      </c>
      <c r="I128" s="108" t="str">
        <f t="shared" si="40"/>
        <v/>
      </c>
    </row>
    <row r="129" spans="2:10" x14ac:dyDescent="0.2">
      <c r="B129" s="12" t="str">
        <f>$B$12</f>
        <v>Benzo(a)pyreen</v>
      </c>
      <c r="C129" s="25" t="str">
        <f>IF(VLOOKUP(WB_BLM_1[[#This Row],[Component]],Concentraties!$B$8:$L$17,2,FALSE)="","",VLOOKUP(WB_BLM_1[[#This Row],[Component]],Concentraties!$B$8:$L$17,2,FALSE))</f>
        <v>-</v>
      </c>
      <c r="D129" s="38"/>
      <c r="E129" s="40"/>
      <c r="F129" s="40"/>
      <c r="G129" s="37"/>
      <c r="H129" s="20" t="str">
        <f t="shared" si="39"/>
        <v>N.v.t.</v>
      </c>
      <c r="I129" s="108" t="str">
        <f t="shared" si="40"/>
        <v/>
      </c>
    </row>
    <row r="130" spans="2:10" x14ac:dyDescent="0.2">
      <c r="B130" s="12" t="str">
        <f>$B$13</f>
        <v>Benzo(ghi)peryleen</v>
      </c>
      <c r="C130" s="25" t="str">
        <f>IF(VLOOKUP(WB_BLM_1[[#This Row],[Component]],Concentraties!$B$8:$L$17,2,FALSE)="","",VLOOKUP(WB_BLM_1[[#This Row],[Component]],Concentraties!$B$8:$L$17,2,FALSE))</f>
        <v>-</v>
      </c>
      <c r="D130" s="38"/>
      <c r="E130" s="40"/>
      <c r="F130" s="40"/>
      <c r="G130" s="37"/>
      <c r="H130" s="20" t="str">
        <f t="shared" si="39"/>
        <v>N.v.t.</v>
      </c>
      <c r="I130" s="108" t="str">
        <f t="shared" si="40"/>
        <v/>
      </c>
    </row>
    <row r="131" spans="2:10" x14ac:dyDescent="0.2">
      <c r="B131" s="12" t="str">
        <f>$B$14</f>
        <v>Cis-chloordaan</v>
      </c>
      <c r="C131" s="25" t="str">
        <f>IF(VLOOKUP(WB_BLM_1[[#This Row],[Component]],Concentraties!$B$8:$L$17,2,FALSE)="","",VLOOKUP(WB_BLM_1[[#This Row],[Component]],Concentraties!$B$8:$L$17,2,FALSE))</f>
        <v>-</v>
      </c>
      <c r="D131" s="38"/>
      <c r="E131" s="40"/>
      <c r="F131" s="40"/>
      <c r="G131" s="37"/>
      <c r="H131" s="20" t="str">
        <f t="shared" si="39"/>
        <v>N.v.t.</v>
      </c>
      <c r="I131" s="108" t="str">
        <f t="shared" si="40"/>
        <v/>
      </c>
    </row>
    <row r="132" spans="2:10" x14ac:dyDescent="0.2">
      <c r="B132" s="12" t="str">
        <f>$B$15</f>
        <v>Endrin</v>
      </c>
      <c r="C132" s="25" t="str">
        <f>IF(VLOOKUP(WB_BLM_1[[#This Row],[Component]],Concentraties!$B$8:$L$17,2,FALSE)="","",VLOOKUP(WB_BLM_1[[#This Row],[Component]],Concentraties!$B$8:$L$17,2,FALSE))</f>
        <v>-</v>
      </c>
      <c r="D132" s="38"/>
      <c r="E132" s="40"/>
      <c r="F132" s="40"/>
      <c r="G132" s="37"/>
      <c r="H132" s="20" t="str">
        <f t="shared" si="39"/>
        <v>N.v.t.</v>
      </c>
      <c r="I132" s="108" t="str">
        <f t="shared" si="40"/>
        <v/>
      </c>
    </row>
    <row r="133" spans="2:10" x14ac:dyDescent="0.2">
      <c r="B133" s="12" t="str">
        <f>$B$16</f>
        <v>Hexachloorbutadieen</v>
      </c>
      <c r="C133" s="25" t="str">
        <f>IF(VLOOKUP(WB_BLM_1[[#This Row],[Component]],Concentraties!$B$8:$L$17,2,FALSE)="","",VLOOKUP(WB_BLM_1[[#This Row],[Component]],Concentraties!$B$8:$L$17,2,FALSE))</f>
        <v>-</v>
      </c>
      <c r="D133" s="38"/>
      <c r="E133" s="40"/>
      <c r="F133" s="40"/>
      <c r="G133" s="37"/>
      <c r="H133" s="20" t="str">
        <f t="shared" si="39"/>
        <v>N.v.t.</v>
      </c>
      <c r="I133" s="108" t="str">
        <f t="shared" si="40"/>
        <v/>
      </c>
    </row>
    <row r="134" spans="2:10" x14ac:dyDescent="0.2">
      <c r="B134" s="12" t="str">
        <f>$B$17</f>
        <v>Naftaleen</v>
      </c>
      <c r="C134" s="25" t="str">
        <f>IF(VLOOKUP(WB_BLM_1[[#This Row],[Component]],Concentraties!$B$8:$L$17,2,FALSE)="","",VLOOKUP(WB_BLM_1[[#This Row],[Component]],Concentraties!$B$8:$L$17,2,FALSE))</f>
        <v>-</v>
      </c>
      <c r="D134" s="38"/>
      <c r="E134" s="40"/>
      <c r="F134" s="40"/>
      <c r="G134" s="37"/>
      <c r="H134" s="20" t="str">
        <f t="shared" si="39"/>
        <v>N.v.t.</v>
      </c>
      <c r="I134" s="108" t="str">
        <f t="shared" si="40"/>
        <v/>
      </c>
    </row>
    <row r="135" spans="2:10" x14ac:dyDescent="0.2">
      <c r="B135" s="12" t="str">
        <f>$B$18</f>
        <v>Pentachloorbenzeen</v>
      </c>
      <c r="C135" s="25" t="str">
        <f>IF(VLOOKUP(WB_BLM_1[[#This Row],[Component]],Concentraties!$B$8:$L$17,2,FALSE)="","",VLOOKUP(WB_BLM_1[[#This Row],[Component]],Concentraties!$B$8:$L$17,2,FALSE))</f>
        <v>-</v>
      </c>
      <c r="D135" s="38"/>
      <c r="E135" s="40"/>
      <c r="F135" s="40"/>
      <c r="G135" s="37"/>
      <c r="H135" s="20" t="str">
        <f t="shared" si="39"/>
        <v>N.v.t.</v>
      </c>
      <c r="I135" s="108" t="str">
        <f t="shared" si="40"/>
        <v/>
      </c>
    </row>
    <row r="136" spans="2:10" x14ac:dyDescent="0.2">
      <c r="B136" s="12" t="str">
        <f>$B$19</f>
        <v>PCB 28</v>
      </c>
      <c r="C136" s="25" t="str">
        <f>IF(VLOOKUP(WB_BLM_1[[#This Row],[Component]],Concentraties!$B$8:$L$17,2,FALSE)="","",VLOOKUP(WB_BLM_1[[#This Row],[Component]],Concentraties!$B$8:$L$17,2,FALSE))</f>
        <v>-</v>
      </c>
      <c r="D136" s="38"/>
      <c r="E136" s="40"/>
      <c r="F136" s="40"/>
      <c r="G136" s="37"/>
      <c r="H136" s="20" t="str">
        <f t="shared" si="39"/>
        <v>N.v.t.</v>
      </c>
      <c r="I136" s="108" t="str">
        <f t="shared" si="40"/>
        <v/>
      </c>
    </row>
    <row r="137" spans="2:10" x14ac:dyDescent="0.2">
      <c r="B137" s="10"/>
      <c r="C137" s="11"/>
      <c r="D137" s="11"/>
      <c r="E137" s="11"/>
      <c r="F137" s="11"/>
      <c r="G137" s="11"/>
      <c r="H137" s="68"/>
      <c r="I137" s="109"/>
      <c r="J137" s="65"/>
    </row>
    <row r="138" spans="2:10" ht="20.25" x14ac:dyDescent="0.3">
      <c r="B138" s="8" t="s">
        <v>173</v>
      </c>
    </row>
    <row r="139" spans="2:10" ht="39" thickBot="1" x14ac:dyDescent="0.25">
      <c r="B139" s="14" t="s">
        <v>2</v>
      </c>
      <c r="C139" s="15" t="s">
        <v>70</v>
      </c>
      <c r="D139" s="15" t="s">
        <v>3</v>
      </c>
      <c r="E139" s="15" t="s">
        <v>47</v>
      </c>
      <c r="F139" s="15" t="s">
        <v>48</v>
      </c>
      <c r="G139" s="15" t="s">
        <v>67</v>
      </c>
      <c r="H139" s="36" t="s">
        <v>4</v>
      </c>
      <c r="I139" s="106" t="s">
        <v>5</v>
      </c>
    </row>
    <row r="140" spans="2:10" ht="13.5" thickTop="1" x14ac:dyDescent="0.2">
      <c r="B140" s="13" t="str">
        <f>$B$10</f>
        <v>44-DDD</v>
      </c>
      <c r="C140" s="20" t="str">
        <f>IF(VLOOKUP(WB_CM_1[[#This Row],[Component]],Concentraties!$B$8:$L$17,8,FALSE)="","",VLOOKUP(WB_CM_1[[#This Row],[Component]],Concentraties!$B$8:$L$17,8,FALSE))</f>
        <v/>
      </c>
      <c r="D140" s="37"/>
      <c r="E140" s="39"/>
      <c r="F140" s="39"/>
      <c r="G140" s="37"/>
      <c r="H140" s="20" t="str">
        <f t="shared" ref="H140:H149" si="41">IFERROR(IF(C140="-","N.v.t.",IF(G140="","",100*G140/C140)),"")</f>
        <v/>
      </c>
      <c r="I140" s="107" t="str">
        <f t="shared" ref="I140:I149" si="42">IFERROR(MIN(E140,F140)/MAX(E140,F140),"")</f>
        <v/>
      </c>
    </row>
    <row r="141" spans="2:10" x14ac:dyDescent="0.2">
      <c r="B141" s="12" t="str">
        <f>$B$11</f>
        <v>Antraceen</v>
      </c>
      <c r="C141" s="20" t="str">
        <f>IF(VLOOKUP(WB_CM_1[[#This Row],[Component]],Concentraties!$B$8:$L$17,8,FALSE)="","",VLOOKUP(WB_CM_1[[#This Row],[Component]],Concentraties!$B$8:$L$17,8,FALSE))</f>
        <v/>
      </c>
      <c r="D141" s="38"/>
      <c r="E141" s="40"/>
      <c r="F141" s="40"/>
      <c r="G141" s="37"/>
      <c r="H141" s="20" t="str">
        <f t="shared" si="41"/>
        <v/>
      </c>
      <c r="I141" s="108" t="str">
        <f t="shared" si="42"/>
        <v/>
      </c>
    </row>
    <row r="142" spans="2:10" x14ac:dyDescent="0.2">
      <c r="B142" s="12" t="str">
        <f>$B$12</f>
        <v>Benzo(a)pyreen</v>
      </c>
      <c r="C142" s="20" t="str">
        <f>IF(VLOOKUP(WB_CM_1[[#This Row],[Component]],Concentraties!$B$8:$L$17,8,FALSE)="","",VLOOKUP(WB_CM_1[[#This Row],[Component]],Concentraties!$B$8:$L$17,8,FALSE))</f>
        <v/>
      </c>
      <c r="D142" s="38"/>
      <c r="E142" s="40"/>
      <c r="F142" s="40"/>
      <c r="G142" s="37"/>
      <c r="H142" s="20" t="str">
        <f t="shared" si="41"/>
        <v/>
      </c>
      <c r="I142" s="108" t="str">
        <f t="shared" si="42"/>
        <v/>
      </c>
    </row>
    <row r="143" spans="2:10" x14ac:dyDescent="0.2">
      <c r="B143" s="12" t="str">
        <f>$B$13</f>
        <v>Benzo(ghi)peryleen</v>
      </c>
      <c r="C143" s="20" t="str">
        <f>IF(VLOOKUP(WB_CM_1[[#This Row],[Component]],Concentraties!$B$8:$L$17,8,FALSE)="","",VLOOKUP(WB_CM_1[[#This Row],[Component]],Concentraties!$B$8:$L$17,8,FALSE))</f>
        <v/>
      </c>
      <c r="D143" s="38"/>
      <c r="E143" s="40"/>
      <c r="F143" s="40"/>
      <c r="G143" s="37"/>
      <c r="H143" s="20" t="str">
        <f t="shared" si="41"/>
        <v/>
      </c>
      <c r="I143" s="108" t="str">
        <f t="shared" si="42"/>
        <v/>
      </c>
    </row>
    <row r="144" spans="2:10" x14ac:dyDescent="0.2">
      <c r="B144" s="12" t="str">
        <f>$B$14</f>
        <v>Cis-chloordaan</v>
      </c>
      <c r="C144" s="20" t="str">
        <f>IF(VLOOKUP(WB_CM_1[[#This Row],[Component]],Concentraties!$B$8:$L$17,8,FALSE)="","",VLOOKUP(WB_CM_1[[#This Row],[Component]],Concentraties!$B$8:$L$17,8,FALSE))</f>
        <v/>
      </c>
      <c r="D144" s="38"/>
      <c r="E144" s="40"/>
      <c r="F144" s="40"/>
      <c r="G144" s="37"/>
      <c r="H144" s="20" t="str">
        <f t="shared" si="41"/>
        <v/>
      </c>
      <c r="I144" s="108" t="str">
        <f t="shared" si="42"/>
        <v/>
      </c>
    </row>
    <row r="145" spans="2:10" x14ac:dyDescent="0.2">
      <c r="B145" s="12" t="str">
        <f>$B$15</f>
        <v>Endrin</v>
      </c>
      <c r="C145" s="20" t="str">
        <f>IF(VLOOKUP(WB_CM_1[[#This Row],[Component]],Concentraties!$B$8:$L$17,8,FALSE)="","",VLOOKUP(WB_CM_1[[#This Row],[Component]],Concentraties!$B$8:$L$17,8,FALSE))</f>
        <v/>
      </c>
      <c r="D145" s="38"/>
      <c r="E145" s="40"/>
      <c r="F145" s="40"/>
      <c r="G145" s="37"/>
      <c r="H145" s="20" t="str">
        <f t="shared" si="41"/>
        <v/>
      </c>
      <c r="I145" s="108" t="str">
        <f t="shared" si="42"/>
        <v/>
      </c>
    </row>
    <row r="146" spans="2:10" x14ac:dyDescent="0.2">
      <c r="B146" s="12" t="str">
        <f>$B$16</f>
        <v>Hexachloorbutadieen</v>
      </c>
      <c r="C146" s="20" t="str">
        <f>IF(VLOOKUP(WB_CM_1[[#This Row],[Component]],Concentraties!$B$8:$L$17,8,FALSE)="","",VLOOKUP(WB_CM_1[[#This Row],[Component]],Concentraties!$B$8:$L$17,8,FALSE))</f>
        <v/>
      </c>
      <c r="D146" s="38"/>
      <c r="E146" s="40"/>
      <c r="F146" s="40"/>
      <c r="G146" s="37"/>
      <c r="H146" s="20" t="str">
        <f t="shared" si="41"/>
        <v/>
      </c>
      <c r="I146" s="108" t="str">
        <f t="shared" si="42"/>
        <v/>
      </c>
    </row>
    <row r="147" spans="2:10" x14ac:dyDescent="0.2">
      <c r="B147" s="12" t="str">
        <f>$B$17</f>
        <v>Naftaleen</v>
      </c>
      <c r="C147" s="20" t="str">
        <f>IF(VLOOKUP(WB_CM_1[[#This Row],[Component]],Concentraties!$B$8:$L$17,8,FALSE)="","",VLOOKUP(WB_CM_1[[#This Row],[Component]],Concentraties!$B$8:$L$17,8,FALSE))</f>
        <v/>
      </c>
      <c r="D147" s="38"/>
      <c r="E147" s="40"/>
      <c r="F147" s="40"/>
      <c r="G147" s="37"/>
      <c r="H147" s="20" t="str">
        <f t="shared" si="41"/>
        <v/>
      </c>
      <c r="I147" s="108" t="str">
        <f t="shared" si="42"/>
        <v/>
      </c>
    </row>
    <row r="148" spans="2:10" x14ac:dyDescent="0.2">
      <c r="B148" s="12" t="str">
        <f>$B$18</f>
        <v>Pentachloorbenzeen</v>
      </c>
      <c r="C148" s="20" t="str">
        <f>IF(VLOOKUP(WB_CM_1[[#This Row],[Component]],Concentraties!$B$8:$L$17,8,FALSE)="","",VLOOKUP(WB_CM_1[[#This Row],[Component]],Concentraties!$B$8:$L$17,8,FALSE))</f>
        <v/>
      </c>
      <c r="D148" s="38"/>
      <c r="E148" s="40"/>
      <c r="F148" s="40"/>
      <c r="G148" s="37"/>
      <c r="H148" s="20" t="str">
        <f t="shared" si="41"/>
        <v/>
      </c>
      <c r="I148" s="108" t="str">
        <f t="shared" si="42"/>
        <v/>
      </c>
    </row>
    <row r="149" spans="2:10" x14ac:dyDescent="0.2">
      <c r="B149" s="12" t="str">
        <f>$B$19</f>
        <v>PCB 28</v>
      </c>
      <c r="C149" s="20" t="str">
        <f>IF(VLOOKUP(WB_CM_1[[#This Row],[Component]],Concentraties!$B$8:$L$17,8,FALSE)="","",VLOOKUP(WB_CM_1[[#This Row],[Component]],Concentraties!$B$8:$L$17,8,FALSE))</f>
        <v/>
      </c>
      <c r="D149" s="38"/>
      <c r="E149" s="40"/>
      <c r="F149" s="40"/>
      <c r="G149" s="37"/>
      <c r="H149" s="20" t="str">
        <f t="shared" si="41"/>
        <v/>
      </c>
      <c r="I149" s="108" t="str">
        <f t="shared" si="42"/>
        <v/>
      </c>
    </row>
    <row r="150" spans="2:10" x14ac:dyDescent="0.2">
      <c r="B150" s="10"/>
      <c r="C150" s="11"/>
      <c r="J150" s="65"/>
    </row>
    <row r="151" spans="2:10" ht="20.25" x14ac:dyDescent="0.3">
      <c r="B151" s="8" t="s">
        <v>174</v>
      </c>
    </row>
    <row r="152" spans="2:10" ht="39" thickBot="1" x14ac:dyDescent="0.25">
      <c r="B152" s="14" t="s">
        <v>2</v>
      </c>
      <c r="C152" s="15" t="s">
        <v>70</v>
      </c>
      <c r="D152" s="15" t="s">
        <v>3</v>
      </c>
      <c r="E152" s="15" t="s">
        <v>47</v>
      </c>
      <c r="F152" s="15" t="s">
        <v>48</v>
      </c>
      <c r="G152" s="15" t="s">
        <v>67</v>
      </c>
      <c r="H152" s="36" t="s">
        <v>4</v>
      </c>
      <c r="I152" s="106" t="s">
        <v>5</v>
      </c>
    </row>
    <row r="153" spans="2:10" ht="13.5" thickTop="1" x14ac:dyDescent="0.2">
      <c r="B153" s="13" t="str">
        <f>$B$10</f>
        <v>44-DDD</v>
      </c>
      <c r="C153" s="20" t="str">
        <f>IF(VLOOKUP(WB_CM_2[[#This Row],[Component]],Concentraties!$B$8:$L$17,8,FALSE)="","",VLOOKUP(WB_CM_2[[#This Row],[Component]],Concentraties!$B$8:$L$17,8,FALSE))</f>
        <v/>
      </c>
      <c r="D153" s="37"/>
      <c r="E153" s="39"/>
      <c r="F153" s="39"/>
      <c r="G153" s="37"/>
      <c r="H153" s="20" t="str">
        <f t="shared" ref="H153:H162" si="43">IFERROR(IF(C153="-","N.v.t.",IF(G153="","",100*G153/C153)),"")</f>
        <v/>
      </c>
      <c r="I153" s="107" t="str">
        <f t="shared" ref="I153:I162" si="44">IFERROR(MIN(E153,F153)/MAX(E153,F153),"")</f>
        <v/>
      </c>
    </row>
    <row r="154" spans="2:10" x14ac:dyDescent="0.2">
      <c r="B154" s="12" t="str">
        <f>$B$11</f>
        <v>Antraceen</v>
      </c>
      <c r="C154" s="20" t="str">
        <f>IF(VLOOKUP(WB_CM_2[[#This Row],[Component]],Concentraties!$B$8:$L$17,8,FALSE)="","",VLOOKUP(WB_CM_2[[#This Row],[Component]],Concentraties!$B$8:$L$17,8,FALSE))</f>
        <v/>
      </c>
      <c r="D154" s="38"/>
      <c r="E154" s="40"/>
      <c r="F154" s="40"/>
      <c r="G154" s="37"/>
      <c r="H154" s="20" t="str">
        <f t="shared" si="43"/>
        <v/>
      </c>
      <c r="I154" s="108" t="str">
        <f t="shared" si="44"/>
        <v/>
      </c>
    </row>
    <row r="155" spans="2:10" x14ac:dyDescent="0.2">
      <c r="B155" s="12" t="str">
        <f>$B$12</f>
        <v>Benzo(a)pyreen</v>
      </c>
      <c r="C155" s="20" t="str">
        <f>IF(VLOOKUP(WB_CM_2[[#This Row],[Component]],Concentraties!$B$8:$L$17,8,FALSE)="","",VLOOKUP(WB_CM_2[[#This Row],[Component]],Concentraties!$B$8:$L$17,8,FALSE))</f>
        <v/>
      </c>
      <c r="D155" s="38"/>
      <c r="E155" s="40"/>
      <c r="F155" s="40"/>
      <c r="G155" s="37"/>
      <c r="H155" s="20" t="str">
        <f t="shared" si="43"/>
        <v/>
      </c>
      <c r="I155" s="108" t="str">
        <f t="shared" si="44"/>
        <v/>
      </c>
    </row>
    <row r="156" spans="2:10" x14ac:dyDescent="0.2">
      <c r="B156" s="12" t="str">
        <f>$B$13</f>
        <v>Benzo(ghi)peryleen</v>
      </c>
      <c r="C156" s="20" t="str">
        <f>IF(VLOOKUP(WB_CM_2[[#This Row],[Component]],Concentraties!$B$8:$L$17,8,FALSE)="","",VLOOKUP(WB_CM_2[[#This Row],[Component]],Concentraties!$B$8:$L$17,8,FALSE))</f>
        <v/>
      </c>
      <c r="D156" s="38"/>
      <c r="E156" s="40"/>
      <c r="F156" s="40"/>
      <c r="G156" s="37"/>
      <c r="H156" s="20" t="str">
        <f t="shared" si="43"/>
        <v/>
      </c>
      <c r="I156" s="108" t="str">
        <f t="shared" si="44"/>
        <v/>
      </c>
    </row>
    <row r="157" spans="2:10" x14ac:dyDescent="0.2">
      <c r="B157" s="12" t="str">
        <f>$B$14</f>
        <v>Cis-chloordaan</v>
      </c>
      <c r="C157" s="20" t="str">
        <f>IF(VLOOKUP(WB_CM_2[[#This Row],[Component]],Concentraties!$B$8:$L$17,8,FALSE)="","",VLOOKUP(WB_CM_2[[#This Row],[Component]],Concentraties!$B$8:$L$17,8,FALSE))</f>
        <v/>
      </c>
      <c r="D157" s="38"/>
      <c r="E157" s="40"/>
      <c r="F157" s="40"/>
      <c r="G157" s="37"/>
      <c r="H157" s="20" t="str">
        <f t="shared" si="43"/>
        <v/>
      </c>
      <c r="I157" s="108" t="str">
        <f t="shared" si="44"/>
        <v/>
      </c>
    </row>
    <row r="158" spans="2:10" x14ac:dyDescent="0.2">
      <c r="B158" s="12" t="str">
        <f>$B$15</f>
        <v>Endrin</v>
      </c>
      <c r="C158" s="20" t="str">
        <f>IF(VLOOKUP(WB_CM_2[[#This Row],[Component]],Concentraties!$B$8:$L$17,8,FALSE)="","",VLOOKUP(WB_CM_2[[#This Row],[Component]],Concentraties!$B$8:$L$17,8,FALSE))</f>
        <v/>
      </c>
      <c r="D158" s="38"/>
      <c r="E158" s="40"/>
      <c r="F158" s="40"/>
      <c r="G158" s="37"/>
      <c r="H158" s="20" t="str">
        <f t="shared" si="43"/>
        <v/>
      </c>
      <c r="I158" s="108" t="str">
        <f t="shared" si="44"/>
        <v/>
      </c>
    </row>
    <row r="159" spans="2:10" x14ac:dyDescent="0.2">
      <c r="B159" s="12" t="str">
        <f>$B$16</f>
        <v>Hexachloorbutadieen</v>
      </c>
      <c r="C159" s="20" t="str">
        <f>IF(VLOOKUP(WB_CM_2[[#This Row],[Component]],Concentraties!$B$8:$L$17,8,FALSE)="","",VLOOKUP(WB_CM_2[[#This Row],[Component]],Concentraties!$B$8:$L$17,8,FALSE))</f>
        <v/>
      </c>
      <c r="D159" s="38"/>
      <c r="E159" s="40"/>
      <c r="F159" s="40"/>
      <c r="G159" s="37"/>
      <c r="H159" s="20" t="str">
        <f t="shared" si="43"/>
        <v/>
      </c>
      <c r="I159" s="108" t="str">
        <f t="shared" si="44"/>
        <v/>
      </c>
    </row>
    <row r="160" spans="2:10" x14ac:dyDescent="0.2">
      <c r="B160" s="12" t="str">
        <f>$B$17</f>
        <v>Naftaleen</v>
      </c>
      <c r="C160" s="20" t="str">
        <f>IF(VLOOKUP(WB_CM_2[[#This Row],[Component]],Concentraties!$B$8:$L$17,8,FALSE)="","",VLOOKUP(WB_CM_2[[#This Row],[Component]],Concentraties!$B$8:$L$17,8,FALSE))</f>
        <v/>
      </c>
      <c r="D160" s="38"/>
      <c r="E160" s="40"/>
      <c r="F160" s="40"/>
      <c r="G160" s="37"/>
      <c r="H160" s="20" t="str">
        <f t="shared" si="43"/>
        <v/>
      </c>
      <c r="I160" s="108" t="str">
        <f t="shared" si="44"/>
        <v/>
      </c>
    </row>
    <row r="161" spans="2:9" x14ac:dyDescent="0.2">
      <c r="B161" s="12" t="str">
        <f>$B$18</f>
        <v>Pentachloorbenzeen</v>
      </c>
      <c r="C161" s="20" t="str">
        <f>IF(VLOOKUP(WB_CM_2[[#This Row],[Component]],Concentraties!$B$8:$L$17,8,FALSE)="","",VLOOKUP(WB_CM_2[[#This Row],[Component]],Concentraties!$B$8:$L$17,8,FALSE))</f>
        <v/>
      </c>
      <c r="D161" s="38"/>
      <c r="E161" s="40"/>
      <c r="F161" s="40"/>
      <c r="G161" s="37"/>
      <c r="H161" s="20" t="str">
        <f t="shared" si="43"/>
        <v/>
      </c>
      <c r="I161" s="108" t="str">
        <f t="shared" si="44"/>
        <v/>
      </c>
    </row>
    <row r="162" spans="2:9" x14ac:dyDescent="0.2">
      <c r="B162" s="12" t="str">
        <f>$B$19</f>
        <v>PCB 28</v>
      </c>
      <c r="C162" s="20" t="str">
        <f>IF(VLOOKUP(WB_CM_2[[#This Row],[Component]],Concentraties!$B$8:$L$17,8,FALSE)="","",VLOOKUP(WB_CM_2[[#This Row],[Component]],Concentraties!$B$8:$L$17,8,FALSE))</f>
        <v/>
      </c>
      <c r="D162" s="38"/>
      <c r="E162" s="40"/>
      <c r="F162" s="40"/>
      <c r="G162" s="37"/>
      <c r="H162" s="20" t="str">
        <f t="shared" si="43"/>
        <v/>
      </c>
      <c r="I162" s="108" t="str">
        <f t="shared" si="44"/>
        <v/>
      </c>
    </row>
    <row r="164" spans="2:9" ht="20.25" x14ac:dyDescent="0.3">
      <c r="B164" s="8" t="s">
        <v>170</v>
      </c>
    </row>
    <row r="165" spans="2:9" ht="39" thickBot="1" x14ac:dyDescent="0.25">
      <c r="B165" s="14" t="s">
        <v>2</v>
      </c>
      <c r="C165" s="15" t="s">
        <v>70</v>
      </c>
      <c r="D165" s="15" t="s">
        <v>3</v>
      </c>
      <c r="E165" s="15" t="s">
        <v>47</v>
      </c>
      <c r="F165" s="15" t="s">
        <v>48</v>
      </c>
      <c r="G165" s="15" t="s">
        <v>67</v>
      </c>
      <c r="H165" s="36" t="s">
        <v>4</v>
      </c>
      <c r="I165" s="106" t="s">
        <v>5</v>
      </c>
    </row>
    <row r="166" spans="2:9" ht="13.5" thickTop="1" x14ac:dyDescent="0.2">
      <c r="B166" s="13" t="str">
        <f>$B$10</f>
        <v>44-DDD</v>
      </c>
      <c r="C166" s="20">
        <f>IF(VLOOKUP(WB_CheckSTD3_1[[#This Row],[Component]],Concentraties!$B$8:$L$17,5,FALSE)="","",VLOOKUP(WB_CheckSTD3_1[[#This Row],[Component]],Concentraties!$B$8:$L$17,5,FALSE))</f>
        <v>1.1916</v>
      </c>
      <c r="D166" s="37"/>
      <c r="E166" s="39"/>
      <c r="F166" s="39"/>
      <c r="G166" s="37"/>
      <c r="H166" s="20" t="str">
        <f t="shared" ref="H166:H175" si="45">IFERROR(IF(C166="-","N.v.t.",IF(G166="","",100*G166/C166)),"")</f>
        <v/>
      </c>
      <c r="I166" s="107" t="str">
        <f t="shared" ref="I166:I175" si="46">IFERROR(MIN(E166,F166)/MAX(E166,F166),"")</f>
        <v/>
      </c>
    </row>
    <row r="167" spans="2:9" x14ac:dyDescent="0.2">
      <c r="B167" s="12" t="str">
        <f>$B$11</f>
        <v>Antraceen</v>
      </c>
      <c r="C167" s="34">
        <f>IF(VLOOKUP(WB_CheckSTD3_1[[#This Row],[Component]],Concentraties!$B$8:$L$17,5,FALSE)="","",VLOOKUP(WB_CheckSTD3_1[[#This Row],[Component]],Concentraties!$B$8:$L$17,5,FALSE))</f>
        <v>7.9991999999999992</v>
      </c>
      <c r="D167" s="38"/>
      <c r="E167" s="40"/>
      <c r="F167" s="40"/>
      <c r="G167" s="37"/>
      <c r="H167" s="20" t="str">
        <f t="shared" si="45"/>
        <v/>
      </c>
      <c r="I167" s="108" t="str">
        <f t="shared" si="46"/>
        <v/>
      </c>
    </row>
    <row r="168" spans="2:9" x14ac:dyDescent="0.2">
      <c r="B168" s="12" t="str">
        <f>$B$12</f>
        <v>Benzo(a)pyreen</v>
      </c>
      <c r="C168" s="34">
        <f>IF(VLOOKUP(WB_CheckSTD3_1[[#This Row],[Component]],Concentraties!$B$8:$L$17,5,FALSE)="","",VLOOKUP(WB_CheckSTD3_1[[#This Row],[Component]],Concentraties!$B$8:$L$17,5,FALSE))</f>
        <v>8</v>
      </c>
      <c r="D168" s="38"/>
      <c r="E168" s="40"/>
      <c r="F168" s="40"/>
      <c r="G168" s="37"/>
      <c r="H168" s="20" t="str">
        <f t="shared" si="45"/>
        <v/>
      </c>
      <c r="I168" s="108" t="str">
        <f t="shared" si="46"/>
        <v/>
      </c>
    </row>
    <row r="169" spans="2:9" x14ac:dyDescent="0.2">
      <c r="B169" s="12" t="str">
        <f>$B$13</f>
        <v>Benzo(ghi)peryleen</v>
      </c>
      <c r="C169" s="34">
        <f>IF(VLOOKUP(WB_CheckSTD3_1[[#This Row],[Component]],Concentraties!$B$8:$L$17,5,FALSE)="","",VLOOKUP(WB_CheckSTD3_1[[#This Row],[Component]],Concentraties!$B$8:$L$17,5,FALSE))</f>
        <v>8</v>
      </c>
      <c r="D169" s="38"/>
      <c r="E169" s="40"/>
      <c r="F169" s="40"/>
      <c r="G169" s="37"/>
      <c r="H169" s="20" t="str">
        <f t="shared" si="45"/>
        <v/>
      </c>
      <c r="I169" s="108" t="str">
        <f t="shared" si="46"/>
        <v/>
      </c>
    </row>
    <row r="170" spans="2:9" x14ac:dyDescent="0.2">
      <c r="B170" s="12" t="str">
        <f>$B$14</f>
        <v>Cis-chloordaan</v>
      </c>
      <c r="C170" s="34">
        <f>IF(VLOOKUP(WB_CheckSTD3_1[[#This Row],[Component]],Concentraties!$B$8:$L$17,5,FALSE)="","",VLOOKUP(WB_CheckSTD3_1[[#This Row],[Component]],Concentraties!$B$8:$L$17,5,FALSE))</f>
        <v>1.2146399999999999</v>
      </c>
      <c r="D170" s="38"/>
      <c r="E170" s="40"/>
      <c r="F170" s="40"/>
      <c r="G170" s="37"/>
      <c r="H170" s="20" t="str">
        <f t="shared" si="45"/>
        <v/>
      </c>
      <c r="I170" s="108" t="str">
        <f t="shared" si="46"/>
        <v/>
      </c>
    </row>
    <row r="171" spans="2:9" x14ac:dyDescent="0.2">
      <c r="B171" s="12" t="str">
        <f>$B$15</f>
        <v>Endrin</v>
      </c>
      <c r="C171" s="34">
        <f>IF(VLOOKUP(WB_CheckSTD3_1[[#This Row],[Component]],Concentraties!$B$8:$L$17,5,FALSE)="","",VLOOKUP(WB_CheckSTD3_1[[#This Row],[Component]],Concentraties!$B$8:$L$17,5,FALSE))</f>
        <v>1.2014400000000001</v>
      </c>
      <c r="D171" s="38"/>
      <c r="E171" s="40"/>
      <c r="F171" s="40"/>
      <c r="G171" s="37"/>
      <c r="H171" s="20" t="str">
        <f t="shared" si="45"/>
        <v/>
      </c>
      <c r="I171" s="108" t="str">
        <f t="shared" si="46"/>
        <v/>
      </c>
    </row>
    <row r="172" spans="2:9" x14ac:dyDescent="0.2">
      <c r="B172" s="12" t="str">
        <f>$B$16</f>
        <v>Hexachloorbutadieen</v>
      </c>
      <c r="C172" s="34">
        <f>IF(VLOOKUP(WB_CheckSTD3_1[[#This Row],[Component]],Concentraties!$B$8:$L$17,5,FALSE)="","",VLOOKUP(WB_CheckSTD3_1[[#This Row],[Component]],Concentraties!$B$8:$L$17,5,FALSE))</f>
        <v>1.2018</v>
      </c>
      <c r="D172" s="38"/>
      <c r="E172" s="40"/>
      <c r="F172" s="40"/>
      <c r="G172" s="37"/>
      <c r="H172" s="20" t="str">
        <f t="shared" si="45"/>
        <v/>
      </c>
      <c r="I172" s="108" t="str">
        <f t="shared" si="46"/>
        <v/>
      </c>
    </row>
    <row r="173" spans="2:9" x14ac:dyDescent="0.2">
      <c r="B173" s="12" t="str">
        <f>$B$17</f>
        <v>Naftaleen</v>
      </c>
      <c r="C173" s="34">
        <f>IF(VLOOKUP(WB_CheckSTD3_1[[#This Row],[Component]],Concentraties!$B$8:$L$17,5,FALSE)="","",VLOOKUP(WB_CheckSTD3_1[[#This Row],[Component]],Concentraties!$B$8:$L$17,5,FALSE))</f>
        <v>8</v>
      </c>
      <c r="D173" s="38"/>
      <c r="E173" s="40"/>
      <c r="F173" s="40"/>
      <c r="G173" s="37"/>
      <c r="H173" s="20" t="str">
        <f t="shared" si="45"/>
        <v/>
      </c>
      <c r="I173" s="108" t="str">
        <f t="shared" si="46"/>
        <v/>
      </c>
    </row>
    <row r="174" spans="2:9" x14ac:dyDescent="0.2">
      <c r="B174" s="12" t="str">
        <f>$B$18</f>
        <v>Pentachloorbenzeen</v>
      </c>
      <c r="C174" s="34">
        <f>IF(VLOOKUP(WB_CheckSTD3_1[[#This Row],[Component]],Concentraties!$B$8:$L$17,5,FALSE)="","",VLOOKUP(WB_CheckSTD3_1[[#This Row],[Component]],Concentraties!$B$8:$L$17,5,FALSE))</f>
        <v>1.20228</v>
      </c>
      <c r="D174" s="38"/>
      <c r="E174" s="40"/>
      <c r="F174" s="40"/>
      <c r="G174" s="37"/>
      <c r="H174" s="20" t="str">
        <f t="shared" si="45"/>
        <v/>
      </c>
      <c r="I174" s="108" t="str">
        <f t="shared" si="46"/>
        <v/>
      </c>
    </row>
    <row r="175" spans="2:9" x14ac:dyDescent="0.2">
      <c r="B175" s="12" t="str">
        <f>$B$19</f>
        <v>PCB 28</v>
      </c>
      <c r="C175" s="34">
        <f>IF(VLOOKUP(WB_CheckSTD3_1[[#This Row],[Component]],Concentraties!$B$8:$L$17,5,FALSE)="","",VLOOKUP(WB_CheckSTD3_1[[#This Row],[Component]],Concentraties!$B$8:$L$17,5,FALSE))</f>
        <v>1.2045600000000001</v>
      </c>
      <c r="D175" s="38"/>
      <c r="E175" s="40"/>
      <c r="F175" s="40"/>
      <c r="G175" s="37"/>
      <c r="H175" s="20" t="str">
        <f t="shared" si="45"/>
        <v/>
      </c>
      <c r="I175" s="108" t="str">
        <f t="shared" si="46"/>
        <v/>
      </c>
    </row>
    <row r="176" spans="2:9" x14ac:dyDescent="0.2">
      <c r="C176" s="35"/>
    </row>
    <row r="177" spans="2:9" ht="20.25" x14ac:dyDescent="0.3">
      <c r="B177" s="8" t="s">
        <v>94</v>
      </c>
      <c r="C177" s="35"/>
    </row>
    <row r="178" spans="2:9" ht="39" thickBot="1" x14ac:dyDescent="0.25">
      <c r="B178" s="14" t="s">
        <v>2</v>
      </c>
      <c r="C178" s="15" t="s">
        <v>70</v>
      </c>
      <c r="D178" s="15" t="s">
        <v>3</v>
      </c>
      <c r="E178" s="15" t="s">
        <v>47</v>
      </c>
      <c r="F178" s="15" t="s">
        <v>48</v>
      </c>
      <c r="G178" s="15" t="s">
        <v>67</v>
      </c>
      <c r="H178" s="36" t="s">
        <v>4</v>
      </c>
      <c r="I178" s="106" t="s">
        <v>5</v>
      </c>
    </row>
    <row r="179" spans="2:9" ht="13.5" thickTop="1" x14ac:dyDescent="0.2">
      <c r="B179" s="13" t="str">
        <f>$B$10</f>
        <v>44-DDD</v>
      </c>
      <c r="C179" s="20" t="str">
        <f>IF(VLOOKUP(SpoelHexaan2[[#This Row],[Component]],Concentraties!$B$8:$L$17,2,FALSE)="","",VLOOKUP(SpoelHexaan2[[#This Row],[Component]],Concentraties!$B$8:$L$17,2,FALSE))</f>
        <v>-</v>
      </c>
      <c r="D179" s="37"/>
      <c r="E179" s="39"/>
      <c r="F179" s="39"/>
      <c r="G179" s="37"/>
      <c r="H179" s="20" t="str">
        <f t="shared" ref="H179:H188" si="47">IFERROR(IF(C179="-","N.v.t.",IF(G179="","",100*G179/C179)),"")</f>
        <v>N.v.t.</v>
      </c>
      <c r="I179" s="107" t="str">
        <f t="shared" ref="I179:I188" si="48">IFERROR(MIN(E179,F179)/MAX(E179,F179),"")</f>
        <v/>
      </c>
    </row>
    <row r="180" spans="2:9" x14ac:dyDescent="0.2">
      <c r="B180" s="12" t="str">
        <f>$B$11</f>
        <v>Antraceen</v>
      </c>
      <c r="C180" s="20" t="str">
        <f>IF(VLOOKUP(SpoelHexaan2[[#This Row],[Component]],Concentraties!$B$8:$L$17,2,FALSE)="","",VLOOKUP(SpoelHexaan2[[#This Row],[Component]],Concentraties!$B$8:$L$17,2,FALSE))</f>
        <v>-</v>
      </c>
      <c r="D180" s="38"/>
      <c r="E180" s="40"/>
      <c r="F180" s="40"/>
      <c r="G180" s="37"/>
      <c r="H180" s="20" t="str">
        <f t="shared" si="47"/>
        <v>N.v.t.</v>
      </c>
      <c r="I180" s="108" t="str">
        <f t="shared" si="48"/>
        <v/>
      </c>
    </row>
    <row r="181" spans="2:9" x14ac:dyDescent="0.2">
      <c r="B181" s="12" t="str">
        <f>$B$12</f>
        <v>Benzo(a)pyreen</v>
      </c>
      <c r="C181" s="20" t="str">
        <f>IF(VLOOKUP(SpoelHexaan2[[#This Row],[Component]],Concentraties!$B$8:$L$17,2,FALSE)="","",VLOOKUP(SpoelHexaan2[[#This Row],[Component]],Concentraties!$B$8:$L$17,2,FALSE))</f>
        <v>-</v>
      </c>
      <c r="D181" s="38"/>
      <c r="E181" s="40"/>
      <c r="F181" s="40"/>
      <c r="G181" s="37"/>
      <c r="H181" s="20" t="str">
        <f t="shared" si="47"/>
        <v>N.v.t.</v>
      </c>
      <c r="I181" s="108" t="str">
        <f t="shared" si="48"/>
        <v/>
      </c>
    </row>
    <row r="182" spans="2:9" x14ac:dyDescent="0.2">
      <c r="B182" s="12" t="str">
        <f>$B$13</f>
        <v>Benzo(ghi)peryleen</v>
      </c>
      <c r="C182" s="20" t="str">
        <f>IF(VLOOKUP(SpoelHexaan2[[#This Row],[Component]],Concentraties!$B$8:$L$17,2,FALSE)="","",VLOOKUP(SpoelHexaan2[[#This Row],[Component]],Concentraties!$B$8:$L$17,2,FALSE))</f>
        <v>-</v>
      </c>
      <c r="D182" s="38"/>
      <c r="E182" s="40"/>
      <c r="F182" s="40"/>
      <c r="G182" s="37"/>
      <c r="H182" s="20" t="str">
        <f t="shared" si="47"/>
        <v>N.v.t.</v>
      </c>
      <c r="I182" s="108" t="str">
        <f t="shared" si="48"/>
        <v/>
      </c>
    </row>
    <row r="183" spans="2:9" x14ac:dyDescent="0.2">
      <c r="B183" s="12" t="str">
        <f>$B$14</f>
        <v>Cis-chloordaan</v>
      </c>
      <c r="C183" s="20" t="str">
        <f>IF(VLOOKUP(SpoelHexaan2[[#This Row],[Component]],Concentraties!$B$8:$L$17,2,FALSE)="","",VLOOKUP(SpoelHexaan2[[#This Row],[Component]],Concentraties!$B$8:$L$17,2,FALSE))</f>
        <v>-</v>
      </c>
      <c r="D183" s="38"/>
      <c r="E183" s="40"/>
      <c r="F183" s="40"/>
      <c r="G183" s="37"/>
      <c r="H183" s="20" t="str">
        <f t="shared" si="47"/>
        <v>N.v.t.</v>
      </c>
      <c r="I183" s="108" t="str">
        <f t="shared" si="48"/>
        <v/>
      </c>
    </row>
    <row r="184" spans="2:9" x14ac:dyDescent="0.2">
      <c r="B184" s="12" t="str">
        <f>$B$15</f>
        <v>Endrin</v>
      </c>
      <c r="C184" s="20" t="str">
        <f>IF(VLOOKUP(SpoelHexaan2[[#This Row],[Component]],Concentraties!$B$8:$L$17,2,FALSE)="","",VLOOKUP(SpoelHexaan2[[#This Row],[Component]],Concentraties!$B$8:$L$17,2,FALSE))</f>
        <v>-</v>
      </c>
      <c r="D184" s="38"/>
      <c r="E184" s="40"/>
      <c r="F184" s="40"/>
      <c r="G184" s="37"/>
      <c r="H184" s="20" t="str">
        <f t="shared" si="47"/>
        <v>N.v.t.</v>
      </c>
      <c r="I184" s="108" t="str">
        <f t="shared" si="48"/>
        <v/>
      </c>
    </row>
    <row r="185" spans="2:9" x14ac:dyDescent="0.2">
      <c r="B185" s="12" t="str">
        <f>$B$16</f>
        <v>Hexachloorbutadieen</v>
      </c>
      <c r="C185" s="20" t="str">
        <f>IF(VLOOKUP(SpoelHexaan2[[#This Row],[Component]],Concentraties!$B$8:$L$17,2,FALSE)="","",VLOOKUP(SpoelHexaan2[[#This Row],[Component]],Concentraties!$B$8:$L$17,2,FALSE))</f>
        <v>-</v>
      </c>
      <c r="D185" s="38"/>
      <c r="E185" s="40"/>
      <c r="F185" s="40"/>
      <c r="G185" s="37"/>
      <c r="H185" s="20" t="str">
        <f t="shared" si="47"/>
        <v>N.v.t.</v>
      </c>
      <c r="I185" s="108" t="str">
        <f t="shared" si="48"/>
        <v/>
      </c>
    </row>
    <row r="186" spans="2:9" x14ac:dyDescent="0.2">
      <c r="B186" s="12" t="str">
        <f>$B$17</f>
        <v>Naftaleen</v>
      </c>
      <c r="C186" s="20" t="str">
        <f>IF(VLOOKUP(SpoelHexaan2[[#This Row],[Component]],Concentraties!$B$8:$L$17,2,FALSE)="","",VLOOKUP(SpoelHexaan2[[#This Row],[Component]],Concentraties!$B$8:$L$17,2,FALSE))</f>
        <v>-</v>
      </c>
      <c r="D186" s="38"/>
      <c r="E186" s="40"/>
      <c r="F186" s="40"/>
      <c r="G186" s="37"/>
      <c r="H186" s="20" t="str">
        <f t="shared" si="47"/>
        <v>N.v.t.</v>
      </c>
      <c r="I186" s="108" t="str">
        <f t="shared" si="48"/>
        <v/>
      </c>
    </row>
    <row r="187" spans="2:9" x14ac:dyDescent="0.2">
      <c r="B187" s="12" t="str">
        <f>$B$18</f>
        <v>Pentachloorbenzeen</v>
      </c>
      <c r="C187" s="20" t="str">
        <f>IF(VLOOKUP(SpoelHexaan2[[#This Row],[Component]],Concentraties!$B$8:$L$17,2,FALSE)="","",VLOOKUP(SpoelHexaan2[[#This Row],[Component]],Concentraties!$B$8:$L$17,2,FALSE))</f>
        <v>-</v>
      </c>
      <c r="D187" s="38"/>
      <c r="E187" s="40"/>
      <c r="F187" s="40"/>
      <c r="G187" s="37"/>
      <c r="H187" s="20" t="str">
        <f t="shared" si="47"/>
        <v>N.v.t.</v>
      </c>
      <c r="I187" s="108" t="str">
        <f t="shared" si="48"/>
        <v/>
      </c>
    </row>
    <row r="188" spans="2:9" x14ac:dyDescent="0.2">
      <c r="B188" s="12" t="str">
        <f>$B$19</f>
        <v>PCB 28</v>
      </c>
      <c r="C188" s="20" t="str">
        <f>IF(VLOOKUP(SpoelHexaan2[[#This Row],[Component]],Concentraties!$B$8:$L$17,2,FALSE)="","",VLOOKUP(SpoelHexaan2[[#This Row],[Component]],Concentraties!$B$8:$L$17,2,FALSE))</f>
        <v>-</v>
      </c>
      <c r="D188" s="38"/>
      <c r="E188" s="40"/>
      <c r="F188" s="40"/>
      <c r="G188" s="37"/>
      <c r="H188" s="20" t="str">
        <f t="shared" si="47"/>
        <v>N.v.t.</v>
      </c>
      <c r="I188" s="108" t="str">
        <f t="shared" si="48"/>
        <v/>
      </c>
    </row>
    <row r="189" spans="2:9" x14ac:dyDescent="0.2">
      <c r="C189" s="35"/>
    </row>
    <row r="190" spans="2:9" ht="20.25" x14ac:dyDescent="0.3">
      <c r="B190" s="8" t="s">
        <v>97</v>
      </c>
      <c r="C190" s="35"/>
    </row>
    <row r="191" spans="2:9" ht="39" thickBot="1" x14ac:dyDescent="0.25">
      <c r="B191" s="14" t="s">
        <v>2</v>
      </c>
      <c r="C191" s="15" t="s">
        <v>70</v>
      </c>
      <c r="D191" s="15" t="s">
        <v>3</v>
      </c>
      <c r="E191" s="15" t="s">
        <v>47</v>
      </c>
      <c r="F191" s="15" t="s">
        <v>48</v>
      </c>
      <c r="G191" s="15" t="s">
        <v>67</v>
      </c>
      <c r="H191" s="36" t="s">
        <v>4</v>
      </c>
      <c r="I191" s="106" t="s">
        <v>5</v>
      </c>
    </row>
    <row r="192" spans="2:9" ht="13.5" thickTop="1" x14ac:dyDescent="0.2">
      <c r="B192" s="13" t="str">
        <f>$B$10</f>
        <v>44-DDD</v>
      </c>
      <c r="C192" s="20" t="str">
        <f>IF(VLOOKUP(WB_BLM_2[[#This Row],[Component]],Concentraties!$B$8:$L$17,2,FALSE)="","",VLOOKUP(WB_BLM_2[[#This Row],[Component]],Concentraties!$B$8:$L$17,2,FALSE))</f>
        <v>-</v>
      </c>
      <c r="D192" s="37"/>
      <c r="E192" s="39"/>
      <c r="F192" s="39"/>
      <c r="G192" s="37"/>
      <c r="H192" s="20" t="str">
        <f t="shared" ref="H192:H201" si="49">IFERROR(IF(C192="-","N.v.t.",IF(G192="","",100*G192/C192)),"")</f>
        <v>N.v.t.</v>
      </c>
      <c r="I192" s="107" t="str">
        <f t="shared" ref="I192:I201" si="50">IFERROR(MIN(E192,F192)/MAX(E192,F192),"")</f>
        <v/>
      </c>
    </row>
    <row r="193" spans="2:9" x14ac:dyDescent="0.2">
      <c r="B193" s="12" t="str">
        <f>$B$11</f>
        <v>Antraceen</v>
      </c>
      <c r="C193" s="34" t="str">
        <f>IF(VLOOKUP(WB_BLM_2[[#This Row],[Component]],Concentraties!$B$8:$L$17,2,FALSE)="","",VLOOKUP(WB_BLM_2[[#This Row],[Component]],Concentraties!$B$8:$L$17,2,FALSE))</f>
        <v>-</v>
      </c>
      <c r="D193" s="38"/>
      <c r="E193" s="40"/>
      <c r="F193" s="40"/>
      <c r="G193" s="37"/>
      <c r="H193" s="20" t="str">
        <f t="shared" si="49"/>
        <v>N.v.t.</v>
      </c>
      <c r="I193" s="108" t="str">
        <f t="shared" si="50"/>
        <v/>
      </c>
    </row>
    <row r="194" spans="2:9" x14ac:dyDescent="0.2">
      <c r="B194" s="12" t="str">
        <f>$B$12</f>
        <v>Benzo(a)pyreen</v>
      </c>
      <c r="C194" s="34" t="str">
        <f>IF(VLOOKUP(WB_BLM_2[[#This Row],[Component]],Concentraties!$B$8:$L$17,2,FALSE)="","",VLOOKUP(WB_BLM_2[[#This Row],[Component]],Concentraties!$B$8:$L$17,2,FALSE))</f>
        <v>-</v>
      </c>
      <c r="D194" s="38"/>
      <c r="E194" s="40"/>
      <c r="F194" s="40"/>
      <c r="G194" s="37"/>
      <c r="H194" s="20" t="str">
        <f t="shared" si="49"/>
        <v>N.v.t.</v>
      </c>
      <c r="I194" s="108" t="str">
        <f t="shared" si="50"/>
        <v/>
      </c>
    </row>
    <row r="195" spans="2:9" x14ac:dyDescent="0.2">
      <c r="B195" s="12" t="str">
        <f>$B$13</f>
        <v>Benzo(ghi)peryleen</v>
      </c>
      <c r="C195" s="34" t="str">
        <f>IF(VLOOKUP(WB_BLM_2[[#This Row],[Component]],Concentraties!$B$8:$L$17,2,FALSE)="","",VLOOKUP(WB_BLM_2[[#This Row],[Component]],Concentraties!$B$8:$L$17,2,FALSE))</f>
        <v>-</v>
      </c>
      <c r="D195" s="38"/>
      <c r="E195" s="40"/>
      <c r="F195" s="40"/>
      <c r="G195" s="37"/>
      <c r="H195" s="20" t="str">
        <f t="shared" si="49"/>
        <v>N.v.t.</v>
      </c>
      <c r="I195" s="108" t="str">
        <f t="shared" si="50"/>
        <v/>
      </c>
    </row>
    <row r="196" spans="2:9" x14ac:dyDescent="0.2">
      <c r="B196" s="12" t="str">
        <f>$B$14</f>
        <v>Cis-chloordaan</v>
      </c>
      <c r="C196" s="34" t="str">
        <f>IF(VLOOKUP(WB_BLM_2[[#This Row],[Component]],Concentraties!$B$8:$L$17,2,FALSE)="","",VLOOKUP(WB_BLM_2[[#This Row],[Component]],Concentraties!$B$8:$L$17,2,FALSE))</f>
        <v>-</v>
      </c>
      <c r="D196" s="38"/>
      <c r="E196" s="40"/>
      <c r="F196" s="40"/>
      <c r="G196" s="37"/>
      <c r="H196" s="20" t="str">
        <f t="shared" si="49"/>
        <v>N.v.t.</v>
      </c>
      <c r="I196" s="108" t="str">
        <f t="shared" si="50"/>
        <v/>
      </c>
    </row>
    <row r="197" spans="2:9" x14ac:dyDescent="0.2">
      <c r="B197" s="12" t="str">
        <f>$B$15</f>
        <v>Endrin</v>
      </c>
      <c r="C197" s="34" t="str">
        <f>IF(VLOOKUP(WB_BLM_2[[#This Row],[Component]],Concentraties!$B$8:$L$17,2,FALSE)="","",VLOOKUP(WB_BLM_2[[#This Row],[Component]],Concentraties!$B$8:$L$17,2,FALSE))</f>
        <v>-</v>
      </c>
      <c r="D197" s="38"/>
      <c r="E197" s="40"/>
      <c r="F197" s="40"/>
      <c r="G197" s="37"/>
      <c r="H197" s="20" t="str">
        <f t="shared" si="49"/>
        <v>N.v.t.</v>
      </c>
      <c r="I197" s="108" t="str">
        <f t="shared" si="50"/>
        <v/>
      </c>
    </row>
    <row r="198" spans="2:9" x14ac:dyDescent="0.2">
      <c r="B198" s="12" t="str">
        <f>$B$16</f>
        <v>Hexachloorbutadieen</v>
      </c>
      <c r="C198" s="34" t="str">
        <f>IF(VLOOKUP(WB_BLM_2[[#This Row],[Component]],Concentraties!$B$8:$L$17,2,FALSE)="","",VLOOKUP(WB_BLM_2[[#This Row],[Component]],Concentraties!$B$8:$L$17,2,FALSE))</f>
        <v>-</v>
      </c>
      <c r="D198" s="38"/>
      <c r="E198" s="40"/>
      <c r="F198" s="40"/>
      <c r="G198" s="37"/>
      <c r="H198" s="20" t="str">
        <f t="shared" si="49"/>
        <v>N.v.t.</v>
      </c>
      <c r="I198" s="108" t="str">
        <f t="shared" si="50"/>
        <v/>
      </c>
    </row>
    <row r="199" spans="2:9" x14ac:dyDescent="0.2">
      <c r="B199" s="12" t="str">
        <f>$B$17</f>
        <v>Naftaleen</v>
      </c>
      <c r="C199" s="34" t="str">
        <f>IF(VLOOKUP(WB_BLM_2[[#This Row],[Component]],Concentraties!$B$8:$L$17,2,FALSE)="","",VLOOKUP(WB_BLM_2[[#This Row],[Component]],Concentraties!$B$8:$L$17,2,FALSE))</f>
        <v>-</v>
      </c>
      <c r="D199" s="38"/>
      <c r="E199" s="40"/>
      <c r="F199" s="40"/>
      <c r="G199" s="37"/>
      <c r="H199" s="20" t="str">
        <f t="shared" si="49"/>
        <v>N.v.t.</v>
      </c>
      <c r="I199" s="108" t="str">
        <f t="shared" si="50"/>
        <v/>
      </c>
    </row>
    <row r="200" spans="2:9" x14ac:dyDescent="0.2">
      <c r="B200" s="12" t="str">
        <f>$B$18</f>
        <v>Pentachloorbenzeen</v>
      </c>
      <c r="C200" s="34" t="str">
        <f>IF(VLOOKUP(WB_BLM_2[[#This Row],[Component]],Concentraties!$B$8:$L$17,2,FALSE)="","",VLOOKUP(WB_BLM_2[[#This Row],[Component]],Concentraties!$B$8:$L$17,2,FALSE))</f>
        <v>-</v>
      </c>
      <c r="D200" s="38"/>
      <c r="E200" s="40"/>
      <c r="F200" s="40"/>
      <c r="G200" s="37"/>
      <c r="H200" s="20" t="str">
        <f t="shared" si="49"/>
        <v>N.v.t.</v>
      </c>
      <c r="I200" s="108" t="str">
        <f t="shared" si="50"/>
        <v/>
      </c>
    </row>
    <row r="201" spans="2:9" x14ac:dyDescent="0.2">
      <c r="B201" s="12" t="str">
        <f>$B$19</f>
        <v>PCB 28</v>
      </c>
      <c r="C201" s="34" t="str">
        <f>IF(VLOOKUP(WB_BLM_2[[#This Row],[Component]],Concentraties!$B$8:$L$17,2,FALSE)="","",VLOOKUP(WB_BLM_2[[#This Row],[Component]],Concentraties!$B$8:$L$17,2,FALSE))</f>
        <v>-</v>
      </c>
      <c r="D201" s="38"/>
      <c r="E201" s="40"/>
      <c r="F201" s="40"/>
      <c r="G201" s="37"/>
      <c r="H201" s="20" t="str">
        <f t="shared" si="49"/>
        <v>N.v.t.</v>
      </c>
      <c r="I201" s="108" t="str">
        <f t="shared" si="50"/>
        <v/>
      </c>
    </row>
    <row r="202" spans="2:9" x14ac:dyDescent="0.2">
      <c r="C202" s="35"/>
    </row>
    <row r="203" spans="2:9" ht="20.25" x14ac:dyDescent="0.3">
      <c r="B203" s="8" t="s">
        <v>74</v>
      </c>
      <c r="C203" s="35"/>
    </row>
    <row r="204" spans="2:9" ht="39" thickBot="1" x14ac:dyDescent="0.25">
      <c r="B204" s="14" t="s">
        <v>2</v>
      </c>
      <c r="C204" s="15" t="s">
        <v>70</v>
      </c>
      <c r="D204" s="15" t="s">
        <v>3</v>
      </c>
      <c r="E204" s="15" t="s">
        <v>47</v>
      </c>
      <c r="F204" s="15" t="s">
        <v>48</v>
      </c>
      <c r="G204" s="15" t="s">
        <v>67</v>
      </c>
      <c r="H204" s="36" t="s">
        <v>4</v>
      </c>
      <c r="I204" s="106" t="s">
        <v>5</v>
      </c>
    </row>
    <row r="205" spans="2:9" ht="13.5" thickTop="1" x14ac:dyDescent="0.2">
      <c r="B205" s="13" t="str">
        <f>$B$10</f>
        <v>44-DDD</v>
      </c>
      <c r="C205" s="20" t="str">
        <f>IF(VLOOKUP(WB_RG_1[[#This Row],[Component]],Concentraties!$B$8:$L$17,10,FALSE)="","",VLOOKUP(WB_RG_1[[#This Row],[Component]],Concentraties!$B$8:$L$17,10,FALSE))</f>
        <v/>
      </c>
      <c r="D205" s="37"/>
      <c r="E205" s="39"/>
      <c r="F205" s="39"/>
      <c r="G205" s="37"/>
      <c r="H205" s="20" t="str">
        <f t="shared" ref="H205:H214" si="51">IFERROR(IF(C205="-","N.v.t.",IF(G205="","",100*G205/C205)),"")</f>
        <v/>
      </c>
      <c r="I205" s="107" t="str">
        <f t="shared" ref="I205:I214" si="52">IFERROR(MIN(E205,F205)/MAX(E205,F205),"")</f>
        <v/>
      </c>
    </row>
    <row r="206" spans="2:9" x14ac:dyDescent="0.2">
      <c r="B206" s="12" t="str">
        <f>$B$11</f>
        <v>Antraceen</v>
      </c>
      <c r="C206" s="34" t="str">
        <f>IF(VLOOKUP(WB_RG_1[[#This Row],[Component]],Concentraties!$B$8:$L$17,10,FALSE)="","",VLOOKUP(WB_RG_1[[#This Row],[Component]],Concentraties!$B$8:$L$17,10,FALSE))</f>
        <v/>
      </c>
      <c r="D206" s="38"/>
      <c r="E206" s="40"/>
      <c r="F206" s="40"/>
      <c r="G206" s="37"/>
      <c r="H206" s="20" t="str">
        <f t="shared" si="51"/>
        <v/>
      </c>
      <c r="I206" s="108" t="str">
        <f t="shared" si="52"/>
        <v/>
      </c>
    </row>
    <row r="207" spans="2:9" x14ac:dyDescent="0.2">
      <c r="B207" s="12" t="str">
        <f>$B$12</f>
        <v>Benzo(a)pyreen</v>
      </c>
      <c r="C207" s="34" t="str">
        <f>IF(VLOOKUP(WB_RG_1[[#This Row],[Component]],Concentraties!$B$8:$L$17,10,FALSE)="","",VLOOKUP(WB_RG_1[[#This Row],[Component]],Concentraties!$B$8:$L$17,10,FALSE))</f>
        <v/>
      </c>
      <c r="D207" s="38"/>
      <c r="E207" s="40"/>
      <c r="F207" s="40"/>
      <c r="G207" s="37"/>
      <c r="H207" s="20" t="str">
        <f t="shared" si="51"/>
        <v/>
      </c>
      <c r="I207" s="108" t="str">
        <f t="shared" si="52"/>
        <v/>
      </c>
    </row>
    <row r="208" spans="2:9" x14ac:dyDescent="0.2">
      <c r="B208" s="12" t="str">
        <f>$B$13</f>
        <v>Benzo(ghi)peryleen</v>
      </c>
      <c r="C208" s="34" t="str">
        <f>IF(VLOOKUP(WB_RG_1[[#This Row],[Component]],Concentraties!$B$8:$L$17,10,FALSE)="","",VLOOKUP(WB_RG_1[[#This Row],[Component]],Concentraties!$B$8:$L$17,10,FALSE))</f>
        <v/>
      </c>
      <c r="D208" s="38"/>
      <c r="E208" s="40"/>
      <c r="F208" s="40"/>
      <c r="G208" s="37"/>
      <c r="H208" s="20" t="str">
        <f t="shared" si="51"/>
        <v/>
      </c>
      <c r="I208" s="108" t="str">
        <f t="shared" si="52"/>
        <v/>
      </c>
    </row>
    <row r="209" spans="2:9" x14ac:dyDescent="0.2">
      <c r="B209" s="12" t="str">
        <f>$B$14</f>
        <v>Cis-chloordaan</v>
      </c>
      <c r="C209" s="34" t="str">
        <f>IF(VLOOKUP(WB_RG_1[[#This Row],[Component]],Concentraties!$B$8:$L$17,10,FALSE)="","",VLOOKUP(WB_RG_1[[#This Row],[Component]],Concentraties!$B$8:$L$17,10,FALSE))</f>
        <v/>
      </c>
      <c r="D209" s="38"/>
      <c r="E209" s="40"/>
      <c r="F209" s="40"/>
      <c r="G209" s="37"/>
      <c r="H209" s="20" t="str">
        <f t="shared" si="51"/>
        <v/>
      </c>
      <c r="I209" s="108" t="str">
        <f t="shared" si="52"/>
        <v/>
      </c>
    </row>
    <row r="210" spans="2:9" x14ac:dyDescent="0.2">
      <c r="B210" s="12" t="str">
        <f>$B$15</f>
        <v>Endrin</v>
      </c>
      <c r="C210" s="34" t="str">
        <f>IF(VLOOKUP(WB_RG_1[[#This Row],[Component]],Concentraties!$B$8:$L$17,10,FALSE)="","",VLOOKUP(WB_RG_1[[#This Row],[Component]],Concentraties!$B$8:$L$17,10,FALSE))</f>
        <v/>
      </c>
      <c r="D210" s="38"/>
      <c r="E210" s="40"/>
      <c r="F210" s="40"/>
      <c r="G210" s="37"/>
      <c r="H210" s="20" t="str">
        <f t="shared" si="51"/>
        <v/>
      </c>
      <c r="I210" s="108" t="str">
        <f t="shared" si="52"/>
        <v/>
      </c>
    </row>
    <row r="211" spans="2:9" x14ac:dyDescent="0.2">
      <c r="B211" s="12" t="str">
        <f>$B$16</f>
        <v>Hexachloorbutadieen</v>
      </c>
      <c r="C211" s="34" t="str">
        <f>IF(VLOOKUP(WB_RG_1[[#This Row],[Component]],Concentraties!$B$8:$L$17,10,FALSE)="","",VLOOKUP(WB_RG_1[[#This Row],[Component]],Concentraties!$B$8:$L$17,10,FALSE))</f>
        <v/>
      </c>
      <c r="D211" s="38"/>
      <c r="E211" s="40"/>
      <c r="F211" s="40"/>
      <c r="G211" s="37"/>
      <c r="H211" s="20" t="str">
        <f t="shared" si="51"/>
        <v/>
      </c>
      <c r="I211" s="108" t="str">
        <f t="shared" si="52"/>
        <v/>
      </c>
    </row>
    <row r="212" spans="2:9" x14ac:dyDescent="0.2">
      <c r="B212" s="12" t="str">
        <f>$B$17</f>
        <v>Naftaleen</v>
      </c>
      <c r="C212" s="34" t="str">
        <f>IF(VLOOKUP(WB_RG_1[[#This Row],[Component]],Concentraties!$B$8:$L$17,10,FALSE)="","",VLOOKUP(WB_RG_1[[#This Row],[Component]],Concentraties!$B$8:$L$17,10,FALSE))</f>
        <v/>
      </c>
      <c r="D212" s="38"/>
      <c r="E212" s="40"/>
      <c r="F212" s="40"/>
      <c r="G212" s="37"/>
      <c r="H212" s="20" t="str">
        <f t="shared" si="51"/>
        <v/>
      </c>
      <c r="I212" s="108" t="str">
        <f t="shared" si="52"/>
        <v/>
      </c>
    </row>
    <row r="213" spans="2:9" x14ac:dyDescent="0.2">
      <c r="B213" s="12" t="str">
        <f>$B$18</f>
        <v>Pentachloorbenzeen</v>
      </c>
      <c r="C213" s="34" t="str">
        <f>IF(VLOOKUP(WB_RG_1[[#This Row],[Component]],Concentraties!$B$8:$L$17,10,FALSE)="","",VLOOKUP(WB_RG_1[[#This Row],[Component]],Concentraties!$B$8:$L$17,10,FALSE))</f>
        <v/>
      </c>
      <c r="D213" s="38"/>
      <c r="E213" s="40"/>
      <c r="F213" s="40"/>
      <c r="G213" s="37"/>
      <c r="H213" s="20" t="str">
        <f t="shared" si="51"/>
        <v/>
      </c>
      <c r="I213" s="108" t="str">
        <f t="shared" si="52"/>
        <v/>
      </c>
    </row>
    <row r="214" spans="2:9" x14ac:dyDescent="0.2">
      <c r="B214" s="12" t="str">
        <f>$B$19</f>
        <v>PCB 28</v>
      </c>
      <c r="C214" s="34" t="str">
        <f>IF(VLOOKUP(WB_RG_1[[#This Row],[Component]],Concentraties!$B$8:$L$17,10,FALSE)="","",VLOOKUP(WB_RG_1[[#This Row],[Component]],Concentraties!$B$8:$L$17,10,FALSE))</f>
        <v/>
      </c>
      <c r="D214" s="38"/>
      <c r="E214" s="40"/>
      <c r="F214" s="40"/>
      <c r="G214" s="37"/>
      <c r="H214" s="20" t="str">
        <f t="shared" si="51"/>
        <v/>
      </c>
      <c r="I214" s="108" t="str">
        <f t="shared" si="52"/>
        <v/>
      </c>
    </row>
    <row r="215" spans="2:9" x14ac:dyDescent="0.2">
      <c r="C215" s="35"/>
    </row>
    <row r="216" spans="2:9" ht="20.25" x14ac:dyDescent="0.3">
      <c r="B216" s="8" t="s">
        <v>75</v>
      </c>
      <c r="C216" s="35"/>
    </row>
    <row r="217" spans="2:9" ht="39" thickBot="1" x14ac:dyDescent="0.25">
      <c r="B217" s="14" t="s">
        <v>2</v>
      </c>
      <c r="C217" s="15" t="s">
        <v>70</v>
      </c>
      <c r="D217" s="15" t="s">
        <v>3</v>
      </c>
      <c r="E217" s="15" t="s">
        <v>47</v>
      </c>
      <c r="F217" s="15" t="s">
        <v>48</v>
      </c>
      <c r="G217" s="15" t="s">
        <v>67</v>
      </c>
      <c r="H217" s="36" t="s">
        <v>4</v>
      </c>
      <c r="I217" s="106" t="s">
        <v>5</v>
      </c>
    </row>
    <row r="218" spans="2:9" ht="13.5" thickTop="1" x14ac:dyDescent="0.2">
      <c r="B218" s="13" t="str">
        <f>$B$10</f>
        <v>44-DDD</v>
      </c>
      <c r="C218" s="20" t="str">
        <f>IF(VLOOKUP(WB_RG_2[[#This Row],[Component]],Concentraties!$B$8:$L$17,10,FALSE)="","",VLOOKUP(WB_RG_2[[#This Row],[Component]],Concentraties!$B$8:$L$17,10,FALSE))</f>
        <v/>
      </c>
      <c r="D218" s="37"/>
      <c r="E218" s="39"/>
      <c r="F218" s="39"/>
      <c r="G218" s="37"/>
      <c r="H218" s="20" t="str">
        <f t="shared" ref="H218:H227" si="53">IFERROR(IF(C218="-","N.v.t.",IF(G218="","",100*G218/C218)),"")</f>
        <v/>
      </c>
      <c r="I218" s="107" t="str">
        <f t="shared" ref="I218:I227" si="54">IFERROR(MIN(E218,F218)/MAX(E218,F218),"")</f>
        <v/>
      </c>
    </row>
    <row r="219" spans="2:9" x14ac:dyDescent="0.2">
      <c r="B219" s="12" t="str">
        <f>$B$11</f>
        <v>Antraceen</v>
      </c>
      <c r="C219" s="34" t="str">
        <f>IF(VLOOKUP(WB_RG_2[[#This Row],[Component]],Concentraties!$B$8:$L$17,10,FALSE)="","",VLOOKUP(WB_RG_2[[#This Row],[Component]],Concentraties!$B$8:$L$17,10,FALSE))</f>
        <v/>
      </c>
      <c r="D219" s="38"/>
      <c r="E219" s="40"/>
      <c r="F219" s="40"/>
      <c r="G219" s="37"/>
      <c r="H219" s="20" t="str">
        <f t="shared" si="53"/>
        <v/>
      </c>
      <c r="I219" s="108" t="str">
        <f t="shared" si="54"/>
        <v/>
      </c>
    </row>
    <row r="220" spans="2:9" x14ac:dyDescent="0.2">
      <c r="B220" s="12" t="str">
        <f>$B$12</f>
        <v>Benzo(a)pyreen</v>
      </c>
      <c r="C220" s="34" t="str">
        <f>IF(VLOOKUP(WB_RG_2[[#This Row],[Component]],Concentraties!$B$8:$L$17,10,FALSE)="","",VLOOKUP(WB_RG_2[[#This Row],[Component]],Concentraties!$B$8:$L$17,10,FALSE))</f>
        <v/>
      </c>
      <c r="D220" s="38"/>
      <c r="E220" s="40"/>
      <c r="F220" s="40"/>
      <c r="G220" s="37"/>
      <c r="H220" s="20" t="str">
        <f t="shared" si="53"/>
        <v/>
      </c>
      <c r="I220" s="108" t="str">
        <f t="shared" si="54"/>
        <v/>
      </c>
    </row>
    <row r="221" spans="2:9" x14ac:dyDescent="0.2">
      <c r="B221" s="12" t="str">
        <f>$B$13</f>
        <v>Benzo(ghi)peryleen</v>
      </c>
      <c r="C221" s="34" t="str">
        <f>IF(VLOOKUP(WB_RG_2[[#This Row],[Component]],Concentraties!$B$8:$L$17,10,FALSE)="","",VLOOKUP(WB_RG_2[[#This Row],[Component]],Concentraties!$B$8:$L$17,10,FALSE))</f>
        <v/>
      </c>
      <c r="D221" s="38"/>
      <c r="E221" s="40"/>
      <c r="F221" s="40"/>
      <c r="G221" s="37"/>
      <c r="H221" s="20" t="str">
        <f t="shared" si="53"/>
        <v/>
      </c>
      <c r="I221" s="108" t="str">
        <f t="shared" si="54"/>
        <v/>
      </c>
    </row>
    <row r="222" spans="2:9" x14ac:dyDescent="0.2">
      <c r="B222" s="12" t="str">
        <f>$B$14</f>
        <v>Cis-chloordaan</v>
      </c>
      <c r="C222" s="34" t="str">
        <f>IF(VLOOKUP(WB_RG_2[[#This Row],[Component]],Concentraties!$B$8:$L$17,10,FALSE)="","",VLOOKUP(WB_RG_2[[#This Row],[Component]],Concentraties!$B$8:$L$17,10,FALSE))</f>
        <v/>
      </c>
      <c r="D222" s="38"/>
      <c r="E222" s="40"/>
      <c r="F222" s="40"/>
      <c r="G222" s="37"/>
      <c r="H222" s="20" t="str">
        <f t="shared" si="53"/>
        <v/>
      </c>
      <c r="I222" s="108" t="str">
        <f t="shared" si="54"/>
        <v/>
      </c>
    </row>
    <row r="223" spans="2:9" x14ac:dyDescent="0.2">
      <c r="B223" s="12" t="str">
        <f>$B$15</f>
        <v>Endrin</v>
      </c>
      <c r="C223" s="34" t="str">
        <f>IF(VLOOKUP(WB_RG_2[[#This Row],[Component]],Concentraties!$B$8:$L$17,10,FALSE)="","",VLOOKUP(WB_RG_2[[#This Row],[Component]],Concentraties!$B$8:$L$17,10,FALSE))</f>
        <v/>
      </c>
      <c r="D223" s="38"/>
      <c r="E223" s="40"/>
      <c r="F223" s="40"/>
      <c r="G223" s="37"/>
      <c r="H223" s="20" t="str">
        <f t="shared" si="53"/>
        <v/>
      </c>
      <c r="I223" s="108" t="str">
        <f t="shared" si="54"/>
        <v/>
      </c>
    </row>
    <row r="224" spans="2:9" x14ac:dyDescent="0.2">
      <c r="B224" s="12" t="str">
        <f>$B$16</f>
        <v>Hexachloorbutadieen</v>
      </c>
      <c r="C224" s="34" t="str">
        <f>IF(VLOOKUP(WB_RG_2[[#This Row],[Component]],Concentraties!$B$8:$L$17,10,FALSE)="","",VLOOKUP(WB_RG_2[[#This Row],[Component]],Concentraties!$B$8:$L$17,10,FALSE))</f>
        <v/>
      </c>
      <c r="D224" s="38"/>
      <c r="E224" s="40"/>
      <c r="F224" s="40"/>
      <c r="G224" s="37"/>
      <c r="H224" s="20" t="str">
        <f t="shared" si="53"/>
        <v/>
      </c>
      <c r="I224" s="108" t="str">
        <f t="shared" si="54"/>
        <v/>
      </c>
    </row>
    <row r="225" spans="2:9" x14ac:dyDescent="0.2">
      <c r="B225" s="12" t="str">
        <f>$B$17</f>
        <v>Naftaleen</v>
      </c>
      <c r="C225" s="34" t="str">
        <f>IF(VLOOKUP(WB_RG_2[[#This Row],[Component]],Concentraties!$B$8:$L$17,10,FALSE)="","",VLOOKUP(WB_RG_2[[#This Row],[Component]],Concentraties!$B$8:$L$17,10,FALSE))</f>
        <v/>
      </c>
      <c r="D225" s="38"/>
      <c r="E225" s="40"/>
      <c r="F225" s="40"/>
      <c r="G225" s="37"/>
      <c r="H225" s="20" t="str">
        <f t="shared" si="53"/>
        <v/>
      </c>
      <c r="I225" s="108" t="str">
        <f t="shared" si="54"/>
        <v/>
      </c>
    </row>
    <row r="226" spans="2:9" x14ac:dyDescent="0.2">
      <c r="B226" s="12" t="str">
        <f>$B$18</f>
        <v>Pentachloorbenzeen</v>
      </c>
      <c r="C226" s="34" t="str">
        <f>IF(VLOOKUP(WB_RG_2[[#This Row],[Component]],Concentraties!$B$8:$L$17,10,FALSE)="","",VLOOKUP(WB_RG_2[[#This Row],[Component]],Concentraties!$B$8:$L$17,10,FALSE))</f>
        <v/>
      </c>
      <c r="D226" s="38"/>
      <c r="E226" s="40"/>
      <c r="F226" s="40"/>
      <c r="G226" s="37"/>
      <c r="H226" s="20" t="str">
        <f t="shared" si="53"/>
        <v/>
      </c>
      <c r="I226" s="108" t="str">
        <f t="shared" si="54"/>
        <v/>
      </c>
    </row>
    <row r="227" spans="2:9" x14ac:dyDescent="0.2">
      <c r="B227" s="12" t="str">
        <f>$B$19</f>
        <v>PCB 28</v>
      </c>
      <c r="C227" s="34" t="str">
        <f>IF(VLOOKUP(WB_RG_2[[#This Row],[Component]],Concentraties!$B$8:$L$17,10,FALSE)="","",VLOOKUP(WB_RG_2[[#This Row],[Component]],Concentraties!$B$8:$L$17,10,FALSE))</f>
        <v/>
      </c>
      <c r="D227" s="38"/>
      <c r="E227" s="40"/>
      <c r="F227" s="40"/>
      <c r="G227" s="37"/>
      <c r="H227" s="20" t="str">
        <f t="shared" si="53"/>
        <v/>
      </c>
      <c r="I227" s="108" t="str">
        <f t="shared" si="54"/>
        <v/>
      </c>
    </row>
    <row r="228" spans="2:9" x14ac:dyDescent="0.2">
      <c r="C228" s="35"/>
    </row>
    <row r="229" spans="2:9" ht="20.25" x14ac:dyDescent="0.3">
      <c r="B229" s="8" t="s">
        <v>76</v>
      </c>
      <c r="C229" s="35"/>
    </row>
    <row r="230" spans="2:9" ht="39" thickBot="1" x14ac:dyDescent="0.25">
      <c r="B230" s="14" t="s">
        <v>2</v>
      </c>
      <c r="C230" s="15" t="s">
        <v>70</v>
      </c>
      <c r="D230" s="15" t="s">
        <v>3</v>
      </c>
      <c r="E230" s="15" t="s">
        <v>47</v>
      </c>
      <c r="F230" s="15" t="s">
        <v>48</v>
      </c>
      <c r="G230" s="15" t="s">
        <v>67</v>
      </c>
      <c r="H230" s="36" t="s">
        <v>4</v>
      </c>
      <c r="I230" s="106" t="s">
        <v>5</v>
      </c>
    </row>
    <row r="231" spans="2:9" ht="13.5" thickTop="1" x14ac:dyDescent="0.2">
      <c r="B231" s="13" t="str">
        <f>$B$10</f>
        <v>44-DDD</v>
      </c>
      <c r="C231" s="20" t="str">
        <f>IF(VLOOKUP(WB_RG_3[[#This Row],[Component]],Concentraties!$B$8:$L$17,10,FALSE)="","",VLOOKUP(WB_RG_3[[#This Row],[Component]],Concentraties!$B$8:$L$17,10,FALSE))</f>
        <v/>
      </c>
      <c r="D231" s="37"/>
      <c r="E231" s="39"/>
      <c r="F231" s="39"/>
      <c r="G231" s="37"/>
      <c r="H231" s="20" t="str">
        <f t="shared" ref="H231:H240" si="55">IFERROR(IF(C231="-","N.v.t.",IF(G231="","",100*G231/C231)),"")</f>
        <v/>
      </c>
      <c r="I231" s="107" t="str">
        <f t="shared" ref="I231:I240" si="56">IFERROR(MIN(E231,F231)/MAX(E231,F231),"")</f>
        <v/>
      </c>
    </row>
    <row r="232" spans="2:9" x14ac:dyDescent="0.2">
      <c r="B232" s="12" t="str">
        <f>$B$11</f>
        <v>Antraceen</v>
      </c>
      <c r="C232" s="34" t="str">
        <f>IF(VLOOKUP(WB_RG_3[[#This Row],[Component]],Concentraties!$B$8:$L$17,10,FALSE)="","",VLOOKUP(WB_RG_3[[#This Row],[Component]],Concentraties!$B$8:$L$17,10,FALSE))</f>
        <v/>
      </c>
      <c r="D232" s="38"/>
      <c r="E232" s="40"/>
      <c r="F232" s="40"/>
      <c r="G232" s="37"/>
      <c r="H232" s="20" t="str">
        <f t="shared" si="55"/>
        <v/>
      </c>
      <c r="I232" s="108" t="str">
        <f t="shared" si="56"/>
        <v/>
      </c>
    </row>
    <row r="233" spans="2:9" x14ac:dyDescent="0.2">
      <c r="B233" s="12" t="str">
        <f>$B$12</f>
        <v>Benzo(a)pyreen</v>
      </c>
      <c r="C233" s="34" t="str">
        <f>IF(VLOOKUP(WB_RG_3[[#This Row],[Component]],Concentraties!$B$8:$L$17,10,FALSE)="","",VLOOKUP(WB_RG_3[[#This Row],[Component]],Concentraties!$B$8:$L$17,10,FALSE))</f>
        <v/>
      </c>
      <c r="D233" s="38"/>
      <c r="E233" s="40"/>
      <c r="F233" s="40"/>
      <c r="G233" s="37"/>
      <c r="H233" s="20" t="str">
        <f t="shared" si="55"/>
        <v/>
      </c>
      <c r="I233" s="108" t="str">
        <f t="shared" si="56"/>
        <v/>
      </c>
    </row>
    <row r="234" spans="2:9" x14ac:dyDescent="0.2">
      <c r="B234" s="12" t="str">
        <f>$B$13</f>
        <v>Benzo(ghi)peryleen</v>
      </c>
      <c r="C234" s="34" t="str">
        <f>IF(VLOOKUP(WB_RG_3[[#This Row],[Component]],Concentraties!$B$8:$L$17,10,FALSE)="","",VLOOKUP(WB_RG_3[[#This Row],[Component]],Concentraties!$B$8:$L$17,10,FALSE))</f>
        <v/>
      </c>
      <c r="D234" s="38"/>
      <c r="E234" s="40"/>
      <c r="F234" s="40"/>
      <c r="G234" s="37"/>
      <c r="H234" s="20" t="str">
        <f t="shared" si="55"/>
        <v/>
      </c>
      <c r="I234" s="108" t="str">
        <f t="shared" si="56"/>
        <v/>
      </c>
    </row>
    <row r="235" spans="2:9" x14ac:dyDescent="0.2">
      <c r="B235" s="12" t="str">
        <f>$B$14</f>
        <v>Cis-chloordaan</v>
      </c>
      <c r="C235" s="34" t="str">
        <f>IF(VLOOKUP(WB_RG_3[[#This Row],[Component]],Concentraties!$B$8:$L$17,10,FALSE)="","",VLOOKUP(WB_RG_3[[#This Row],[Component]],Concentraties!$B$8:$L$17,10,FALSE))</f>
        <v/>
      </c>
      <c r="D235" s="38"/>
      <c r="E235" s="40"/>
      <c r="F235" s="40"/>
      <c r="G235" s="37"/>
      <c r="H235" s="20" t="str">
        <f t="shared" si="55"/>
        <v/>
      </c>
      <c r="I235" s="108" t="str">
        <f t="shared" si="56"/>
        <v/>
      </c>
    </row>
    <row r="236" spans="2:9" x14ac:dyDescent="0.2">
      <c r="B236" s="12" t="str">
        <f>$B$15</f>
        <v>Endrin</v>
      </c>
      <c r="C236" s="34" t="str">
        <f>IF(VLOOKUP(WB_RG_3[[#This Row],[Component]],Concentraties!$B$8:$L$17,10,FALSE)="","",VLOOKUP(WB_RG_3[[#This Row],[Component]],Concentraties!$B$8:$L$17,10,FALSE))</f>
        <v/>
      </c>
      <c r="D236" s="38"/>
      <c r="E236" s="40"/>
      <c r="F236" s="40"/>
      <c r="G236" s="37"/>
      <c r="H236" s="20" t="str">
        <f t="shared" si="55"/>
        <v/>
      </c>
      <c r="I236" s="108" t="str">
        <f t="shared" si="56"/>
        <v/>
      </c>
    </row>
    <row r="237" spans="2:9" x14ac:dyDescent="0.2">
      <c r="B237" s="12" t="str">
        <f>$B$16</f>
        <v>Hexachloorbutadieen</v>
      </c>
      <c r="C237" s="34" t="str">
        <f>IF(VLOOKUP(WB_RG_3[[#This Row],[Component]],Concentraties!$B$8:$L$17,10,FALSE)="","",VLOOKUP(WB_RG_3[[#This Row],[Component]],Concentraties!$B$8:$L$17,10,FALSE))</f>
        <v/>
      </c>
      <c r="D237" s="38"/>
      <c r="E237" s="40"/>
      <c r="F237" s="40"/>
      <c r="G237" s="37"/>
      <c r="H237" s="20" t="str">
        <f t="shared" si="55"/>
        <v/>
      </c>
      <c r="I237" s="108" t="str">
        <f t="shared" si="56"/>
        <v/>
      </c>
    </row>
    <row r="238" spans="2:9" x14ac:dyDescent="0.2">
      <c r="B238" s="12" t="str">
        <f>$B$17</f>
        <v>Naftaleen</v>
      </c>
      <c r="C238" s="34" t="str">
        <f>IF(VLOOKUP(WB_RG_3[[#This Row],[Component]],Concentraties!$B$8:$L$17,10,FALSE)="","",VLOOKUP(WB_RG_3[[#This Row],[Component]],Concentraties!$B$8:$L$17,10,FALSE))</f>
        <v/>
      </c>
      <c r="D238" s="38"/>
      <c r="E238" s="40"/>
      <c r="F238" s="40"/>
      <c r="G238" s="37"/>
      <c r="H238" s="20" t="str">
        <f t="shared" si="55"/>
        <v/>
      </c>
      <c r="I238" s="108" t="str">
        <f t="shared" si="56"/>
        <v/>
      </c>
    </row>
    <row r="239" spans="2:9" x14ac:dyDescent="0.2">
      <c r="B239" s="12" t="str">
        <f>$B$18</f>
        <v>Pentachloorbenzeen</v>
      </c>
      <c r="C239" s="34" t="str">
        <f>IF(VLOOKUP(WB_RG_3[[#This Row],[Component]],Concentraties!$B$8:$L$17,10,FALSE)="","",VLOOKUP(WB_RG_3[[#This Row],[Component]],Concentraties!$B$8:$L$17,10,FALSE))</f>
        <v/>
      </c>
      <c r="D239" s="38"/>
      <c r="E239" s="40"/>
      <c r="F239" s="40"/>
      <c r="G239" s="37"/>
      <c r="H239" s="20" t="str">
        <f t="shared" si="55"/>
        <v/>
      </c>
      <c r="I239" s="108" t="str">
        <f t="shared" si="56"/>
        <v/>
      </c>
    </row>
    <row r="240" spans="2:9" x14ac:dyDescent="0.2">
      <c r="B240" s="12" t="str">
        <f>$B$19</f>
        <v>PCB 28</v>
      </c>
      <c r="C240" s="34" t="str">
        <f>IF(VLOOKUP(WB_RG_3[[#This Row],[Component]],Concentraties!$B$8:$L$17,10,FALSE)="","",VLOOKUP(WB_RG_3[[#This Row],[Component]],Concentraties!$B$8:$L$17,10,FALSE))</f>
        <v/>
      </c>
      <c r="D240" s="38"/>
      <c r="E240" s="40"/>
      <c r="F240" s="40"/>
      <c r="G240" s="37"/>
      <c r="H240" s="20" t="str">
        <f t="shared" si="55"/>
        <v/>
      </c>
      <c r="I240" s="108" t="str">
        <f t="shared" si="56"/>
        <v/>
      </c>
    </row>
    <row r="241" spans="2:9" x14ac:dyDescent="0.2">
      <c r="C241" s="35"/>
    </row>
    <row r="242" spans="2:9" ht="20.25" x14ac:dyDescent="0.3">
      <c r="B242" s="8" t="s">
        <v>77</v>
      </c>
      <c r="C242" s="35"/>
    </row>
    <row r="243" spans="2:9" ht="39" thickBot="1" x14ac:dyDescent="0.25">
      <c r="B243" s="14" t="s">
        <v>2</v>
      </c>
      <c r="C243" s="15" t="s">
        <v>70</v>
      </c>
      <c r="D243" s="15" t="s">
        <v>3</v>
      </c>
      <c r="E243" s="15" t="s">
        <v>47</v>
      </c>
      <c r="F243" s="15" t="s">
        <v>48</v>
      </c>
      <c r="G243" s="15" t="s">
        <v>67</v>
      </c>
      <c r="H243" s="36" t="s">
        <v>4</v>
      </c>
      <c r="I243" s="106" t="s">
        <v>5</v>
      </c>
    </row>
    <row r="244" spans="2:9" ht="13.5" thickTop="1" x14ac:dyDescent="0.2">
      <c r="B244" s="13" t="str">
        <f>$B$10</f>
        <v>44-DDD</v>
      </c>
      <c r="C244" s="20" t="str">
        <f>IF(VLOOKUP(WB_RG_4[[#This Row],[Component]],Concentraties!$B$8:$L$17,10,FALSE)="","",VLOOKUP(WB_RG_4[[#This Row],[Component]],Concentraties!$B$8:$L$17,10,FALSE))</f>
        <v/>
      </c>
      <c r="D244" s="37"/>
      <c r="E244" s="39"/>
      <c r="F244" s="39"/>
      <c r="G244" s="37"/>
      <c r="H244" s="20" t="str">
        <f t="shared" ref="H244:H253" si="57">IFERROR(IF(C244="-","N.v.t.",IF(G244="","",100*G244/C244)),"")</f>
        <v/>
      </c>
      <c r="I244" s="107" t="str">
        <f t="shared" ref="I244:I253" si="58">IFERROR(MIN(E244,F244)/MAX(E244,F244),"")</f>
        <v/>
      </c>
    </row>
    <row r="245" spans="2:9" x14ac:dyDescent="0.2">
      <c r="B245" s="12" t="str">
        <f>$B$11</f>
        <v>Antraceen</v>
      </c>
      <c r="C245" s="34" t="str">
        <f>IF(VLOOKUP(WB_RG_4[[#This Row],[Component]],Concentraties!$B$8:$L$17,10,FALSE)="","",VLOOKUP(WB_RG_4[[#This Row],[Component]],Concentraties!$B$8:$L$17,10,FALSE))</f>
        <v/>
      </c>
      <c r="D245" s="38"/>
      <c r="E245" s="40"/>
      <c r="F245" s="40"/>
      <c r="G245" s="37"/>
      <c r="H245" s="20" t="str">
        <f t="shared" si="57"/>
        <v/>
      </c>
      <c r="I245" s="108" t="str">
        <f t="shared" si="58"/>
        <v/>
      </c>
    </row>
    <row r="246" spans="2:9" x14ac:dyDescent="0.2">
      <c r="B246" s="12" t="str">
        <f>$B$12</f>
        <v>Benzo(a)pyreen</v>
      </c>
      <c r="C246" s="34" t="str">
        <f>IF(VLOOKUP(WB_RG_4[[#This Row],[Component]],Concentraties!$B$8:$L$17,10,FALSE)="","",VLOOKUP(WB_RG_4[[#This Row],[Component]],Concentraties!$B$8:$L$17,10,FALSE))</f>
        <v/>
      </c>
      <c r="D246" s="38"/>
      <c r="E246" s="40"/>
      <c r="F246" s="40"/>
      <c r="G246" s="37"/>
      <c r="H246" s="20" t="str">
        <f t="shared" si="57"/>
        <v/>
      </c>
      <c r="I246" s="108" t="str">
        <f t="shared" si="58"/>
        <v/>
      </c>
    </row>
    <row r="247" spans="2:9" x14ac:dyDescent="0.2">
      <c r="B247" s="12" t="str">
        <f>$B$13</f>
        <v>Benzo(ghi)peryleen</v>
      </c>
      <c r="C247" s="34" t="str">
        <f>IF(VLOOKUP(WB_RG_4[[#This Row],[Component]],Concentraties!$B$8:$L$17,10,FALSE)="","",VLOOKUP(WB_RG_4[[#This Row],[Component]],Concentraties!$B$8:$L$17,10,FALSE))</f>
        <v/>
      </c>
      <c r="D247" s="38"/>
      <c r="E247" s="40"/>
      <c r="F247" s="40"/>
      <c r="G247" s="37"/>
      <c r="H247" s="20" t="str">
        <f t="shared" si="57"/>
        <v/>
      </c>
      <c r="I247" s="108" t="str">
        <f t="shared" si="58"/>
        <v/>
      </c>
    </row>
    <row r="248" spans="2:9" x14ac:dyDescent="0.2">
      <c r="B248" s="12" t="str">
        <f>$B$14</f>
        <v>Cis-chloordaan</v>
      </c>
      <c r="C248" s="34" t="str">
        <f>IF(VLOOKUP(WB_RG_4[[#This Row],[Component]],Concentraties!$B$8:$L$17,10,FALSE)="","",VLOOKUP(WB_RG_4[[#This Row],[Component]],Concentraties!$B$8:$L$17,10,FALSE))</f>
        <v/>
      </c>
      <c r="D248" s="38"/>
      <c r="E248" s="40"/>
      <c r="F248" s="40"/>
      <c r="G248" s="37"/>
      <c r="H248" s="20" t="str">
        <f t="shared" si="57"/>
        <v/>
      </c>
      <c r="I248" s="108" t="str">
        <f t="shared" si="58"/>
        <v/>
      </c>
    </row>
    <row r="249" spans="2:9" x14ac:dyDescent="0.2">
      <c r="B249" s="12" t="str">
        <f>$B$15</f>
        <v>Endrin</v>
      </c>
      <c r="C249" s="34" t="str">
        <f>IF(VLOOKUP(WB_RG_4[[#This Row],[Component]],Concentraties!$B$8:$L$17,10,FALSE)="","",VLOOKUP(WB_RG_4[[#This Row],[Component]],Concentraties!$B$8:$L$17,10,FALSE))</f>
        <v/>
      </c>
      <c r="D249" s="38"/>
      <c r="E249" s="40"/>
      <c r="F249" s="40"/>
      <c r="G249" s="37"/>
      <c r="H249" s="20" t="str">
        <f t="shared" si="57"/>
        <v/>
      </c>
      <c r="I249" s="108" t="str">
        <f t="shared" si="58"/>
        <v/>
      </c>
    </row>
    <row r="250" spans="2:9" x14ac:dyDescent="0.2">
      <c r="B250" s="12" t="str">
        <f>$B$16</f>
        <v>Hexachloorbutadieen</v>
      </c>
      <c r="C250" s="34" t="str">
        <f>IF(VLOOKUP(WB_RG_4[[#This Row],[Component]],Concentraties!$B$8:$L$17,10,FALSE)="","",VLOOKUP(WB_RG_4[[#This Row],[Component]],Concentraties!$B$8:$L$17,10,FALSE))</f>
        <v/>
      </c>
      <c r="D250" s="38"/>
      <c r="E250" s="40"/>
      <c r="F250" s="40"/>
      <c r="G250" s="37"/>
      <c r="H250" s="20" t="str">
        <f t="shared" si="57"/>
        <v/>
      </c>
      <c r="I250" s="108" t="str">
        <f t="shared" si="58"/>
        <v/>
      </c>
    </row>
    <row r="251" spans="2:9" x14ac:dyDescent="0.2">
      <c r="B251" s="12" t="str">
        <f>$B$17</f>
        <v>Naftaleen</v>
      </c>
      <c r="C251" s="34" t="str">
        <f>IF(VLOOKUP(WB_RG_4[[#This Row],[Component]],Concentraties!$B$8:$L$17,10,FALSE)="","",VLOOKUP(WB_RG_4[[#This Row],[Component]],Concentraties!$B$8:$L$17,10,FALSE))</f>
        <v/>
      </c>
      <c r="D251" s="38"/>
      <c r="E251" s="40"/>
      <c r="F251" s="40"/>
      <c r="G251" s="37"/>
      <c r="H251" s="20" t="str">
        <f t="shared" si="57"/>
        <v/>
      </c>
      <c r="I251" s="108" t="str">
        <f t="shared" si="58"/>
        <v/>
      </c>
    </row>
    <row r="252" spans="2:9" x14ac:dyDescent="0.2">
      <c r="B252" s="12" t="str">
        <f>$B$18</f>
        <v>Pentachloorbenzeen</v>
      </c>
      <c r="C252" s="34" t="str">
        <f>IF(VLOOKUP(WB_RG_4[[#This Row],[Component]],Concentraties!$B$8:$L$17,10,FALSE)="","",VLOOKUP(WB_RG_4[[#This Row],[Component]],Concentraties!$B$8:$L$17,10,FALSE))</f>
        <v/>
      </c>
      <c r="D252" s="38"/>
      <c r="E252" s="40"/>
      <c r="F252" s="40"/>
      <c r="G252" s="37"/>
      <c r="H252" s="20" t="str">
        <f t="shared" si="57"/>
        <v/>
      </c>
      <c r="I252" s="108" t="str">
        <f t="shared" si="58"/>
        <v/>
      </c>
    </row>
    <row r="253" spans="2:9" x14ac:dyDescent="0.2">
      <c r="B253" s="12" t="str">
        <f>$B$19</f>
        <v>PCB 28</v>
      </c>
      <c r="C253" s="34" t="str">
        <f>IF(VLOOKUP(WB_RG_4[[#This Row],[Component]],Concentraties!$B$8:$L$17,10,FALSE)="","",VLOOKUP(WB_RG_4[[#This Row],[Component]],Concentraties!$B$8:$L$17,10,FALSE))</f>
        <v/>
      </c>
      <c r="D253" s="38"/>
      <c r="E253" s="40"/>
      <c r="F253" s="40"/>
      <c r="G253" s="37"/>
      <c r="H253" s="20" t="str">
        <f t="shared" si="57"/>
        <v/>
      </c>
      <c r="I253" s="108" t="str">
        <f t="shared" si="58"/>
        <v/>
      </c>
    </row>
    <row r="255" spans="2:9" ht="20.25" x14ac:dyDescent="0.3">
      <c r="B255" s="8" t="s">
        <v>78</v>
      </c>
    </row>
    <row r="256" spans="2:9" ht="39" thickBot="1" x14ac:dyDescent="0.25">
      <c r="B256" s="14" t="s">
        <v>2</v>
      </c>
      <c r="C256" s="15" t="s">
        <v>70</v>
      </c>
      <c r="D256" s="15" t="s">
        <v>3</v>
      </c>
      <c r="E256" s="15" t="s">
        <v>47</v>
      </c>
      <c r="F256" s="15" t="s">
        <v>48</v>
      </c>
      <c r="G256" s="15" t="s">
        <v>67</v>
      </c>
      <c r="H256" s="36" t="s">
        <v>4</v>
      </c>
      <c r="I256" s="106" t="s">
        <v>5</v>
      </c>
    </row>
    <row r="257" spans="2:9" ht="13.5" thickTop="1" x14ac:dyDescent="0.2">
      <c r="B257" s="13" t="str">
        <f>$B$10</f>
        <v>44-DDD</v>
      </c>
      <c r="C257" s="20" t="str">
        <f>IF(VLOOKUP(WB_RG_5[[#This Row],[Component]],Concentraties!$B$8:$L$17,10,FALSE)="","",VLOOKUP(WB_RG_5[[#This Row],[Component]],Concentraties!$B$8:$L$17,10,FALSE))</f>
        <v/>
      </c>
      <c r="D257" s="37"/>
      <c r="E257" s="39"/>
      <c r="F257" s="39"/>
      <c r="G257" s="37"/>
      <c r="H257" s="20" t="str">
        <f t="shared" ref="H257:H266" si="59">IFERROR(IF(C257="-","N.v.t.",IF(G257="","",100*G257/C257)),"")</f>
        <v/>
      </c>
      <c r="I257" s="107" t="str">
        <f t="shared" ref="I257:I266" si="60">IFERROR(MIN(E257,F257)/MAX(E257,F257),"")</f>
        <v/>
      </c>
    </row>
    <row r="258" spans="2:9" x14ac:dyDescent="0.2">
      <c r="B258" s="12" t="str">
        <f>$B$11</f>
        <v>Antraceen</v>
      </c>
      <c r="C258" s="34" t="str">
        <f>IF(VLOOKUP(WB_RG_5[[#This Row],[Component]],Concentraties!$B$8:$L$17,10,FALSE)="","",VLOOKUP(WB_RG_5[[#This Row],[Component]],Concentraties!$B$8:$L$17,10,FALSE))</f>
        <v/>
      </c>
      <c r="D258" s="38"/>
      <c r="E258" s="40"/>
      <c r="F258" s="40"/>
      <c r="G258" s="37"/>
      <c r="H258" s="20" t="str">
        <f t="shared" si="59"/>
        <v/>
      </c>
      <c r="I258" s="108" t="str">
        <f t="shared" si="60"/>
        <v/>
      </c>
    </row>
    <row r="259" spans="2:9" x14ac:dyDescent="0.2">
      <c r="B259" s="12" t="str">
        <f>$B$12</f>
        <v>Benzo(a)pyreen</v>
      </c>
      <c r="C259" s="34" t="str">
        <f>IF(VLOOKUP(WB_RG_5[[#This Row],[Component]],Concentraties!$B$8:$L$17,10,FALSE)="","",VLOOKUP(WB_RG_5[[#This Row],[Component]],Concentraties!$B$8:$L$17,10,FALSE))</f>
        <v/>
      </c>
      <c r="D259" s="38"/>
      <c r="E259" s="40"/>
      <c r="F259" s="40"/>
      <c r="G259" s="37"/>
      <c r="H259" s="20" t="str">
        <f t="shared" si="59"/>
        <v/>
      </c>
      <c r="I259" s="108" t="str">
        <f t="shared" si="60"/>
        <v/>
      </c>
    </row>
    <row r="260" spans="2:9" x14ac:dyDescent="0.2">
      <c r="B260" s="12" t="str">
        <f>$B$13</f>
        <v>Benzo(ghi)peryleen</v>
      </c>
      <c r="C260" s="34" t="str">
        <f>IF(VLOOKUP(WB_RG_5[[#This Row],[Component]],Concentraties!$B$8:$L$17,10,FALSE)="","",VLOOKUP(WB_RG_5[[#This Row],[Component]],Concentraties!$B$8:$L$17,10,FALSE))</f>
        <v/>
      </c>
      <c r="D260" s="38"/>
      <c r="E260" s="40"/>
      <c r="F260" s="40"/>
      <c r="G260" s="37"/>
      <c r="H260" s="20" t="str">
        <f t="shared" si="59"/>
        <v/>
      </c>
      <c r="I260" s="108" t="str">
        <f t="shared" si="60"/>
        <v/>
      </c>
    </row>
    <row r="261" spans="2:9" x14ac:dyDescent="0.2">
      <c r="B261" s="12" t="str">
        <f>$B$14</f>
        <v>Cis-chloordaan</v>
      </c>
      <c r="C261" s="34" t="str">
        <f>IF(VLOOKUP(WB_RG_5[[#This Row],[Component]],Concentraties!$B$8:$L$17,10,FALSE)="","",VLOOKUP(WB_RG_5[[#This Row],[Component]],Concentraties!$B$8:$L$17,10,FALSE))</f>
        <v/>
      </c>
      <c r="D261" s="38"/>
      <c r="E261" s="40"/>
      <c r="F261" s="40"/>
      <c r="G261" s="37"/>
      <c r="H261" s="20" t="str">
        <f t="shared" si="59"/>
        <v/>
      </c>
      <c r="I261" s="108" t="str">
        <f t="shared" si="60"/>
        <v/>
      </c>
    </row>
    <row r="262" spans="2:9" x14ac:dyDescent="0.2">
      <c r="B262" s="12" t="str">
        <f>$B$15</f>
        <v>Endrin</v>
      </c>
      <c r="C262" s="34" t="str">
        <f>IF(VLOOKUP(WB_RG_5[[#This Row],[Component]],Concentraties!$B$8:$L$17,10,FALSE)="","",VLOOKUP(WB_RG_5[[#This Row],[Component]],Concentraties!$B$8:$L$17,10,FALSE))</f>
        <v/>
      </c>
      <c r="D262" s="38"/>
      <c r="E262" s="40"/>
      <c r="F262" s="40"/>
      <c r="G262" s="37"/>
      <c r="H262" s="20" t="str">
        <f t="shared" si="59"/>
        <v/>
      </c>
      <c r="I262" s="108" t="str">
        <f t="shared" si="60"/>
        <v/>
      </c>
    </row>
    <row r="263" spans="2:9" x14ac:dyDescent="0.2">
      <c r="B263" s="12" t="str">
        <f>$B$16</f>
        <v>Hexachloorbutadieen</v>
      </c>
      <c r="C263" s="34" t="str">
        <f>IF(VLOOKUP(WB_RG_5[[#This Row],[Component]],Concentraties!$B$8:$L$17,10,FALSE)="","",VLOOKUP(WB_RG_5[[#This Row],[Component]],Concentraties!$B$8:$L$17,10,FALSE))</f>
        <v/>
      </c>
      <c r="D263" s="38"/>
      <c r="E263" s="40"/>
      <c r="F263" s="40"/>
      <c r="G263" s="37"/>
      <c r="H263" s="20" t="str">
        <f t="shared" si="59"/>
        <v/>
      </c>
      <c r="I263" s="108" t="str">
        <f t="shared" si="60"/>
        <v/>
      </c>
    </row>
    <row r="264" spans="2:9" x14ac:dyDescent="0.2">
      <c r="B264" s="12" t="str">
        <f>$B$17</f>
        <v>Naftaleen</v>
      </c>
      <c r="C264" s="34" t="str">
        <f>IF(VLOOKUP(WB_RG_5[[#This Row],[Component]],Concentraties!$B$8:$L$17,10,FALSE)="","",VLOOKUP(WB_RG_5[[#This Row],[Component]],Concentraties!$B$8:$L$17,10,FALSE))</f>
        <v/>
      </c>
      <c r="D264" s="38"/>
      <c r="E264" s="40"/>
      <c r="F264" s="40"/>
      <c r="G264" s="37"/>
      <c r="H264" s="20" t="str">
        <f t="shared" si="59"/>
        <v/>
      </c>
      <c r="I264" s="108" t="str">
        <f t="shared" si="60"/>
        <v/>
      </c>
    </row>
    <row r="265" spans="2:9" x14ac:dyDescent="0.2">
      <c r="B265" s="12" t="str">
        <f>$B$18</f>
        <v>Pentachloorbenzeen</v>
      </c>
      <c r="C265" s="34" t="str">
        <f>IF(VLOOKUP(WB_RG_5[[#This Row],[Component]],Concentraties!$B$8:$L$17,10,FALSE)="","",VLOOKUP(WB_RG_5[[#This Row],[Component]],Concentraties!$B$8:$L$17,10,FALSE))</f>
        <v/>
      </c>
      <c r="D265" s="38"/>
      <c r="E265" s="40"/>
      <c r="F265" s="40"/>
      <c r="G265" s="37"/>
      <c r="H265" s="20" t="str">
        <f t="shared" si="59"/>
        <v/>
      </c>
      <c r="I265" s="108" t="str">
        <f t="shared" si="60"/>
        <v/>
      </c>
    </row>
    <row r="266" spans="2:9" x14ac:dyDescent="0.2">
      <c r="B266" s="12" t="str">
        <f>$B$19</f>
        <v>PCB 28</v>
      </c>
      <c r="C266" s="34" t="str">
        <f>IF(VLOOKUP(WB_RG_5[[#This Row],[Component]],Concentraties!$B$8:$L$17,10,FALSE)="","",VLOOKUP(WB_RG_5[[#This Row],[Component]],Concentraties!$B$8:$L$17,10,FALSE))</f>
        <v/>
      </c>
      <c r="D266" s="38"/>
      <c r="E266" s="40"/>
      <c r="F266" s="40"/>
      <c r="G266" s="37"/>
      <c r="H266" s="20" t="str">
        <f t="shared" si="59"/>
        <v/>
      </c>
      <c r="I266" s="108" t="str">
        <f t="shared" si="60"/>
        <v/>
      </c>
    </row>
    <row r="268" spans="2:9" ht="20.25" x14ac:dyDescent="0.3">
      <c r="B268" s="8" t="s">
        <v>79</v>
      </c>
    </row>
    <row r="269" spans="2:9" ht="39" thickBot="1" x14ac:dyDescent="0.25">
      <c r="B269" s="14" t="s">
        <v>2</v>
      </c>
      <c r="C269" s="15" t="s">
        <v>70</v>
      </c>
      <c r="D269" s="15" t="s">
        <v>3</v>
      </c>
      <c r="E269" s="15" t="s">
        <v>47</v>
      </c>
      <c r="F269" s="15" t="s">
        <v>48</v>
      </c>
      <c r="G269" s="15" t="s">
        <v>67</v>
      </c>
      <c r="H269" s="36" t="s">
        <v>4</v>
      </c>
      <c r="I269" s="106" t="s">
        <v>5</v>
      </c>
    </row>
    <row r="270" spans="2:9" ht="13.5" thickTop="1" x14ac:dyDescent="0.2">
      <c r="B270" s="13" t="str">
        <f>$B$10</f>
        <v>44-DDD</v>
      </c>
      <c r="C270" s="20" t="str">
        <f>IF(VLOOKUP(WB_RG_6[[#This Row],[Component]],Concentraties!$B$8:$L$17,10,FALSE)="","",VLOOKUP(WB_RG_6[[#This Row],[Component]],Concentraties!$B$8:$L$17,10,FALSE))</f>
        <v/>
      </c>
      <c r="D270" s="37"/>
      <c r="E270" s="39"/>
      <c r="F270" s="39"/>
      <c r="G270" s="37"/>
      <c r="H270" s="20" t="str">
        <f t="shared" ref="H270:H279" si="61">IFERROR(IF(C270="-","N.v.t.",IF(G270="","",100*G270/C270)),"")</f>
        <v/>
      </c>
      <c r="I270" s="107" t="str">
        <f t="shared" ref="I270:I279" si="62">IFERROR(MIN(E270,F270)/MAX(E270,F270),"")</f>
        <v/>
      </c>
    </row>
    <row r="271" spans="2:9" x14ac:dyDescent="0.2">
      <c r="B271" s="12" t="str">
        <f>$B$11</f>
        <v>Antraceen</v>
      </c>
      <c r="C271" s="20" t="str">
        <f>IF(VLOOKUP(WB_RG_6[[#This Row],[Component]],Concentraties!$B$8:$L$17,10,FALSE)="","",VLOOKUP(WB_RG_6[[#This Row],[Component]],Concentraties!$B$8:$L$17,10,FALSE))</f>
        <v/>
      </c>
      <c r="D271" s="38"/>
      <c r="E271" s="40"/>
      <c r="F271" s="40"/>
      <c r="G271" s="37"/>
      <c r="H271" s="20" t="str">
        <f t="shared" si="61"/>
        <v/>
      </c>
      <c r="I271" s="108" t="str">
        <f t="shared" si="62"/>
        <v/>
      </c>
    </row>
    <row r="272" spans="2:9" x14ac:dyDescent="0.2">
      <c r="B272" s="12" t="str">
        <f>$B$12</f>
        <v>Benzo(a)pyreen</v>
      </c>
      <c r="C272" s="20" t="str">
        <f>IF(VLOOKUP(WB_RG_6[[#This Row],[Component]],Concentraties!$B$8:$L$17,10,FALSE)="","",VLOOKUP(WB_RG_6[[#This Row],[Component]],Concentraties!$B$8:$L$17,10,FALSE))</f>
        <v/>
      </c>
      <c r="D272" s="38"/>
      <c r="E272" s="40"/>
      <c r="F272" s="40"/>
      <c r="G272" s="37"/>
      <c r="H272" s="20" t="str">
        <f t="shared" si="61"/>
        <v/>
      </c>
      <c r="I272" s="108" t="str">
        <f t="shared" si="62"/>
        <v/>
      </c>
    </row>
    <row r="273" spans="2:10" x14ac:dyDescent="0.2">
      <c r="B273" s="12" t="str">
        <f>$B$13</f>
        <v>Benzo(ghi)peryleen</v>
      </c>
      <c r="C273" s="20" t="str">
        <f>IF(VLOOKUP(WB_RG_6[[#This Row],[Component]],Concentraties!$B$8:$L$17,10,FALSE)="","",VLOOKUP(WB_RG_6[[#This Row],[Component]],Concentraties!$B$8:$L$17,10,FALSE))</f>
        <v/>
      </c>
      <c r="D273" s="38"/>
      <c r="E273" s="40"/>
      <c r="F273" s="40"/>
      <c r="G273" s="37"/>
      <c r="H273" s="20" t="str">
        <f t="shared" si="61"/>
        <v/>
      </c>
      <c r="I273" s="108" t="str">
        <f t="shared" si="62"/>
        <v/>
      </c>
    </row>
    <row r="274" spans="2:10" x14ac:dyDescent="0.2">
      <c r="B274" s="12" t="str">
        <f>$B$14</f>
        <v>Cis-chloordaan</v>
      </c>
      <c r="C274" s="20" t="str">
        <f>IF(VLOOKUP(WB_RG_6[[#This Row],[Component]],Concentraties!$B$8:$L$17,10,FALSE)="","",VLOOKUP(WB_RG_6[[#This Row],[Component]],Concentraties!$B$8:$L$17,10,FALSE))</f>
        <v/>
      </c>
      <c r="D274" s="38"/>
      <c r="E274" s="40"/>
      <c r="F274" s="40"/>
      <c r="G274" s="37"/>
      <c r="H274" s="20" t="str">
        <f t="shared" si="61"/>
        <v/>
      </c>
      <c r="I274" s="108" t="str">
        <f t="shared" si="62"/>
        <v/>
      </c>
    </row>
    <row r="275" spans="2:10" x14ac:dyDescent="0.2">
      <c r="B275" s="12" t="str">
        <f>$B$15</f>
        <v>Endrin</v>
      </c>
      <c r="C275" s="20" t="str">
        <f>IF(VLOOKUP(WB_RG_6[[#This Row],[Component]],Concentraties!$B$8:$L$17,10,FALSE)="","",VLOOKUP(WB_RG_6[[#This Row],[Component]],Concentraties!$B$8:$L$17,10,FALSE))</f>
        <v/>
      </c>
      <c r="D275" s="38"/>
      <c r="E275" s="40"/>
      <c r="F275" s="40"/>
      <c r="G275" s="37"/>
      <c r="H275" s="20" t="str">
        <f t="shared" si="61"/>
        <v/>
      </c>
      <c r="I275" s="108" t="str">
        <f t="shared" si="62"/>
        <v/>
      </c>
    </row>
    <row r="276" spans="2:10" x14ac:dyDescent="0.2">
      <c r="B276" s="12" t="str">
        <f>$B$16</f>
        <v>Hexachloorbutadieen</v>
      </c>
      <c r="C276" s="20" t="str">
        <f>IF(VLOOKUP(WB_RG_6[[#This Row],[Component]],Concentraties!$B$8:$L$17,10,FALSE)="","",VLOOKUP(WB_RG_6[[#This Row],[Component]],Concentraties!$B$8:$L$17,10,FALSE))</f>
        <v/>
      </c>
      <c r="D276" s="38"/>
      <c r="E276" s="40"/>
      <c r="F276" s="40"/>
      <c r="G276" s="37"/>
      <c r="H276" s="20" t="str">
        <f t="shared" si="61"/>
        <v/>
      </c>
      <c r="I276" s="108" t="str">
        <f t="shared" si="62"/>
        <v/>
      </c>
    </row>
    <row r="277" spans="2:10" x14ac:dyDescent="0.2">
      <c r="B277" s="12" t="str">
        <f>$B$17</f>
        <v>Naftaleen</v>
      </c>
      <c r="C277" s="20" t="str">
        <f>IF(VLOOKUP(WB_RG_6[[#This Row],[Component]],Concentraties!$B$8:$L$17,10,FALSE)="","",VLOOKUP(WB_RG_6[[#This Row],[Component]],Concentraties!$B$8:$L$17,10,FALSE))</f>
        <v/>
      </c>
      <c r="D277" s="38"/>
      <c r="E277" s="40"/>
      <c r="F277" s="40"/>
      <c r="G277" s="37"/>
      <c r="H277" s="20" t="str">
        <f t="shared" si="61"/>
        <v/>
      </c>
      <c r="I277" s="108" t="str">
        <f t="shared" si="62"/>
        <v/>
      </c>
    </row>
    <row r="278" spans="2:10" x14ac:dyDescent="0.2">
      <c r="B278" s="12" t="str">
        <f>$B$18</f>
        <v>Pentachloorbenzeen</v>
      </c>
      <c r="C278" s="20" t="str">
        <f>IF(VLOOKUP(WB_RG_6[[#This Row],[Component]],Concentraties!$B$8:$L$17,10,FALSE)="","",VLOOKUP(WB_RG_6[[#This Row],[Component]],Concentraties!$B$8:$L$17,10,FALSE))</f>
        <v/>
      </c>
      <c r="D278" s="38"/>
      <c r="E278" s="40"/>
      <c r="F278" s="40"/>
      <c r="G278" s="37"/>
      <c r="H278" s="20" t="str">
        <f t="shared" si="61"/>
        <v/>
      </c>
      <c r="I278" s="108" t="str">
        <f t="shared" si="62"/>
        <v/>
      </c>
    </row>
    <row r="279" spans="2:10" x14ac:dyDescent="0.2">
      <c r="B279" s="12" t="str">
        <f>$B$19</f>
        <v>PCB 28</v>
      </c>
      <c r="C279" s="20" t="str">
        <f>IF(VLOOKUP(WB_RG_6[[#This Row],[Component]],Concentraties!$B$8:$L$17,10,FALSE)="","",VLOOKUP(WB_RG_6[[#This Row],[Component]],Concentraties!$B$8:$L$17,10,FALSE))</f>
        <v/>
      </c>
      <c r="D279" s="38"/>
      <c r="E279" s="40"/>
      <c r="F279" s="40"/>
      <c r="G279" s="37"/>
      <c r="H279" s="20" t="str">
        <f t="shared" si="61"/>
        <v/>
      </c>
      <c r="I279" s="108" t="str">
        <f t="shared" si="62"/>
        <v/>
      </c>
    </row>
    <row r="280" spans="2:10" x14ac:dyDescent="0.2">
      <c r="B280" s="10"/>
      <c r="C280" s="11"/>
      <c r="J280" s="65"/>
    </row>
    <row r="281" spans="2:10" ht="20.25" x14ac:dyDescent="0.3">
      <c r="B281" s="8" t="s">
        <v>80</v>
      </c>
    </row>
    <row r="282" spans="2:10" ht="39" thickBot="1" x14ac:dyDescent="0.25">
      <c r="B282" s="14" t="s">
        <v>2</v>
      </c>
      <c r="C282" s="15" t="s">
        <v>70</v>
      </c>
      <c r="D282" s="15" t="s">
        <v>3</v>
      </c>
      <c r="E282" s="15" t="s">
        <v>47</v>
      </c>
      <c r="F282" s="15" t="s">
        <v>48</v>
      </c>
      <c r="G282" s="15" t="s">
        <v>67</v>
      </c>
      <c r="H282" s="36" t="s">
        <v>4</v>
      </c>
      <c r="I282" s="106" t="s">
        <v>5</v>
      </c>
    </row>
    <row r="283" spans="2:10" ht="13.5" thickTop="1" x14ac:dyDescent="0.2">
      <c r="B283" s="13" t="str">
        <f>$B$10</f>
        <v>44-DDD</v>
      </c>
      <c r="C283" s="20" t="str">
        <f>IF(VLOOKUP(WB_RG_7[[#This Row],[Component]],Concentraties!$B$8:$L$17,10,FALSE)="","",VLOOKUP(WB_RG_7[[#This Row],[Component]],Concentraties!$B$8:$L$17,10,FALSE))</f>
        <v/>
      </c>
      <c r="D283" s="37"/>
      <c r="E283" s="39"/>
      <c r="F283" s="39"/>
      <c r="G283" s="37"/>
      <c r="H283" s="20" t="str">
        <f t="shared" ref="H283:H292" si="63">IFERROR(IF(C283="-","N.v.t.",IF(G283="","",100*G283/C283)),"")</f>
        <v/>
      </c>
      <c r="I283" s="107" t="str">
        <f t="shared" ref="I283:I292" si="64">IFERROR(MIN(E283,F283)/MAX(E283,F283),"")</f>
        <v/>
      </c>
    </row>
    <row r="284" spans="2:10" x14ac:dyDescent="0.2">
      <c r="B284" s="12" t="str">
        <f>$B$11</f>
        <v>Antraceen</v>
      </c>
      <c r="C284" s="20" t="str">
        <f>IF(VLOOKUP(WB_RG_7[[#This Row],[Component]],Concentraties!$B$8:$L$17,10,FALSE)="","",VLOOKUP(WB_RG_7[[#This Row],[Component]],Concentraties!$B$8:$L$17,10,FALSE))</f>
        <v/>
      </c>
      <c r="D284" s="38"/>
      <c r="E284" s="40"/>
      <c r="F284" s="40"/>
      <c r="G284" s="37"/>
      <c r="H284" s="20" t="str">
        <f t="shared" si="63"/>
        <v/>
      </c>
      <c r="I284" s="108" t="str">
        <f t="shared" si="64"/>
        <v/>
      </c>
    </row>
    <row r="285" spans="2:10" x14ac:dyDescent="0.2">
      <c r="B285" s="12" t="str">
        <f>$B$12</f>
        <v>Benzo(a)pyreen</v>
      </c>
      <c r="C285" s="20" t="str">
        <f>IF(VLOOKUP(WB_RG_7[[#This Row],[Component]],Concentraties!$B$8:$L$17,10,FALSE)="","",VLOOKUP(WB_RG_7[[#This Row],[Component]],Concentraties!$B$8:$L$17,10,FALSE))</f>
        <v/>
      </c>
      <c r="D285" s="38"/>
      <c r="E285" s="40"/>
      <c r="F285" s="40"/>
      <c r="G285" s="37"/>
      <c r="H285" s="20" t="str">
        <f t="shared" si="63"/>
        <v/>
      </c>
      <c r="I285" s="108" t="str">
        <f t="shared" si="64"/>
        <v/>
      </c>
    </row>
    <row r="286" spans="2:10" x14ac:dyDescent="0.2">
      <c r="B286" s="12" t="str">
        <f>$B$13</f>
        <v>Benzo(ghi)peryleen</v>
      </c>
      <c r="C286" s="20" t="str">
        <f>IF(VLOOKUP(WB_RG_7[[#This Row],[Component]],Concentraties!$B$8:$L$17,10,FALSE)="","",VLOOKUP(WB_RG_7[[#This Row],[Component]],Concentraties!$B$8:$L$17,10,FALSE))</f>
        <v/>
      </c>
      <c r="D286" s="38"/>
      <c r="E286" s="40"/>
      <c r="F286" s="40"/>
      <c r="G286" s="37"/>
      <c r="H286" s="20" t="str">
        <f t="shared" si="63"/>
        <v/>
      </c>
      <c r="I286" s="108" t="str">
        <f t="shared" si="64"/>
        <v/>
      </c>
    </row>
    <row r="287" spans="2:10" x14ac:dyDescent="0.2">
      <c r="B287" s="12" t="str">
        <f>$B$14</f>
        <v>Cis-chloordaan</v>
      </c>
      <c r="C287" s="20" t="str">
        <f>IF(VLOOKUP(WB_RG_7[[#This Row],[Component]],Concentraties!$B$8:$L$17,10,FALSE)="","",VLOOKUP(WB_RG_7[[#This Row],[Component]],Concentraties!$B$8:$L$17,10,FALSE))</f>
        <v/>
      </c>
      <c r="D287" s="38"/>
      <c r="E287" s="40"/>
      <c r="F287" s="40"/>
      <c r="G287" s="37"/>
      <c r="H287" s="20" t="str">
        <f t="shared" si="63"/>
        <v/>
      </c>
      <c r="I287" s="108" t="str">
        <f t="shared" si="64"/>
        <v/>
      </c>
    </row>
    <row r="288" spans="2:10" x14ac:dyDescent="0.2">
      <c r="B288" s="12" t="str">
        <f>$B$15</f>
        <v>Endrin</v>
      </c>
      <c r="C288" s="20" t="str">
        <f>IF(VLOOKUP(WB_RG_7[[#This Row],[Component]],Concentraties!$B$8:$L$17,10,FALSE)="","",VLOOKUP(WB_RG_7[[#This Row],[Component]],Concentraties!$B$8:$L$17,10,FALSE))</f>
        <v/>
      </c>
      <c r="D288" s="38"/>
      <c r="E288" s="40"/>
      <c r="F288" s="40"/>
      <c r="G288" s="37"/>
      <c r="H288" s="20" t="str">
        <f t="shared" si="63"/>
        <v/>
      </c>
      <c r="I288" s="108" t="str">
        <f t="shared" si="64"/>
        <v/>
      </c>
    </row>
    <row r="289" spans="2:9" x14ac:dyDescent="0.2">
      <c r="B289" s="12" t="str">
        <f>$B$16</f>
        <v>Hexachloorbutadieen</v>
      </c>
      <c r="C289" s="20" t="str">
        <f>IF(VLOOKUP(WB_RG_7[[#This Row],[Component]],Concentraties!$B$8:$L$17,10,FALSE)="","",VLOOKUP(WB_RG_7[[#This Row],[Component]],Concentraties!$B$8:$L$17,10,FALSE))</f>
        <v/>
      </c>
      <c r="D289" s="38"/>
      <c r="E289" s="40"/>
      <c r="F289" s="40"/>
      <c r="G289" s="37"/>
      <c r="H289" s="20" t="str">
        <f t="shared" si="63"/>
        <v/>
      </c>
      <c r="I289" s="108" t="str">
        <f t="shared" si="64"/>
        <v/>
      </c>
    </row>
    <row r="290" spans="2:9" x14ac:dyDescent="0.2">
      <c r="B290" s="12" t="str">
        <f>$B$17</f>
        <v>Naftaleen</v>
      </c>
      <c r="C290" s="20" t="str">
        <f>IF(VLOOKUP(WB_RG_7[[#This Row],[Component]],Concentraties!$B$8:$L$17,10,FALSE)="","",VLOOKUP(WB_RG_7[[#This Row],[Component]],Concentraties!$B$8:$L$17,10,FALSE))</f>
        <v/>
      </c>
      <c r="D290" s="38"/>
      <c r="E290" s="40"/>
      <c r="F290" s="40"/>
      <c r="G290" s="37"/>
      <c r="H290" s="20" t="str">
        <f t="shared" si="63"/>
        <v/>
      </c>
      <c r="I290" s="108" t="str">
        <f t="shared" si="64"/>
        <v/>
      </c>
    </row>
    <row r="291" spans="2:9" x14ac:dyDescent="0.2">
      <c r="B291" s="12" t="str">
        <f>$B$18</f>
        <v>Pentachloorbenzeen</v>
      </c>
      <c r="C291" s="20" t="str">
        <f>IF(VLOOKUP(WB_RG_7[[#This Row],[Component]],Concentraties!$B$8:$L$17,10,FALSE)="","",VLOOKUP(WB_RG_7[[#This Row],[Component]],Concentraties!$B$8:$L$17,10,FALSE))</f>
        <v/>
      </c>
      <c r="D291" s="38"/>
      <c r="E291" s="40"/>
      <c r="F291" s="40"/>
      <c r="G291" s="37"/>
      <c r="H291" s="20" t="str">
        <f t="shared" si="63"/>
        <v/>
      </c>
      <c r="I291" s="108" t="str">
        <f t="shared" si="64"/>
        <v/>
      </c>
    </row>
    <row r="292" spans="2:9" x14ac:dyDescent="0.2">
      <c r="B292" s="12" t="str">
        <f>$B$19</f>
        <v>PCB 28</v>
      </c>
      <c r="C292" s="20" t="str">
        <f>IF(VLOOKUP(WB_RG_7[[#This Row],[Component]],Concentraties!$B$8:$L$17,10,FALSE)="","",VLOOKUP(WB_RG_7[[#This Row],[Component]],Concentraties!$B$8:$L$17,10,FALSE))</f>
        <v/>
      </c>
      <c r="D292" s="38"/>
      <c r="E292" s="40"/>
      <c r="F292" s="40"/>
      <c r="G292" s="37"/>
      <c r="H292" s="20" t="str">
        <f t="shared" si="63"/>
        <v/>
      </c>
      <c r="I292" s="108" t="str">
        <f t="shared" si="64"/>
        <v/>
      </c>
    </row>
    <row r="294" spans="2:9" ht="20.25" x14ac:dyDescent="0.3">
      <c r="B294" s="8" t="s">
        <v>81</v>
      </c>
    </row>
    <row r="295" spans="2:9" ht="39" thickBot="1" x14ac:dyDescent="0.25">
      <c r="B295" s="14" t="s">
        <v>2</v>
      </c>
      <c r="C295" s="15" t="s">
        <v>70</v>
      </c>
      <c r="D295" s="15" t="s">
        <v>3</v>
      </c>
      <c r="E295" s="15" t="s">
        <v>47</v>
      </c>
      <c r="F295" s="15" t="s">
        <v>48</v>
      </c>
      <c r="G295" s="15" t="s">
        <v>67</v>
      </c>
      <c r="H295" s="36" t="s">
        <v>4</v>
      </c>
      <c r="I295" s="106" t="s">
        <v>5</v>
      </c>
    </row>
    <row r="296" spans="2:9" ht="13.5" thickTop="1" x14ac:dyDescent="0.2">
      <c r="B296" s="13" t="str">
        <f>$B$10</f>
        <v>44-DDD</v>
      </c>
      <c r="C296" s="20" t="str">
        <f>IF(VLOOKUP(WB_RG_8[[#This Row],[Component]],Concentraties!$B$8:$L$17,10,FALSE)="","",VLOOKUP(WB_RG_8[[#This Row],[Component]],Concentraties!$B$8:$L$17,10,FALSE))</f>
        <v/>
      </c>
      <c r="D296" s="37"/>
      <c r="E296" s="39"/>
      <c r="F296" s="39"/>
      <c r="G296" s="37"/>
      <c r="H296" s="20" t="str">
        <f t="shared" ref="H296:H305" si="65">IFERROR(IF(C296="-","N.v.t.",IF(G296="","",100*G296/C296)),"")</f>
        <v/>
      </c>
      <c r="I296" s="107" t="str">
        <f t="shared" ref="I296:I305" si="66">IFERROR(MIN(E296,F296)/MAX(E296,F296),"")</f>
        <v/>
      </c>
    </row>
    <row r="297" spans="2:9" x14ac:dyDescent="0.2">
      <c r="B297" s="12" t="str">
        <f>$B$11</f>
        <v>Antraceen</v>
      </c>
      <c r="C297" s="20" t="str">
        <f>IF(VLOOKUP(WB_RG_8[[#This Row],[Component]],Concentraties!$B$8:$L$17,10,FALSE)="","",VLOOKUP(WB_RG_8[[#This Row],[Component]],Concentraties!$B$8:$L$17,10,FALSE))</f>
        <v/>
      </c>
      <c r="D297" s="38"/>
      <c r="E297" s="40"/>
      <c r="F297" s="40"/>
      <c r="G297" s="37"/>
      <c r="H297" s="20" t="str">
        <f t="shared" si="65"/>
        <v/>
      </c>
      <c r="I297" s="108" t="str">
        <f t="shared" si="66"/>
        <v/>
      </c>
    </row>
    <row r="298" spans="2:9" x14ac:dyDescent="0.2">
      <c r="B298" s="12" t="str">
        <f>$B$12</f>
        <v>Benzo(a)pyreen</v>
      </c>
      <c r="C298" s="20" t="str">
        <f>IF(VLOOKUP(WB_RG_8[[#This Row],[Component]],Concentraties!$B$8:$L$17,10,FALSE)="","",VLOOKUP(WB_RG_8[[#This Row],[Component]],Concentraties!$B$8:$L$17,10,FALSE))</f>
        <v/>
      </c>
      <c r="D298" s="38"/>
      <c r="E298" s="40"/>
      <c r="F298" s="40"/>
      <c r="G298" s="37"/>
      <c r="H298" s="20" t="str">
        <f t="shared" si="65"/>
        <v/>
      </c>
      <c r="I298" s="108" t="str">
        <f t="shared" si="66"/>
        <v/>
      </c>
    </row>
    <row r="299" spans="2:9" x14ac:dyDescent="0.2">
      <c r="B299" s="12" t="str">
        <f>$B$13</f>
        <v>Benzo(ghi)peryleen</v>
      </c>
      <c r="C299" s="20" t="str">
        <f>IF(VLOOKUP(WB_RG_8[[#This Row],[Component]],Concentraties!$B$8:$L$17,10,FALSE)="","",VLOOKUP(WB_RG_8[[#This Row],[Component]],Concentraties!$B$8:$L$17,10,FALSE))</f>
        <v/>
      </c>
      <c r="D299" s="38"/>
      <c r="E299" s="40"/>
      <c r="F299" s="40"/>
      <c r="G299" s="37"/>
      <c r="H299" s="20" t="str">
        <f t="shared" si="65"/>
        <v/>
      </c>
      <c r="I299" s="108" t="str">
        <f t="shared" si="66"/>
        <v/>
      </c>
    </row>
    <row r="300" spans="2:9" x14ac:dyDescent="0.2">
      <c r="B300" s="12" t="str">
        <f>$B$14</f>
        <v>Cis-chloordaan</v>
      </c>
      <c r="C300" s="20" t="str">
        <f>IF(VLOOKUP(WB_RG_8[[#This Row],[Component]],Concentraties!$B$8:$L$17,10,FALSE)="","",VLOOKUP(WB_RG_8[[#This Row],[Component]],Concentraties!$B$8:$L$17,10,FALSE))</f>
        <v/>
      </c>
      <c r="D300" s="38"/>
      <c r="E300" s="40"/>
      <c r="F300" s="40"/>
      <c r="G300" s="37"/>
      <c r="H300" s="20" t="str">
        <f t="shared" si="65"/>
        <v/>
      </c>
      <c r="I300" s="108" t="str">
        <f t="shared" si="66"/>
        <v/>
      </c>
    </row>
    <row r="301" spans="2:9" x14ac:dyDescent="0.2">
      <c r="B301" s="12" t="str">
        <f>$B$15</f>
        <v>Endrin</v>
      </c>
      <c r="C301" s="20" t="str">
        <f>IF(VLOOKUP(WB_RG_8[[#This Row],[Component]],Concentraties!$B$8:$L$17,10,FALSE)="","",VLOOKUP(WB_RG_8[[#This Row],[Component]],Concentraties!$B$8:$L$17,10,FALSE))</f>
        <v/>
      </c>
      <c r="D301" s="38"/>
      <c r="E301" s="40"/>
      <c r="F301" s="40"/>
      <c r="G301" s="37"/>
      <c r="H301" s="20" t="str">
        <f t="shared" si="65"/>
        <v/>
      </c>
      <c r="I301" s="108" t="str">
        <f t="shared" si="66"/>
        <v/>
      </c>
    </row>
    <row r="302" spans="2:9" x14ac:dyDescent="0.2">
      <c r="B302" s="12" t="str">
        <f>$B$16</f>
        <v>Hexachloorbutadieen</v>
      </c>
      <c r="C302" s="20" t="str">
        <f>IF(VLOOKUP(WB_RG_8[[#This Row],[Component]],Concentraties!$B$8:$L$17,10,FALSE)="","",VLOOKUP(WB_RG_8[[#This Row],[Component]],Concentraties!$B$8:$L$17,10,FALSE))</f>
        <v/>
      </c>
      <c r="D302" s="38"/>
      <c r="E302" s="40"/>
      <c r="F302" s="40"/>
      <c r="G302" s="37"/>
      <c r="H302" s="20" t="str">
        <f t="shared" si="65"/>
        <v/>
      </c>
      <c r="I302" s="108" t="str">
        <f t="shared" si="66"/>
        <v/>
      </c>
    </row>
    <row r="303" spans="2:9" x14ac:dyDescent="0.2">
      <c r="B303" s="12" t="str">
        <f>$B$17</f>
        <v>Naftaleen</v>
      </c>
      <c r="C303" s="20" t="str">
        <f>IF(VLOOKUP(WB_RG_8[[#This Row],[Component]],Concentraties!$B$8:$L$17,10,FALSE)="","",VLOOKUP(WB_RG_8[[#This Row],[Component]],Concentraties!$B$8:$L$17,10,FALSE))</f>
        <v/>
      </c>
      <c r="D303" s="38"/>
      <c r="E303" s="40"/>
      <c r="F303" s="40"/>
      <c r="G303" s="37"/>
      <c r="H303" s="20" t="str">
        <f t="shared" si="65"/>
        <v/>
      </c>
      <c r="I303" s="108" t="str">
        <f t="shared" si="66"/>
        <v/>
      </c>
    </row>
    <row r="304" spans="2:9" x14ac:dyDescent="0.2">
      <c r="B304" s="12" t="str">
        <f>$B$18</f>
        <v>Pentachloorbenzeen</v>
      </c>
      <c r="C304" s="20" t="str">
        <f>IF(VLOOKUP(WB_RG_8[[#This Row],[Component]],Concentraties!$B$8:$L$17,10,FALSE)="","",VLOOKUP(WB_RG_8[[#This Row],[Component]],Concentraties!$B$8:$L$17,10,FALSE))</f>
        <v/>
      </c>
      <c r="D304" s="38"/>
      <c r="E304" s="40"/>
      <c r="F304" s="40"/>
      <c r="G304" s="37"/>
      <c r="H304" s="20" t="str">
        <f t="shared" si="65"/>
        <v/>
      </c>
      <c r="I304" s="108" t="str">
        <f t="shared" si="66"/>
        <v/>
      </c>
    </row>
    <row r="305" spans="2:9" x14ac:dyDescent="0.2">
      <c r="B305" s="12" t="str">
        <f>$B$19</f>
        <v>PCB 28</v>
      </c>
      <c r="C305" s="20" t="str">
        <f>IF(VLOOKUP(WB_RG_8[[#This Row],[Component]],Concentraties!$B$8:$L$17,10,FALSE)="","",VLOOKUP(WB_RG_8[[#This Row],[Component]],Concentraties!$B$8:$L$17,10,FALSE))</f>
        <v/>
      </c>
      <c r="D305" s="38"/>
      <c r="E305" s="40"/>
      <c r="F305" s="40"/>
      <c r="G305" s="37"/>
      <c r="H305" s="20" t="str">
        <f t="shared" si="65"/>
        <v/>
      </c>
      <c r="I305" s="108" t="str">
        <f t="shared" si="66"/>
        <v/>
      </c>
    </row>
    <row r="307" spans="2:9" ht="20.25" x14ac:dyDescent="0.3">
      <c r="B307" s="8" t="s">
        <v>171</v>
      </c>
    </row>
    <row r="308" spans="2:9" ht="39" thickBot="1" x14ac:dyDescent="0.25">
      <c r="B308" s="14" t="s">
        <v>2</v>
      </c>
      <c r="C308" s="15" t="s">
        <v>70</v>
      </c>
      <c r="D308" s="15" t="s">
        <v>3</v>
      </c>
      <c r="E308" s="15" t="s">
        <v>47</v>
      </c>
      <c r="F308" s="15" t="s">
        <v>48</v>
      </c>
      <c r="G308" s="15" t="s">
        <v>67</v>
      </c>
      <c r="H308" s="36" t="s">
        <v>4</v>
      </c>
      <c r="I308" s="106" t="s">
        <v>5</v>
      </c>
    </row>
    <row r="309" spans="2:9" ht="13.5" thickTop="1" x14ac:dyDescent="0.2">
      <c r="B309" s="13" t="str">
        <f>$B$10</f>
        <v>44-DDD</v>
      </c>
      <c r="C309" s="20">
        <f>IF(VLOOKUP(WB_CheckSTD3_2[[#This Row],[Component]],Concentraties!$B$8:$L$17,5,FALSE)="","",VLOOKUP(WB_CheckSTD3_2[[#This Row],[Component]],Concentraties!$B$8:$L$17,5,FALSE))</f>
        <v>1.1916</v>
      </c>
      <c r="D309" s="37"/>
      <c r="E309" s="39"/>
      <c r="F309" s="39"/>
      <c r="G309" s="37"/>
      <c r="H309" s="20" t="str">
        <f t="shared" ref="H309:H318" si="67">IFERROR(IF(C309="-","N.v.t.",IF(G309="","",100*G309/C309)),"")</f>
        <v/>
      </c>
      <c r="I309" s="107" t="str">
        <f t="shared" ref="I309:I318" si="68">IFERROR(MIN(E309,F309)/MAX(E309,F309),"")</f>
        <v/>
      </c>
    </row>
    <row r="310" spans="2:9" x14ac:dyDescent="0.2">
      <c r="B310" s="12" t="str">
        <f>$B$11</f>
        <v>Antraceen</v>
      </c>
      <c r="C310" s="34">
        <f>IF(VLOOKUP(WB_CheckSTD3_2[[#This Row],[Component]],Concentraties!$B$8:$L$17,5,FALSE)="","",VLOOKUP(WB_CheckSTD3_2[[#This Row],[Component]],Concentraties!$B$8:$L$17,5,FALSE))</f>
        <v>7.9991999999999992</v>
      </c>
      <c r="D310" s="38"/>
      <c r="E310" s="40"/>
      <c r="F310" s="40"/>
      <c r="G310" s="37"/>
      <c r="H310" s="20" t="str">
        <f t="shared" si="67"/>
        <v/>
      </c>
      <c r="I310" s="108" t="str">
        <f t="shared" si="68"/>
        <v/>
      </c>
    </row>
    <row r="311" spans="2:9" x14ac:dyDescent="0.2">
      <c r="B311" s="12" t="str">
        <f>$B$12</f>
        <v>Benzo(a)pyreen</v>
      </c>
      <c r="C311" s="34">
        <f>IF(VLOOKUP(WB_CheckSTD3_2[[#This Row],[Component]],Concentraties!$B$8:$L$17,5,FALSE)="","",VLOOKUP(WB_CheckSTD3_2[[#This Row],[Component]],Concentraties!$B$8:$L$17,5,FALSE))</f>
        <v>8</v>
      </c>
      <c r="D311" s="38"/>
      <c r="E311" s="40"/>
      <c r="F311" s="40"/>
      <c r="G311" s="37"/>
      <c r="H311" s="20" t="str">
        <f t="shared" si="67"/>
        <v/>
      </c>
      <c r="I311" s="108" t="str">
        <f t="shared" si="68"/>
        <v/>
      </c>
    </row>
    <row r="312" spans="2:9" x14ac:dyDescent="0.2">
      <c r="B312" s="12" t="str">
        <f>$B$13</f>
        <v>Benzo(ghi)peryleen</v>
      </c>
      <c r="C312" s="34">
        <f>IF(VLOOKUP(WB_CheckSTD3_2[[#This Row],[Component]],Concentraties!$B$8:$L$17,5,FALSE)="","",VLOOKUP(WB_CheckSTD3_2[[#This Row],[Component]],Concentraties!$B$8:$L$17,5,FALSE))</f>
        <v>8</v>
      </c>
      <c r="D312" s="38"/>
      <c r="E312" s="40"/>
      <c r="F312" s="40"/>
      <c r="G312" s="37"/>
      <c r="H312" s="20" t="str">
        <f t="shared" si="67"/>
        <v/>
      </c>
      <c r="I312" s="108" t="str">
        <f t="shared" si="68"/>
        <v/>
      </c>
    </row>
    <row r="313" spans="2:9" x14ac:dyDescent="0.2">
      <c r="B313" s="12" t="str">
        <f>$B$14</f>
        <v>Cis-chloordaan</v>
      </c>
      <c r="C313" s="34">
        <f>IF(VLOOKUP(WB_CheckSTD3_2[[#This Row],[Component]],Concentraties!$B$8:$L$17,5,FALSE)="","",VLOOKUP(WB_CheckSTD3_2[[#This Row],[Component]],Concentraties!$B$8:$L$17,5,FALSE))</f>
        <v>1.2146399999999999</v>
      </c>
      <c r="D313" s="38"/>
      <c r="E313" s="40"/>
      <c r="F313" s="40"/>
      <c r="G313" s="37"/>
      <c r="H313" s="20" t="str">
        <f t="shared" si="67"/>
        <v/>
      </c>
      <c r="I313" s="108" t="str">
        <f t="shared" si="68"/>
        <v/>
      </c>
    </row>
    <row r="314" spans="2:9" x14ac:dyDescent="0.2">
      <c r="B314" s="12" t="str">
        <f>$B$15</f>
        <v>Endrin</v>
      </c>
      <c r="C314" s="34">
        <f>IF(VLOOKUP(WB_CheckSTD3_2[[#This Row],[Component]],Concentraties!$B$8:$L$17,5,FALSE)="","",VLOOKUP(WB_CheckSTD3_2[[#This Row],[Component]],Concentraties!$B$8:$L$17,5,FALSE))</f>
        <v>1.2014400000000001</v>
      </c>
      <c r="D314" s="38"/>
      <c r="E314" s="40"/>
      <c r="F314" s="40"/>
      <c r="G314" s="37"/>
      <c r="H314" s="20" t="str">
        <f t="shared" si="67"/>
        <v/>
      </c>
      <c r="I314" s="108" t="str">
        <f t="shared" si="68"/>
        <v/>
      </c>
    </row>
    <row r="315" spans="2:9" x14ac:dyDescent="0.2">
      <c r="B315" s="12" t="str">
        <f>$B$16</f>
        <v>Hexachloorbutadieen</v>
      </c>
      <c r="C315" s="34">
        <f>IF(VLOOKUP(WB_CheckSTD3_2[[#This Row],[Component]],Concentraties!$B$8:$L$17,5,FALSE)="","",VLOOKUP(WB_CheckSTD3_2[[#This Row],[Component]],Concentraties!$B$8:$L$17,5,FALSE))</f>
        <v>1.2018</v>
      </c>
      <c r="D315" s="38"/>
      <c r="E315" s="40"/>
      <c r="F315" s="40"/>
      <c r="G315" s="37"/>
      <c r="H315" s="20" t="str">
        <f t="shared" si="67"/>
        <v/>
      </c>
      <c r="I315" s="108" t="str">
        <f t="shared" si="68"/>
        <v/>
      </c>
    </row>
    <row r="316" spans="2:9" x14ac:dyDescent="0.2">
      <c r="B316" s="12" t="str">
        <f>$B$17</f>
        <v>Naftaleen</v>
      </c>
      <c r="C316" s="34">
        <f>IF(VLOOKUP(WB_CheckSTD3_2[[#This Row],[Component]],Concentraties!$B$8:$L$17,5,FALSE)="","",VLOOKUP(WB_CheckSTD3_2[[#This Row],[Component]],Concentraties!$B$8:$L$17,5,FALSE))</f>
        <v>8</v>
      </c>
      <c r="D316" s="38"/>
      <c r="E316" s="40"/>
      <c r="F316" s="40"/>
      <c r="G316" s="37"/>
      <c r="H316" s="20" t="str">
        <f t="shared" si="67"/>
        <v/>
      </c>
      <c r="I316" s="108" t="str">
        <f t="shared" si="68"/>
        <v/>
      </c>
    </row>
    <row r="317" spans="2:9" x14ac:dyDescent="0.2">
      <c r="B317" s="12" t="str">
        <f>$B$18</f>
        <v>Pentachloorbenzeen</v>
      </c>
      <c r="C317" s="34">
        <f>IF(VLOOKUP(WB_CheckSTD3_2[[#This Row],[Component]],Concentraties!$B$8:$L$17,5,FALSE)="","",VLOOKUP(WB_CheckSTD3_2[[#This Row],[Component]],Concentraties!$B$8:$L$17,5,FALSE))</f>
        <v>1.20228</v>
      </c>
      <c r="D317" s="38"/>
      <c r="E317" s="40"/>
      <c r="F317" s="40"/>
      <c r="G317" s="37"/>
      <c r="H317" s="20" t="str">
        <f t="shared" si="67"/>
        <v/>
      </c>
      <c r="I317" s="108" t="str">
        <f t="shared" si="68"/>
        <v/>
      </c>
    </row>
    <row r="318" spans="2:9" x14ac:dyDescent="0.2">
      <c r="B318" s="12" t="str">
        <f>$B$19</f>
        <v>PCB 28</v>
      </c>
      <c r="C318" s="34">
        <f>IF(VLOOKUP(WB_CheckSTD3_2[[#This Row],[Component]],Concentraties!$B$8:$L$17,5,FALSE)="","",VLOOKUP(WB_CheckSTD3_2[[#This Row],[Component]],Concentraties!$B$8:$L$17,5,FALSE))</f>
        <v>1.2045600000000001</v>
      </c>
      <c r="D318" s="38"/>
      <c r="E318" s="40"/>
      <c r="F318" s="40"/>
      <c r="G318" s="37"/>
      <c r="H318" s="20" t="str">
        <f t="shared" si="67"/>
        <v/>
      </c>
      <c r="I318" s="108" t="str">
        <f t="shared" si="68"/>
        <v/>
      </c>
    </row>
    <row r="319" spans="2:9" x14ac:dyDescent="0.2">
      <c r="C319" s="35"/>
    </row>
    <row r="320" spans="2:9" ht="20.25" x14ac:dyDescent="0.3">
      <c r="B320" s="8" t="s">
        <v>82</v>
      </c>
      <c r="C320" s="35"/>
    </row>
    <row r="321" spans="2:9" ht="39" thickBot="1" x14ac:dyDescent="0.25">
      <c r="B321" s="14" t="s">
        <v>2</v>
      </c>
      <c r="C321" s="15" t="s">
        <v>70</v>
      </c>
      <c r="D321" s="15" t="s">
        <v>3</v>
      </c>
      <c r="E321" s="15" t="s">
        <v>47</v>
      </c>
      <c r="F321" s="15" t="s">
        <v>48</v>
      </c>
      <c r="G321" s="15" t="s">
        <v>67</v>
      </c>
      <c r="H321" s="36" t="s">
        <v>4</v>
      </c>
      <c r="I321" s="106" t="s">
        <v>5</v>
      </c>
    </row>
    <row r="322" spans="2:9" ht="13.5" thickTop="1" x14ac:dyDescent="0.2">
      <c r="B322" s="13" t="str">
        <f>$B$10</f>
        <v>44-DDD</v>
      </c>
      <c r="C322" s="20" t="str">
        <f>IF(VLOOKUP(WB_Standaard_Hoog[[#This Row],[Component]],Concentraties!$B$8:$L$17,11,FALSE)="","",VLOOKUP(WB_Standaard_Hoog[[#This Row],[Component]],Concentraties!$B$8:$L$17,11,FALSE))</f>
        <v/>
      </c>
      <c r="D322" s="37"/>
      <c r="E322" s="39"/>
      <c r="F322" s="39"/>
      <c r="G322" s="37"/>
      <c r="H322" s="20" t="str">
        <f t="shared" ref="H322:H331" si="69">IFERROR(IF(C322="-","N.v.t.",IF(G322="","",100*G322/C322)),"")</f>
        <v/>
      </c>
      <c r="I322" s="107" t="str">
        <f t="shared" ref="I322:I331" si="70">IFERROR(MIN(E322,F322)/MAX(E322,F322),"")</f>
        <v/>
      </c>
    </row>
    <row r="323" spans="2:9" x14ac:dyDescent="0.2">
      <c r="B323" s="12" t="str">
        <f>$B$11</f>
        <v>Antraceen</v>
      </c>
      <c r="C323" s="34" t="str">
        <f>IF(VLOOKUP(WB_Standaard_Hoog[[#This Row],[Component]],Concentraties!$B$8:$L$17,11,FALSE)="","",VLOOKUP(WB_Standaard_Hoog[[#This Row],[Component]],Concentraties!$B$8:$L$17,11,FALSE))</f>
        <v/>
      </c>
      <c r="D323" s="38"/>
      <c r="E323" s="40"/>
      <c r="F323" s="40"/>
      <c r="G323" s="37"/>
      <c r="H323" s="20" t="str">
        <f t="shared" si="69"/>
        <v/>
      </c>
      <c r="I323" s="108" t="str">
        <f t="shared" si="70"/>
        <v/>
      </c>
    </row>
    <row r="324" spans="2:9" x14ac:dyDescent="0.2">
      <c r="B324" s="12" t="str">
        <f>$B$12</f>
        <v>Benzo(a)pyreen</v>
      </c>
      <c r="C324" s="34" t="str">
        <f>IF(VLOOKUP(WB_Standaard_Hoog[[#This Row],[Component]],Concentraties!$B$8:$L$17,11,FALSE)="","",VLOOKUP(WB_Standaard_Hoog[[#This Row],[Component]],Concentraties!$B$8:$L$17,11,FALSE))</f>
        <v/>
      </c>
      <c r="D324" s="38"/>
      <c r="E324" s="40"/>
      <c r="F324" s="40"/>
      <c r="G324" s="37"/>
      <c r="H324" s="20" t="str">
        <f t="shared" si="69"/>
        <v/>
      </c>
      <c r="I324" s="108" t="str">
        <f t="shared" si="70"/>
        <v/>
      </c>
    </row>
    <row r="325" spans="2:9" x14ac:dyDescent="0.2">
      <c r="B325" s="12" t="str">
        <f>$B$13</f>
        <v>Benzo(ghi)peryleen</v>
      </c>
      <c r="C325" s="34" t="str">
        <f>IF(VLOOKUP(WB_Standaard_Hoog[[#This Row],[Component]],Concentraties!$B$8:$L$17,11,FALSE)="","",VLOOKUP(WB_Standaard_Hoog[[#This Row],[Component]],Concentraties!$B$8:$L$17,11,FALSE))</f>
        <v/>
      </c>
      <c r="D325" s="38"/>
      <c r="E325" s="40"/>
      <c r="F325" s="40"/>
      <c r="G325" s="37"/>
      <c r="H325" s="20" t="str">
        <f t="shared" si="69"/>
        <v/>
      </c>
      <c r="I325" s="108" t="str">
        <f t="shared" si="70"/>
        <v/>
      </c>
    </row>
    <row r="326" spans="2:9" x14ac:dyDescent="0.2">
      <c r="B326" s="12" t="str">
        <f>$B$14</f>
        <v>Cis-chloordaan</v>
      </c>
      <c r="C326" s="34" t="str">
        <f>IF(VLOOKUP(WB_Standaard_Hoog[[#This Row],[Component]],Concentraties!$B$8:$L$17,11,FALSE)="","",VLOOKUP(WB_Standaard_Hoog[[#This Row],[Component]],Concentraties!$B$8:$L$17,11,FALSE))</f>
        <v/>
      </c>
      <c r="D326" s="38"/>
      <c r="E326" s="40"/>
      <c r="F326" s="40"/>
      <c r="G326" s="37"/>
      <c r="H326" s="20" t="str">
        <f t="shared" si="69"/>
        <v/>
      </c>
      <c r="I326" s="108" t="str">
        <f t="shared" si="70"/>
        <v/>
      </c>
    </row>
    <row r="327" spans="2:9" x14ac:dyDescent="0.2">
      <c r="B327" s="12" t="str">
        <f>$B$15</f>
        <v>Endrin</v>
      </c>
      <c r="C327" s="34" t="str">
        <f>IF(VLOOKUP(WB_Standaard_Hoog[[#This Row],[Component]],Concentraties!$B$8:$L$17,11,FALSE)="","",VLOOKUP(WB_Standaard_Hoog[[#This Row],[Component]],Concentraties!$B$8:$L$17,11,FALSE))</f>
        <v/>
      </c>
      <c r="D327" s="38"/>
      <c r="E327" s="40"/>
      <c r="F327" s="40"/>
      <c r="G327" s="37"/>
      <c r="H327" s="20" t="str">
        <f t="shared" si="69"/>
        <v/>
      </c>
      <c r="I327" s="108" t="str">
        <f t="shared" si="70"/>
        <v/>
      </c>
    </row>
    <row r="328" spans="2:9" x14ac:dyDescent="0.2">
      <c r="B328" s="12" t="str">
        <f>$B$16</f>
        <v>Hexachloorbutadieen</v>
      </c>
      <c r="C328" s="34" t="str">
        <f>IF(VLOOKUP(WB_Standaard_Hoog[[#This Row],[Component]],Concentraties!$B$8:$L$17,11,FALSE)="","",VLOOKUP(WB_Standaard_Hoog[[#This Row],[Component]],Concentraties!$B$8:$L$17,11,FALSE))</f>
        <v/>
      </c>
      <c r="D328" s="38"/>
      <c r="E328" s="40"/>
      <c r="F328" s="40"/>
      <c r="G328" s="37"/>
      <c r="H328" s="20" t="str">
        <f t="shared" si="69"/>
        <v/>
      </c>
      <c r="I328" s="108" t="str">
        <f t="shared" si="70"/>
        <v/>
      </c>
    </row>
    <row r="329" spans="2:9" x14ac:dyDescent="0.2">
      <c r="B329" s="12" t="str">
        <f>$B$17</f>
        <v>Naftaleen</v>
      </c>
      <c r="C329" s="34" t="str">
        <f>IF(VLOOKUP(WB_Standaard_Hoog[[#This Row],[Component]],Concentraties!$B$8:$L$17,11,FALSE)="","",VLOOKUP(WB_Standaard_Hoog[[#This Row],[Component]],Concentraties!$B$8:$L$17,11,FALSE))</f>
        <v/>
      </c>
      <c r="D329" s="38"/>
      <c r="E329" s="40"/>
      <c r="F329" s="40"/>
      <c r="G329" s="37"/>
      <c r="H329" s="20" t="str">
        <f t="shared" si="69"/>
        <v/>
      </c>
      <c r="I329" s="108" t="str">
        <f t="shared" si="70"/>
        <v/>
      </c>
    </row>
    <row r="330" spans="2:9" x14ac:dyDescent="0.2">
      <c r="B330" s="12" t="str">
        <f>$B$18</f>
        <v>Pentachloorbenzeen</v>
      </c>
      <c r="C330" s="34" t="str">
        <f>IF(VLOOKUP(WB_Standaard_Hoog[[#This Row],[Component]],Concentraties!$B$8:$L$17,11,FALSE)="","",VLOOKUP(WB_Standaard_Hoog[[#This Row],[Component]],Concentraties!$B$8:$L$17,11,FALSE))</f>
        <v/>
      </c>
      <c r="D330" s="38"/>
      <c r="E330" s="40"/>
      <c r="F330" s="40"/>
      <c r="G330" s="37"/>
      <c r="H330" s="20" t="str">
        <f t="shared" si="69"/>
        <v/>
      </c>
      <c r="I330" s="108" t="str">
        <f t="shared" si="70"/>
        <v/>
      </c>
    </row>
    <row r="331" spans="2:9" x14ac:dyDescent="0.2">
      <c r="B331" s="12" t="str">
        <f>$B$19</f>
        <v>PCB 28</v>
      </c>
      <c r="C331" s="34" t="str">
        <f>IF(VLOOKUP(WB_Standaard_Hoog[[#This Row],[Component]],Concentraties!$B$8:$L$17,11,FALSE)="","",VLOOKUP(WB_Standaard_Hoog[[#This Row],[Component]],Concentraties!$B$8:$L$17,11,FALSE))</f>
        <v/>
      </c>
      <c r="D331" s="38"/>
      <c r="E331" s="40"/>
      <c r="F331" s="40"/>
      <c r="G331" s="37"/>
      <c r="H331" s="20" t="str">
        <f t="shared" si="69"/>
        <v/>
      </c>
      <c r="I331" s="108" t="str">
        <f t="shared" si="70"/>
        <v/>
      </c>
    </row>
    <row r="332" spans="2:9" x14ac:dyDescent="0.2">
      <c r="C332" s="35"/>
    </row>
  </sheetData>
  <sheetProtection algorithmName="SHA-512" hashValue="sL2hCTJqBMFXfDsWJj2Xuq/AdyFnUPgp8X9ktrYF90HRIO4upt9qpZTF/AYsJpYHm0XJ6sQWtAJ98qXDnl8MBg==" saltValue="Adw6CS1Sy7mh/p4IQ0xFVw==" spinCount="100000" sheet="1" objects="1" scenarios="1"/>
  <mergeCells count="5">
    <mergeCell ref="B6:I6"/>
    <mergeCell ref="L6:Y6"/>
    <mergeCell ref="B7:I7"/>
    <mergeCell ref="H5:I5"/>
    <mergeCell ref="H4:I4"/>
  </mergeCells>
  <phoneticPr fontId="4" type="noConversion"/>
  <pageMargins left="0.7" right="0.7" top="0.75" bottom="0.75" header="0.3" footer="0.3"/>
  <pageSetup paperSize="9" orientation="landscape" r:id="rId1"/>
  <drawing r:id="rId2"/>
  <tableParts count="2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6432-3097-4485-B9D8-8B3AABB0EB65}">
  <sheetPr>
    <tabColor theme="3" tint="0.749992370372631"/>
  </sheetPr>
  <dimension ref="B2:O50"/>
  <sheetViews>
    <sheetView zoomScaleNormal="100" workbookViewId="0">
      <selection activeCell="M24" sqref="M24"/>
    </sheetView>
  </sheetViews>
  <sheetFormatPr defaultColWidth="9.140625" defaultRowHeight="12.75" x14ac:dyDescent="0.2"/>
  <cols>
    <col min="1" max="3" width="9.140625" style="3"/>
    <col min="4" max="4" width="23.140625" style="3" customWidth="1"/>
    <col min="5" max="5" width="10.28515625" style="3" customWidth="1"/>
    <col min="6" max="6" width="18.42578125" style="3" customWidth="1"/>
    <col min="7" max="7" width="18.5703125" style="3" customWidth="1"/>
    <col min="8" max="8" width="9.140625" style="3"/>
    <col min="9" max="9" width="24.42578125" style="3" customWidth="1"/>
    <col min="10" max="10" width="16.7109375" style="3" customWidth="1"/>
    <col min="11" max="11" width="17.7109375" style="3" bestFit="1" customWidth="1"/>
    <col min="12" max="15" width="16.7109375" style="3" customWidth="1"/>
    <col min="16" max="16" width="9.140625" style="3"/>
    <col min="17" max="17" width="20.85546875" style="3" bestFit="1" customWidth="1"/>
    <col min="18" max="23" width="16.7109375" style="3" customWidth="1"/>
    <col min="24" max="16384" width="9.140625" style="3"/>
  </cols>
  <sheetData>
    <row r="2" spans="2:15" x14ac:dyDescent="0.2">
      <c r="B2" s="138" t="s">
        <v>91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2:15" x14ac:dyDescent="0.2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2:15" x14ac:dyDescent="0.2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2:15" x14ac:dyDescent="0.2"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2:15" x14ac:dyDescent="0.2"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2:15" ht="23.25" x14ac:dyDescent="0.35">
      <c r="B7" s="136" t="s">
        <v>42</v>
      </c>
      <c r="C7" s="136"/>
      <c r="D7" s="136"/>
      <c r="E7" s="136"/>
      <c r="F7" s="136"/>
      <c r="G7" s="136"/>
      <c r="I7" s="136" t="s">
        <v>89</v>
      </c>
      <c r="J7" s="136"/>
      <c r="K7" s="136"/>
      <c r="L7" s="136"/>
      <c r="M7" s="136"/>
      <c r="N7" s="136"/>
      <c r="O7" s="136"/>
    </row>
    <row r="8" spans="2:15" x14ac:dyDescent="0.2">
      <c r="B8" s="137" t="s">
        <v>123</v>
      </c>
      <c r="C8" s="137"/>
      <c r="D8" s="137"/>
      <c r="E8" s="137"/>
      <c r="F8" s="137"/>
      <c r="G8" s="137"/>
    </row>
    <row r="9" spans="2:15" ht="27" x14ac:dyDescent="0.2">
      <c r="B9" s="41" t="s">
        <v>36</v>
      </c>
      <c r="C9" s="41" t="s">
        <v>37</v>
      </c>
      <c r="D9" s="41" t="s">
        <v>38</v>
      </c>
      <c r="E9" s="43" t="s">
        <v>43</v>
      </c>
      <c r="F9" s="43" t="s">
        <v>41</v>
      </c>
      <c r="G9" s="43" t="s">
        <v>50</v>
      </c>
      <c r="I9" s="16" t="s">
        <v>2</v>
      </c>
      <c r="J9" s="58" t="s">
        <v>44</v>
      </c>
      <c r="K9" s="58" t="s">
        <v>211</v>
      </c>
      <c r="L9" s="58" t="s">
        <v>46</v>
      </c>
      <c r="M9" s="58" t="s">
        <v>200</v>
      </c>
      <c r="N9" s="58" t="s">
        <v>45</v>
      </c>
      <c r="O9" s="58" t="s">
        <v>201</v>
      </c>
    </row>
    <row r="10" spans="2:15" x14ac:dyDescent="0.2">
      <c r="B10" s="44">
        <v>1</v>
      </c>
      <c r="C10" s="16" t="s">
        <v>39</v>
      </c>
      <c r="D10" s="104" t="s">
        <v>167</v>
      </c>
      <c r="E10" s="1"/>
      <c r="F10" s="1"/>
      <c r="G10" s="1"/>
      <c r="I10" s="74" t="s">
        <v>135</v>
      </c>
      <c r="J10" s="59"/>
      <c r="K10" s="59"/>
      <c r="L10" s="1"/>
      <c r="M10" s="1"/>
      <c r="N10" s="1"/>
      <c r="O10" s="1"/>
    </row>
    <row r="11" spans="2:15" x14ac:dyDescent="0.2">
      <c r="B11" s="44">
        <v>2</v>
      </c>
      <c r="C11" s="16" t="s">
        <v>39</v>
      </c>
      <c r="D11" s="104" t="s">
        <v>7</v>
      </c>
      <c r="E11" s="1"/>
      <c r="F11" s="1"/>
      <c r="G11" s="1"/>
      <c r="I11" s="16" t="s">
        <v>136</v>
      </c>
      <c r="J11" s="59"/>
      <c r="K11" s="59"/>
      <c r="L11" s="1"/>
      <c r="M11" s="1"/>
      <c r="N11" s="1"/>
      <c r="O11" s="1"/>
    </row>
    <row r="12" spans="2:15" x14ac:dyDescent="0.2">
      <c r="B12" s="44">
        <v>3</v>
      </c>
      <c r="C12" s="16" t="s">
        <v>39</v>
      </c>
      <c r="D12" s="104" t="s">
        <v>8</v>
      </c>
      <c r="E12" s="1"/>
      <c r="F12" s="1"/>
      <c r="G12" s="1"/>
      <c r="I12" s="16" t="s">
        <v>137</v>
      </c>
      <c r="J12" s="59"/>
      <c r="K12" s="59"/>
      <c r="L12" s="1"/>
      <c r="M12" s="1"/>
      <c r="N12" s="1"/>
      <c r="O12" s="1"/>
    </row>
    <row r="13" spans="2:15" x14ac:dyDescent="0.2">
      <c r="B13" s="44">
        <v>4</v>
      </c>
      <c r="C13" s="16" t="s">
        <v>39</v>
      </c>
      <c r="D13" s="104" t="s">
        <v>9</v>
      </c>
      <c r="E13" s="1"/>
      <c r="F13" s="1"/>
      <c r="G13" s="1"/>
      <c r="I13" s="16" t="s">
        <v>138</v>
      </c>
      <c r="J13" s="59"/>
      <c r="K13" s="59"/>
      <c r="L13" s="1"/>
      <c r="M13" s="1"/>
      <c r="N13" s="1"/>
      <c r="O13" s="1"/>
    </row>
    <row r="14" spans="2:15" x14ac:dyDescent="0.2">
      <c r="B14" s="44">
        <v>5</v>
      </c>
      <c r="C14" s="16" t="s">
        <v>39</v>
      </c>
      <c r="D14" s="104" t="s">
        <v>10</v>
      </c>
      <c r="E14" s="1"/>
      <c r="F14" s="1"/>
      <c r="G14" s="1"/>
      <c r="I14" s="16" t="s">
        <v>207</v>
      </c>
      <c r="J14" s="59"/>
      <c r="K14" s="59"/>
      <c r="L14" s="1"/>
      <c r="M14" s="1"/>
      <c r="N14" s="1"/>
      <c r="O14" s="1"/>
    </row>
    <row r="15" spans="2:15" x14ac:dyDescent="0.2">
      <c r="B15" s="44">
        <v>6</v>
      </c>
      <c r="C15" s="16" t="s">
        <v>39</v>
      </c>
      <c r="D15" s="104" t="s">
        <v>11</v>
      </c>
      <c r="E15" s="1"/>
      <c r="F15" s="1"/>
      <c r="G15" s="1"/>
      <c r="I15" s="16" t="s">
        <v>139</v>
      </c>
      <c r="J15" s="59"/>
      <c r="K15" s="59"/>
      <c r="L15" s="1"/>
      <c r="M15" s="1"/>
      <c r="N15" s="1"/>
      <c r="O15" s="1"/>
    </row>
    <row r="16" spans="2:15" x14ac:dyDescent="0.2">
      <c r="B16" s="44">
        <v>7</v>
      </c>
      <c r="C16" s="16" t="s">
        <v>40</v>
      </c>
      <c r="D16" s="104" t="s">
        <v>92</v>
      </c>
      <c r="E16" s="1"/>
      <c r="F16" s="1"/>
      <c r="G16" s="1"/>
      <c r="I16" s="16" t="s">
        <v>208</v>
      </c>
      <c r="J16" s="59"/>
      <c r="K16" s="59"/>
      <c r="L16" s="1"/>
      <c r="M16" s="1"/>
      <c r="N16" s="1"/>
      <c r="O16" s="1"/>
    </row>
    <row r="17" spans="2:15" x14ac:dyDescent="0.2">
      <c r="B17" s="44">
        <v>8</v>
      </c>
      <c r="C17" s="16" t="s">
        <v>40</v>
      </c>
      <c r="D17" s="104" t="s">
        <v>172</v>
      </c>
      <c r="E17" s="1"/>
      <c r="F17" s="1"/>
      <c r="G17" s="1"/>
      <c r="I17" s="16" t="s">
        <v>140</v>
      </c>
      <c r="J17" s="59"/>
      <c r="K17" s="59"/>
      <c r="L17" s="1"/>
      <c r="M17" s="1"/>
      <c r="N17" s="1"/>
      <c r="O17" s="1"/>
    </row>
    <row r="18" spans="2:15" x14ac:dyDescent="0.2">
      <c r="B18" s="44">
        <v>9</v>
      </c>
      <c r="C18" s="16" t="s">
        <v>40</v>
      </c>
      <c r="D18" s="104" t="s">
        <v>98</v>
      </c>
      <c r="E18" s="1"/>
      <c r="F18" s="1"/>
      <c r="G18" s="1"/>
    </row>
    <row r="19" spans="2:15" x14ac:dyDescent="0.2">
      <c r="B19" s="44">
        <v>10</v>
      </c>
      <c r="C19" s="16" t="s">
        <v>40</v>
      </c>
      <c r="D19" s="104" t="s">
        <v>87</v>
      </c>
      <c r="E19" s="1"/>
      <c r="F19" s="1"/>
      <c r="G19" s="1"/>
    </row>
    <row r="20" spans="2:15" x14ac:dyDescent="0.2">
      <c r="B20" s="44">
        <v>11</v>
      </c>
      <c r="C20" s="16" t="s">
        <v>40</v>
      </c>
      <c r="D20" s="104" t="s">
        <v>88</v>
      </c>
      <c r="E20" s="1"/>
      <c r="F20" s="1"/>
      <c r="G20" s="1"/>
      <c r="I20" s="16" t="s">
        <v>124</v>
      </c>
      <c r="J20" s="70" t="s">
        <v>49</v>
      </c>
    </row>
    <row r="21" spans="2:15" x14ac:dyDescent="0.2">
      <c r="B21" s="44">
        <v>12</v>
      </c>
      <c r="C21" s="16" t="s">
        <v>40</v>
      </c>
      <c r="D21" s="104" t="s">
        <v>170</v>
      </c>
      <c r="E21" s="1"/>
      <c r="F21" s="1"/>
      <c r="G21" s="1"/>
      <c r="I21" s="16" t="s">
        <v>125</v>
      </c>
      <c r="J21" s="1"/>
    </row>
    <row r="22" spans="2:15" x14ac:dyDescent="0.2">
      <c r="B22" s="44">
        <v>13</v>
      </c>
      <c r="C22" s="16" t="s">
        <v>40</v>
      </c>
      <c r="D22" s="104" t="s">
        <v>92</v>
      </c>
      <c r="E22" s="1"/>
      <c r="F22" s="1"/>
      <c r="G22" s="1"/>
      <c r="I22" s="16" t="s">
        <v>126</v>
      </c>
      <c r="J22" s="1"/>
    </row>
    <row r="23" spans="2:15" x14ac:dyDescent="0.2">
      <c r="B23" s="44">
        <v>14</v>
      </c>
      <c r="C23" s="16" t="s">
        <v>40</v>
      </c>
      <c r="D23" s="104" t="s">
        <v>97</v>
      </c>
      <c r="E23" s="1"/>
      <c r="F23" s="1"/>
      <c r="G23" s="1"/>
    </row>
    <row r="24" spans="2:15" x14ac:dyDescent="0.2">
      <c r="B24" s="44">
        <v>15</v>
      </c>
      <c r="C24" s="16" t="s">
        <v>40</v>
      </c>
      <c r="D24" s="104" t="s">
        <v>74</v>
      </c>
      <c r="E24" s="1"/>
      <c r="F24" s="1"/>
      <c r="G24" s="1"/>
      <c r="I24" s="16" t="s">
        <v>52</v>
      </c>
      <c r="J24" s="70"/>
    </row>
    <row r="25" spans="2:15" x14ac:dyDescent="0.2">
      <c r="B25" s="44">
        <v>16</v>
      </c>
      <c r="C25" s="16" t="s">
        <v>40</v>
      </c>
      <c r="D25" s="104" t="s">
        <v>75</v>
      </c>
      <c r="E25" s="1"/>
      <c r="F25" s="1"/>
      <c r="G25" s="1"/>
      <c r="I25" s="16" t="s">
        <v>51</v>
      </c>
      <c r="J25" s="1"/>
    </row>
    <row r="26" spans="2:15" x14ac:dyDescent="0.2">
      <c r="B26" s="44">
        <v>17</v>
      </c>
      <c r="C26" s="16" t="s">
        <v>40</v>
      </c>
      <c r="D26" s="104" t="s">
        <v>76</v>
      </c>
      <c r="E26" s="1"/>
      <c r="F26" s="1"/>
      <c r="G26" s="1"/>
      <c r="I26" s="16" t="s">
        <v>127</v>
      </c>
      <c r="J26" s="1"/>
    </row>
    <row r="27" spans="2:15" x14ac:dyDescent="0.2">
      <c r="B27" s="44">
        <v>18</v>
      </c>
      <c r="C27" s="16" t="s">
        <v>40</v>
      </c>
      <c r="D27" s="104" t="s">
        <v>77</v>
      </c>
      <c r="E27" s="1"/>
      <c r="F27" s="1"/>
      <c r="G27" s="1"/>
      <c r="I27" s="16" t="s">
        <v>128</v>
      </c>
      <c r="J27" s="1"/>
    </row>
    <row r="28" spans="2:15" x14ac:dyDescent="0.2">
      <c r="B28" s="44">
        <v>19</v>
      </c>
      <c r="C28" s="16" t="s">
        <v>40</v>
      </c>
      <c r="D28" s="104" t="s">
        <v>78</v>
      </c>
      <c r="E28" s="1"/>
      <c r="F28" s="1"/>
      <c r="G28" s="1"/>
      <c r="I28" s="16" t="s">
        <v>209</v>
      </c>
      <c r="J28" s="1"/>
    </row>
    <row r="29" spans="2:15" x14ac:dyDescent="0.2">
      <c r="B29" s="44">
        <v>20</v>
      </c>
      <c r="C29" s="16" t="s">
        <v>40</v>
      </c>
      <c r="D29" s="104" t="s">
        <v>79</v>
      </c>
      <c r="E29" s="1"/>
      <c r="F29" s="1"/>
      <c r="G29" s="1"/>
    </row>
    <row r="30" spans="2:15" x14ac:dyDescent="0.2">
      <c r="B30" s="44">
        <v>21</v>
      </c>
      <c r="C30" s="16" t="s">
        <v>40</v>
      </c>
      <c r="D30" s="104" t="s">
        <v>80</v>
      </c>
      <c r="E30" s="1"/>
      <c r="F30" s="1"/>
      <c r="G30" s="1"/>
      <c r="I30" s="10" t="s">
        <v>64</v>
      </c>
    </row>
    <row r="31" spans="2:15" x14ac:dyDescent="0.2">
      <c r="B31" s="44">
        <v>22</v>
      </c>
      <c r="C31" s="16" t="s">
        <v>40</v>
      </c>
      <c r="D31" s="104" t="s">
        <v>81</v>
      </c>
      <c r="E31" s="1"/>
      <c r="F31" s="1"/>
      <c r="G31" s="1"/>
      <c r="I31" s="16" t="s">
        <v>53</v>
      </c>
      <c r="J31" s="16" t="s">
        <v>113</v>
      </c>
      <c r="K31" s="16" t="s">
        <v>210</v>
      </c>
    </row>
    <row r="32" spans="2:15" x14ac:dyDescent="0.2">
      <c r="B32" s="44">
        <v>23</v>
      </c>
      <c r="C32" s="16" t="s">
        <v>40</v>
      </c>
      <c r="D32" s="104" t="s">
        <v>171</v>
      </c>
      <c r="E32" s="1"/>
      <c r="F32" s="1"/>
      <c r="G32" s="1"/>
      <c r="I32" s="71">
        <v>0</v>
      </c>
      <c r="J32" s="1"/>
      <c r="K32" s="1"/>
    </row>
    <row r="33" spans="2:11" x14ac:dyDescent="0.2">
      <c r="B33" s="44">
        <v>24</v>
      </c>
      <c r="C33" s="16" t="s">
        <v>40</v>
      </c>
      <c r="D33" s="104" t="s">
        <v>82</v>
      </c>
      <c r="E33" s="1"/>
      <c r="F33" s="1"/>
      <c r="G33" s="1"/>
      <c r="I33" s="72"/>
      <c r="J33" s="1"/>
      <c r="K33" s="1"/>
    </row>
    <row r="34" spans="2:11" x14ac:dyDescent="0.2">
      <c r="I34" s="72"/>
      <c r="J34" s="1"/>
      <c r="K34" s="1"/>
    </row>
    <row r="35" spans="2:11" x14ac:dyDescent="0.2">
      <c r="I35" s="72"/>
      <c r="J35" s="1"/>
      <c r="K35" s="1"/>
    </row>
    <row r="36" spans="2:11" x14ac:dyDescent="0.2">
      <c r="I36" s="72"/>
      <c r="J36" s="1"/>
      <c r="K36" s="1"/>
    </row>
    <row r="37" spans="2:11" x14ac:dyDescent="0.2">
      <c r="I37" s="72"/>
      <c r="J37" s="1"/>
      <c r="K37" s="1"/>
    </row>
    <row r="38" spans="2:11" x14ac:dyDescent="0.2">
      <c r="I38" s="72"/>
      <c r="J38" s="1"/>
      <c r="K38" s="1"/>
    </row>
    <row r="39" spans="2:11" x14ac:dyDescent="0.2">
      <c r="I39" s="72"/>
      <c r="J39" s="1"/>
      <c r="K39" s="1"/>
    </row>
    <row r="40" spans="2:11" x14ac:dyDescent="0.2">
      <c r="I40" s="72"/>
      <c r="J40" s="1"/>
      <c r="K40" s="1"/>
    </row>
    <row r="41" spans="2:11" x14ac:dyDescent="0.2">
      <c r="I41" s="72"/>
      <c r="J41" s="1"/>
      <c r="K41" s="1"/>
    </row>
    <row r="42" spans="2:11" x14ac:dyDescent="0.2">
      <c r="I42" s="72"/>
      <c r="J42" s="1"/>
      <c r="K42" s="1"/>
    </row>
    <row r="43" spans="2:11" x14ac:dyDescent="0.2">
      <c r="I43" s="72"/>
      <c r="J43" s="1"/>
      <c r="K43" s="1"/>
    </row>
    <row r="44" spans="2:11" x14ac:dyDescent="0.2">
      <c r="I44" s="72"/>
      <c r="J44" s="1"/>
      <c r="K44" s="1"/>
    </row>
    <row r="45" spans="2:11" x14ac:dyDescent="0.2">
      <c r="I45" s="72"/>
      <c r="J45" s="1"/>
      <c r="K45" s="1"/>
    </row>
    <row r="46" spans="2:11" x14ac:dyDescent="0.2">
      <c r="I46" s="72"/>
      <c r="J46" s="1"/>
      <c r="K46" s="1"/>
    </row>
    <row r="47" spans="2:11" x14ac:dyDescent="0.2">
      <c r="I47" s="72"/>
      <c r="J47" s="1"/>
      <c r="K47" s="1"/>
    </row>
    <row r="48" spans="2:11" x14ac:dyDescent="0.2">
      <c r="I48" s="72"/>
      <c r="J48" s="1"/>
      <c r="K48" s="1"/>
    </row>
    <row r="49" spans="9:11" x14ac:dyDescent="0.2">
      <c r="I49" s="72"/>
      <c r="J49" s="1"/>
      <c r="K49" s="1"/>
    </row>
    <row r="50" spans="9:11" x14ac:dyDescent="0.2">
      <c r="I50" s="72"/>
      <c r="J50" s="1"/>
      <c r="K50" s="1"/>
    </row>
  </sheetData>
  <sheetProtection algorithmName="SHA-512" hashValue="ucdM+W+glwvNBFCCQZ/syDwz0IpTaYdFcK2wO+xL1GRW9Kl7XCuwWvYGANsBBv6JwBoLFbEXaJ/rM2cggPSQbg==" saltValue="g05e3AZzeU6GZfap1Y7UHg==" spinCount="100000" sheet="1" objects="1" scenarios="1"/>
  <mergeCells count="4">
    <mergeCell ref="B2:O6"/>
    <mergeCell ref="B7:G7"/>
    <mergeCell ref="I7:O7"/>
    <mergeCell ref="B8:G8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C477-4DBD-4567-A0DA-FB380E742A3A}">
  <sheetPr>
    <tabColor theme="3" tint="0.749992370372631"/>
  </sheetPr>
  <dimension ref="B2:AR271"/>
  <sheetViews>
    <sheetView topLeftCell="J42" zoomScaleNormal="100" workbookViewId="0">
      <selection activeCell="Z64" sqref="Z64"/>
    </sheetView>
  </sheetViews>
  <sheetFormatPr defaultColWidth="9.140625" defaultRowHeight="12.75" x14ac:dyDescent="0.2"/>
  <cols>
    <col min="1" max="1" width="3.42578125" style="3" customWidth="1"/>
    <col min="2" max="2" width="21" style="3" customWidth="1"/>
    <col min="3" max="3" width="14.42578125" style="3" customWidth="1"/>
    <col min="4" max="4" width="13.28515625" style="3" customWidth="1"/>
    <col min="5" max="5" width="13.42578125" style="3" customWidth="1"/>
    <col min="6" max="6" width="20.28515625" style="3" customWidth="1"/>
    <col min="7" max="7" width="16.42578125" style="3" customWidth="1"/>
    <col min="8" max="8" width="15.7109375" style="35" customWidth="1"/>
    <col min="9" max="9" width="18.7109375" style="116" customWidth="1"/>
    <col min="10" max="10" width="14.7109375" style="63" customWidth="1"/>
    <col min="11" max="11" width="16.85546875" style="3" bestFit="1" customWidth="1"/>
    <col min="12" max="12" width="21.7109375" style="3" customWidth="1"/>
    <col min="13" max="13" width="11.85546875" style="3" customWidth="1"/>
    <col min="14" max="54" width="10.42578125" style="3" customWidth="1"/>
    <col min="55" max="16384" width="9.140625" style="3"/>
  </cols>
  <sheetData>
    <row r="2" spans="2:26" x14ac:dyDescent="0.2">
      <c r="D2" s="42" t="s">
        <v>13</v>
      </c>
      <c r="E2" s="1"/>
      <c r="H2" s="67" t="s">
        <v>35</v>
      </c>
      <c r="I2" s="121">
        <f>SUM(OW_Punten_AG,OW_PuntenRG_TV,OW_PuntenCM_TV,OW_PuntenRatio,OW_PuntenLineariteit)</f>
        <v>0</v>
      </c>
    </row>
    <row r="3" spans="2:26" x14ac:dyDescent="0.2">
      <c r="D3" s="42" t="s">
        <v>0</v>
      </c>
      <c r="E3" s="21"/>
      <c r="H3" s="67" t="s">
        <v>176</v>
      </c>
      <c r="I3" s="110">
        <f>10*I2/OW_Punt_MAX</f>
        <v>0</v>
      </c>
    </row>
    <row r="4" spans="2:26" ht="29.25" customHeight="1" x14ac:dyDescent="0.2">
      <c r="H4" s="141" t="s">
        <v>134</v>
      </c>
      <c r="I4" s="142"/>
    </row>
    <row r="5" spans="2:26" ht="19.5" customHeight="1" x14ac:dyDescent="0.2">
      <c r="H5" s="139"/>
      <c r="I5" s="140"/>
    </row>
    <row r="6" spans="2:26" ht="23.25" x14ac:dyDescent="0.35">
      <c r="B6" s="136" t="s">
        <v>19</v>
      </c>
      <c r="C6" s="136"/>
      <c r="D6" s="136"/>
      <c r="E6" s="136"/>
      <c r="F6" s="136"/>
      <c r="G6" s="136"/>
      <c r="H6" s="136"/>
      <c r="I6" s="136"/>
      <c r="J6" s="66"/>
      <c r="K6" s="57"/>
      <c r="L6" s="136" t="s">
        <v>20</v>
      </c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57"/>
    </row>
    <row r="7" spans="2:26" ht="23.25" x14ac:dyDescent="0.35">
      <c r="B7" s="136" t="s">
        <v>150</v>
      </c>
      <c r="C7" s="136"/>
      <c r="D7" s="136"/>
      <c r="E7" s="136"/>
      <c r="F7" s="136"/>
      <c r="G7" s="136"/>
      <c r="H7" s="136"/>
      <c r="I7" s="136"/>
      <c r="J7" s="64"/>
      <c r="K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2:26" ht="20.25" x14ac:dyDescent="0.2">
      <c r="B8" s="4" t="s">
        <v>1</v>
      </c>
      <c r="E8" s="5"/>
      <c r="F8" s="6"/>
      <c r="L8" s="4" t="s">
        <v>65</v>
      </c>
      <c r="O8" s="82"/>
      <c r="X8" s="83"/>
    </row>
    <row r="9" spans="2:26" ht="39" thickBot="1" x14ac:dyDescent="0.25">
      <c r="B9" s="14" t="s">
        <v>2</v>
      </c>
      <c r="C9" s="15" t="s">
        <v>151</v>
      </c>
      <c r="D9" s="15" t="s">
        <v>3</v>
      </c>
      <c r="E9" s="15" t="s">
        <v>47</v>
      </c>
      <c r="F9" s="15" t="s">
        <v>48</v>
      </c>
      <c r="G9" s="15" t="s">
        <v>152</v>
      </c>
      <c r="H9" s="36" t="s">
        <v>4</v>
      </c>
      <c r="I9" s="117" t="s">
        <v>5</v>
      </c>
      <c r="L9" s="23" t="s">
        <v>2</v>
      </c>
      <c r="M9" s="22" t="s">
        <v>153</v>
      </c>
      <c r="N9" s="22" t="s">
        <v>74</v>
      </c>
      <c r="O9" s="22" t="s">
        <v>75</v>
      </c>
      <c r="P9" s="22" t="s">
        <v>76</v>
      </c>
      <c r="Q9" s="22" t="s">
        <v>77</v>
      </c>
      <c r="R9" s="22" t="s">
        <v>78</v>
      </c>
      <c r="S9" s="22" t="s">
        <v>79</v>
      </c>
      <c r="T9" s="22" t="s">
        <v>80</v>
      </c>
      <c r="U9" s="22" t="s">
        <v>81</v>
      </c>
      <c r="V9" s="22" t="s">
        <v>16</v>
      </c>
      <c r="W9" s="24" t="s">
        <v>14</v>
      </c>
      <c r="X9" s="22" t="s">
        <v>154</v>
      </c>
      <c r="Y9" s="22" t="s">
        <v>32</v>
      </c>
    </row>
    <row r="10" spans="2:26" ht="13.5" thickTop="1" x14ac:dyDescent="0.2">
      <c r="B10" s="13" t="str">
        <f>'Sequence + methode OW'!I10</f>
        <v>Alachloor</v>
      </c>
      <c r="C10" s="25" t="str">
        <f>IF(VLOOKUP(OW_Kalibratie0[[#This Row],[Component]],Concentraties!$B$22:$L$29,2,FALSE)="","",VLOOKUP(OW_Kalibratie0[[#This Row],[Component]],Concentraties!$B$22:$L$29,2,FALSE))</f>
        <v>-</v>
      </c>
      <c r="D10" s="37"/>
      <c r="E10" s="39"/>
      <c r="F10" s="39"/>
      <c r="G10" s="37"/>
      <c r="H10" s="20" t="str">
        <f t="shared" ref="H10:H17" si="0">IFERROR(IF(C10="-","N.v.t.",IF(G10="","",100*G10/C10)),"")</f>
        <v>N.v.t.</v>
      </c>
      <c r="I10" s="118" t="str">
        <f t="shared" ref="I10:I17" si="1">IFERROR(MIN(E10,F10)/MAX(E10,F10),"")</f>
        <v/>
      </c>
      <c r="L10" s="18" t="str">
        <f>OW_Kalibratie0[[#This Row],[Component]]</f>
        <v>Alachloor</v>
      </c>
      <c r="M10" s="20" t="str">
        <f>IF(VLOOKUP(L10,Concentraties!$B$22:$L$29,10,FALSE)="","",VLOOKUP(L10,Concentraties!$B$22:$L$29,10,FALSE))</f>
        <v/>
      </c>
      <c r="N10" s="20" t="str">
        <f>IF(VLOOKUP($L10,OW_RG_1[],6,FALSE)="","",VLOOKUP($L10,OW_RG_1[],6,FALSE))</f>
        <v/>
      </c>
      <c r="O10" s="20" t="str">
        <f>IF(VLOOKUP($L10,OW_RG_2[],6,FALSE)="","",VLOOKUP($L10,OW_RG_2[],6,FALSE))</f>
        <v/>
      </c>
      <c r="P10" s="20" t="str">
        <f>IF(VLOOKUP($L10,OW_RG_3[],6,FALSE)="","",VLOOKUP($L10,OW_RG_3[],6,FALSE))</f>
        <v/>
      </c>
      <c r="Q10" s="20" t="str">
        <f>IF(VLOOKUP($L10,OW_RG_4[],6,FALSE)="","",VLOOKUP($L10,OW_RG_4[],6,FALSE))</f>
        <v/>
      </c>
      <c r="R10" s="20" t="str">
        <f>IF(VLOOKUP($L10,OW_RG_5[],6,FALSE)="","",VLOOKUP($L10,OW_RG_5[],6,FALSE))</f>
        <v/>
      </c>
      <c r="S10" s="20" t="str">
        <f>IF(VLOOKUP($L10,OW_RG_6[],6,FALSE)="","",VLOOKUP($L10,OW_RG_6[],6,FALSE))</f>
        <v/>
      </c>
      <c r="T10" s="20" t="str">
        <f>IF(VLOOKUP($L10,OW_RG_7[],6,FALSE)="","",VLOOKUP($L10,OW_RG_7[],6,FALSE))</f>
        <v/>
      </c>
      <c r="U10" s="20" t="str">
        <f>IF(VLOOKUP($L10,OW_RG_8[],6,FALSE)="","",VLOOKUP($L10,OW_RG_8[],6,FALSE))</f>
        <v/>
      </c>
      <c r="V10" s="26">
        <f t="shared" ref="V10:V17" si="2">COUNT(N10:U10)</f>
        <v>0</v>
      </c>
      <c r="W10" s="20" t="str">
        <f>IF(V10&lt;2,"",STDEV(N10:U10))</f>
        <v/>
      </c>
      <c r="X10" s="20" t="str">
        <f>IF(W10="","",W10*9)</f>
        <v/>
      </c>
      <c r="Y10" s="20" t="str" cm="1">
        <f t="array" ref="Y10">_xlfn.IFS(V10&lt;8,"",
AND(X10&gt;'Punten verdeling'!$C$37,X10&lt;='Punten verdeling'!$D$37),OW_AG_U,
AND(X10&gt;'Punten verdeling'!C$38,X10&lt;='Punten verdeling'!D$38),OW_AG_G,
AND(X10&gt;'Punten verdeling'!C$39,X10&lt;='Punten verdeling'!D$39),OW_AG_V,
X10&gt;'Punten verdeling'!C$40,OW_AG_O)</f>
        <v/>
      </c>
    </row>
    <row r="11" spans="2:26" x14ac:dyDescent="0.2">
      <c r="B11" s="13" t="str">
        <f>'Sequence + methode OW'!I11</f>
        <v>Atrazine</v>
      </c>
      <c r="C11" s="25" t="str">
        <f>IF(VLOOKUP(OW_Kalibratie0[[#This Row],[Component]],Concentraties!$B$22:$L$29,2,FALSE)="","",VLOOKUP(OW_Kalibratie0[[#This Row],[Component]],Concentraties!$B$22:$L$29,2,FALSE))</f>
        <v>-</v>
      </c>
      <c r="D11" s="38"/>
      <c r="E11" s="40"/>
      <c r="F11" s="40"/>
      <c r="G11" s="37"/>
      <c r="H11" s="20" t="str">
        <f t="shared" si="0"/>
        <v>N.v.t.</v>
      </c>
      <c r="I11" s="119" t="str">
        <f t="shared" si="1"/>
        <v/>
      </c>
      <c r="L11" s="17" t="str">
        <f>OW_Kalibratie0[[#This Row],[Component]]</f>
        <v>Atrazine</v>
      </c>
      <c r="M11" s="20" t="str">
        <f>IF(VLOOKUP(L11,Concentraties!$B$22:$L$29,10,FALSE)="","",VLOOKUP(L11,Concentraties!$B$22:$L$29,10,FALSE))</f>
        <v/>
      </c>
      <c r="N11" s="20" t="str">
        <f>IF(VLOOKUP($L11,OW_RG_1[],6,FALSE)="","",VLOOKUP($L11,OW_RG_1[],6,FALSE))</f>
        <v/>
      </c>
      <c r="O11" s="20" t="str">
        <f>IF(VLOOKUP($L11,OW_RG_2[],6,FALSE)="","",VLOOKUP($L11,OW_RG_2[],6,FALSE))</f>
        <v/>
      </c>
      <c r="P11" s="20" t="str">
        <f>IF(VLOOKUP($L11,OW_RG_3[],6,FALSE)="","",VLOOKUP($L11,OW_RG_3[],6,FALSE))</f>
        <v/>
      </c>
      <c r="Q11" s="20" t="str">
        <f>IF(VLOOKUP($L11,OW_RG_4[],6,FALSE)="","",VLOOKUP($L11,OW_RG_4[],6,FALSE))</f>
        <v/>
      </c>
      <c r="R11" s="20" t="str">
        <f>IF(VLOOKUP($L11,OW_RG_5[],6,FALSE)="","",VLOOKUP($L11,OW_RG_5[],6,FALSE))</f>
        <v/>
      </c>
      <c r="S11" s="20" t="str">
        <f>IF(VLOOKUP($L11,OW_RG_6[],6,FALSE)="","",VLOOKUP($L11,OW_RG_6[],6,FALSE))</f>
        <v/>
      </c>
      <c r="T11" s="20" t="str">
        <f>IF(VLOOKUP($L11,OW_RG_7[],6,FALSE)="","",VLOOKUP($L11,OW_RG_7[],6,FALSE))</f>
        <v/>
      </c>
      <c r="U11" s="20" t="str">
        <f>IF(VLOOKUP($L11,OW_RG_8[],6,FALSE)="","",VLOOKUP($L11,OW_RG_8[],6,FALSE))</f>
        <v/>
      </c>
      <c r="V11" s="26">
        <f t="shared" si="2"/>
        <v>0</v>
      </c>
      <c r="W11" s="20" t="str">
        <f t="shared" ref="W11:W17" si="3">IF(V11&lt;2,"",STDEV(N11:U11))</f>
        <v/>
      </c>
      <c r="X11" s="20" t="str">
        <f t="shared" ref="X11:X17" si="4">IF(W11="","",W11*9)</f>
        <v/>
      </c>
      <c r="Y11" s="20" t="str" cm="1">
        <f t="array" ref="Y11">_xlfn.IFS(V11&lt;8,"",
AND(X11&gt;'Punten verdeling'!$C$37,X11&lt;='Punten verdeling'!$D$37),OW_AG_U,
AND(X11&gt;'Punten verdeling'!C$38,X11&lt;='Punten verdeling'!D$38),OW_AG_G,
AND(X11&gt;'Punten verdeling'!C$39,X11&lt;='Punten verdeling'!D$39),OW_AG_V,
X11&gt;'Punten verdeling'!C$40,OW_AG_O)</f>
        <v/>
      </c>
    </row>
    <row r="12" spans="2:26" x14ac:dyDescent="0.2">
      <c r="B12" s="13" t="str">
        <f>'Sequence + methode OW'!I12</f>
        <v>Chloorpyrifos-ethyl</v>
      </c>
      <c r="C12" s="25" t="str">
        <f>IF(VLOOKUP(OW_Kalibratie0[[#This Row],[Component]],Concentraties!$B$22:$L$29,2,FALSE)="","",VLOOKUP(OW_Kalibratie0[[#This Row],[Component]],Concentraties!$B$22:$L$29,2,FALSE))</f>
        <v>-</v>
      </c>
      <c r="D12" s="38"/>
      <c r="E12" s="40"/>
      <c r="F12" s="40"/>
      <c r="G12" s="37"/>
      <c r="H12" s="20" t="str">
        <f t="shared" si="0"/>
        <v>N.v.t.</v>
      </c>
      <c r="I12" s="119" t="str">
        <f t="shared" si="1"/>
        <v/>
      </c>
      <c r="L12" s="17" t="str">
        <f>OW_Kalibratie0[[#This Row],[Component]]</f>
        <v>Chloorpyrifos-ethyl</v>
      </c>
      <c r="M12" s="20" t="str">
        <f>IF(VLOOKUP(L12,Concentraties!$B$22:$L$29,10,FALSE)="","",VLOOKUP(L12,Concentraties!$B$22:$L$29,10,FALSE))</f>
        <v/>
      </c>
      <c r="N12" s="20" t="str">
        <f>IF(VLOOKUP($L12,OW_RG_1[],6,FALSE)="","",VLOOKUP($L12,OW_RG_1[],6,FALSE))</f>
        <v/>
      </c>
      <c r="O12" s="20" t="str">
        <f>IF(VLOOKUP($L12,OW_RG_2[],6,FALSE)="","",VLOOKUP($L12,OW_RG_2[],6,FALSE))</f>
        <v/>
      </c>
      <c r="P12" s="20" t="str">
        <f>IF(VLOOKUP($L12,OW_RG_3[],6,FALSE)="","",VLOOKUP($L12,OW_RG_3[],6,FALSE))</f>
        <v/>
      </c>
      <c r="Q12" s="20" t="str">
        <f>IF(VLOOKUP($L12,OW_RG_4[],6,FALSE)="","",VLOOKUP($L12,OW_RG_4[],6,FALSE))</f>
        <v/>
      </c>
      <c r="R12" s="20" t="str">
        <f>IF(VLOOKUP($L12,OW_RG_5[],6,FALSE)="","",VLOOKUP($L12,OW_RG_5[],6,FALSE))</f>
        <v/>
      </c>
      <c r="S12" s="20" t="str">
        <f>IF(VLOOKUP($L12,OW_RG_6[],6,FALSE)="","",VLOOKUP($L12,OW_RG_6[],6,FALSE))</f>
        <v/>
      </c>
      <c r="T12" s="20" t="str">
        <f>IF(VLOOKUP($L12,OW_RG_7[],6,FALSE)="","",VLOOKUP($L12,OW_RG_7[],6,FALSE))</f>
        <v/>
      </c>
      <c r="U12" s="20" t="str">
        <f>IF(VLOOKUP($L12,OW_RG_8[],6,FALSE)="","",VLOOKUP($L12,OW_RG_8[],6,FALSE))</f>
        <v/>
      </c>
      <c r="V12" s="26">
        <f t="shared" si="2"/>
        <v>0</v>
      </c>
      <c r="W12" s="20" t="str">
        <f t="shared" si="3"/>
        <v/>
      </c>
      <c r="X12" s="20" t="str">
        <f t="shared" si="4"/>
        <v/>
      </c>
      <c r="Y12" s="20" t="str" cm="1">
        <f t="array" ref="Y12">_xlfn.IFS(V12&lt;8,"",
AND(X12&gt;'Punten verdeling'!$C$37,X12&lt;='Punten verdeling'!$D$37),OW_AG_U,
AND(X12&gt;'Punten verdeling'!C$38,X12&lt;='Punten verdeling'!D$38),OW_AG_G,
AND(X12&gt;'Punten verdeling'!C$39,X12&lt;='Punten verdeling'!D$39),OW_AG_V,
X12&gt;'Punten verdeling'!C$40,OW_AG_O)</f>
        <v/>
      </c>
    </row>
    <row r="13" spans="2:26" x14ac:dyDescent="0.2">
      <c r="B13" s="13" t="str">
        <f>'Sequence + methode OW'!I13</f>
        <v>Flutianil</v>
      </c>
      <c r="C13" s="25" t="str">
        <f>IF(VLOOKUP(OW_Kalibratie0[[#This Row],[Component]],Concentraties!$B$22:$L$29,2,FALSE)="","",VLOOKUP(OW_Kalibratie0[[#This Row],[Component]],Concentraties!$B$22:$L$29,2,FALSE))</f>
        <v>-</v>
      </c>
      <c r="D13" s="38"/>
      <c r="E13" s="40"/>
      <c r="F13" s="40"/>
      <c r="G13" s="37"/>
      <c r="H13" s="20" t="str">
        <f t="shared" si="0"/>
        <v>N.v.t.</v>
      </c>
      <c r="I13" s="119" t="str">
        <f t="shared" si="1"/>
        <v/>
      </c>
      <c r="L13" s="17" t="str">
        <f>OW_Kalibratie0[[#This Row],[Component]]</f>
        <v>Flutianil</v>
      </c>
      <c r="M13" s="20" t="str">
        <f>IF(VLOOKUP(L13,Concentraties!$B$22:$L$29,10,FALSE)="","",VLOOKUP(L13,Concentraties!$B$22:$L$29,10,FALSE))</f>
        <v/>
      </c>
      <c r="N13" s="20" t="str">
        <f>IF(VLOOKUP($L13,OW_RG_1[],6,FALSE)="","",VLOOKUP($L13,OW_RG_1[],6,FALSE))</f>
        <v/>
      </c>
      <c r="O13" s="20" t="str">
        <f>IF(VLOOKUP($L13,OW_RG_2[],6,FALSE)="","",VLOOKUP($L13,OW_RG_2[],6,FALSE))</f>
        <v/>
      </c>
      <c r="P13" s="20" t="str">
        <f>IF(VLOOKUP($L13,OW_RG_3[],6,FALSE)="","",VLOOKUP($L13,OW_RG_3[],6,FALSE))</f>
        <v/>
      </c>
      <c r="Q13" s="20" t="str">
        <f>IF(VLOOKUP($L13,OW_RG_4[],6,FALSE)="","",VLOOKUP($L13,OW_RG_4[],6,FALSE))</f>
        <v/>
      </c>
      <c r="R13" s="20" t="str">
        <f>IF(VLOOKUP($L13,OW_RG_5[],6,FALSE)="","",VLOOKUP($L13,OW_RG_5[],6,FALSE))</f>
        <v/>
      </c>
      <c r="S13" s="20" t="str">
        <f>IF(VLOOKUP($L13,OW_RG_6[],6,FALSE)="","",VLOOKUP($L13,OW_RG_6[],6,FALSE))</f>
        <v/>
      </c>
      <c r="T13" s="20" t="str">
        <f>IF(VLOOKUP($L13,OW_RG_7[],6,FALSE)="","",VLOOKUP($L13,OW_RG_7[],6,FALSE))</f>
        <v/>
      </c>
      <c r="U13" s="20" t="str">
        <f>IF(VLOOKUP($L13,OW_RG_8[],6,FALSE)="","",VLOOKUP($L13,OW_RG_8[],6,FALSE))</f>
        <v/>
      </c>
      <c r="V13" s="26">
        <f t="shared" si="2"/>
        <v>0</v>
      </c>
      <c r="W13" s="20" t="str">
        <f t="shared" si="3"/>
        <v/>
      </c>
      <c r="X13" s="20" t="str">
        <f t="shared" si="4"/>
        <v/>
      </c>
      <c r="Y13" s="20" t="str" cm="1">
        <f t="array" ref="Y13">_xlfn.IFS(V13&lt;8,"",
AND(X13&gt;'Punten verdeling'!$C$37,X13&lt;='Punten verdeling'!$D$37),OW_AG_U,
AND(X13&gt;'Punten verdeling'!C$38,X13&lt;='Punten verdeling'!D$38),OW_AG_G,
AND(X13&gt;'Punten verdeling'!C$39,X13&lt;='Punten verdeling'!D$39),OW_AG_V,
X13&gt;'Punten verdeling'!C$40,OW_AG_O)</f>
        <v/>
      </c>
    </row>
    <row r="14" spans="2:26" x14ac:dyDescent="0.2">
      <c r="B14" s="13" t="str">
        <f>'Sequence + methode OW'!I14</f>
        <v>Fosalon</v>
      </c>
      <c r="C14" s="25" t="str">
        <f>IF(VLOOKUP(OW_Kalibratie0[[#This Row],[Component]],Concentraties!$B$22:$L$29,2,FALSE)="","",VLOOKUP(OW_Kalibratie0[[#This Row],[Component]],Concentraties!$B$22:$L$29,2,FALSE))</f>
        <v>-</v>
      </c>
      <c r="D14" s="38"/>
      <c r="E14" s="40"/>
      <c r="F14" s="40"/>
      <c r="G14" s="37"/>
      <c r="H14" s="20" t="str">
        <f t="shared" si="0"/>
        <v>N.v.t.</v>
      </c>
      <c r="I14" s="119" t="str">
        <f t="shared" si="1"/>
        <v/>
      </c>
      <c r="L14" s="17" t="str">
        <f>OW_Kalibratie0[[#This Row],[Component]]</f>
        <v>Fosalon</v>
      </c>
      <c r="M14" s="20" t="str">
        <f>IF(VLOOKUP(L14,Concentraties!$B$22:$L$29,10,FALSE)="","",VLOOKUP(L14,Concentraties!$B$22:$L$29,10,FALSE))</f>
        <v/>
      </c>
      <c r="N14" s="20" t="str">
        <f>IF(VLOOKUP($L14,OW_RG_1[],6,FALSE)="","",VLOOKUP($L14,OW_RG_1[],6,FALSE))</f>
        <v/>
      </c>
      <c r="O14" s="20" t="str">
        <f>IF(VLOOKUP($L14,OW_RG_2[],6,FALSE)="","",VLOOKUP($L14,OW_RG_2[],6,FALSE))</f>
        <v/>
      </c>
      <c r="P14" s="20" t="str">
        <f>IF(VLOOKUP($L14,OW_RG_3[],6,FALSE)="","",VLOOKUP($L14,OW_RG_3[],6,FALSE))</f>
        <v/>
      </c>
      <c r="Q14" s="20" t="str">
        <f>IF(VLOOKUP($L14,OW_RG_4[],6,FALSE)="","",VLOOKUP($L14,OW_RG_4[],6,FALSE))</f>
        <v/>
      </c>
      <c r="R14" s="20" t="str">
        <f>IF(VLOOKUP($L14,OW_RG_5[],6,FALSE)="","",VLOOKUP($L14,OW_RG_5[],6,FALSE))</f>
        <v/>
      </c>
      <c r="S14" s="20" t="str">
        <f>IF(VLOOKUP($L14,OW_RG_6[],6,FALSE)="","",VLOOKUP($L14,OW_RG_6[],6,FALSE))</f>
        <v/>
      </c>
      <c r="T14" s="20" t="str">
        <f>IF(VLOOKUP($L14,OW_RG_7[],6,FALSE)="","",VLOOKUP($L14,OW_RG_7[],6,FALSE))</f>
        <v/>
      </c>
      <c r="U14" s="20" t="str">
        <f>IF(VLOOKUP($L14,OW_RG_8[],6,FALSE)="","",VLOOKUP($L14,OW_RG_8[],6,FALSE))</f>
        <v/>
      </c>
      <c r="V14" s="26">
        <f t="shared" si="2"/>
        <v>0</v>
      </c>
      <c r="W14" s="20" t="str">
        <f t="shared" si="3"/>
        <v/>
      </c>
      <c r="X14" s="20" t="str">
        <f t="shared" si="4"/>
        <v/>
      </c>
      <c r="Y14" s="20" t="str" cm="1">
        <f t="array" ref="Y14">_xlfn.IFS(V14&lt;8,"",
AND(X14&gt;'Punten verdeling'!$C$37,X14&lt;='Punten verdeling'!$D$37),OW_AG_U,
AND(X14&gt;'Punten verdeling'!C$38,X14&lt;='Punten verdeling'!D$38),OW_AG_G,
AND(X14&gt;'Punten verdeling'!C$39,X14&lt;='Punten verdeling'!D$39),OW_AG_V,
X14&gt;'Punten verdeling'!C$40,OW_AG_O)</f>
        <v/>
      </c>
    </row>
    <row r="15" spans="2:26" x14ac:dyDescent="0.2">
      <c r="B15" s="13" t="str">
        <f>'Sequence + methode OW'!I15</f>
        <v>Penconazool</v>
      </c>
      <c r="C15" s="25" t="str">
        <f>IF(VLOOKUP(OW_Kalibratie0[[#This Row],[Component]],Concentraties!$B$22:$L$29,2,FALSE)="","",VLOOKUP(OW_Kalibratie0[[#This Row],[Component]],Concentraties!$B$22:$L$29,2,FALSE))</f>
        <v>-</v>
      </c>
      <c r="D15" s="38"/>
      <c r="E15" s="40"/>
      <c r="F15" s="40"/>
      <c r="G15" s="37"/>
      <c r="H15" s="20" t="str">
        <f t="shared" si="0"/>
        <v>N.v.t.</v>
      </c>
      <c r="I15" s="119" t="str">
        <f t="shared" si="1"/>
        <v/>
      </c>
      <c r="L15" s="17" t="str">
        <f>OW_Kalibratie0[[#This Row],[Component]]</f>
        <v>Penconazool</v>
      </c>
      <c r="M15" s="20" t="str">
        <f>IF(VLOOKUP(L15,Concentraties!$B$22:$L$29,10,FALSE)="","",VLOOKUP(L15,Concentraties!$B$22:$L$29,10,FALSE))</f>
        <v/>
      </c>
      <c r="N15" s="20" t="str">
        <f>IF(VLOOKUP($L15,OW_RG_1[],6,FALSE)="","",VLOOKUP($L15,OW_RG_1[],6,FALSE))</f>
        <v/>
      </c>
      <c r="O15" s="20" t="str">
        <f>IF(VLOOKUP($L15,OW_RG_2[],6,FALSE)="","",VLOOKUP($L15,OW_RG_2[],6,FALSE))</f>
        <v/>
      </c>
      <c r="P15" s="20" t="str">
        <f>IF(VLOOKUP($L15,OW_RG_3[],6,FALSE)="","",VLOOKUP($L15,OW_RG_3[],6,FALSE))</f>
        <v/>
      </c>
      <c r="Q15" s="20" t="str">
        <f>IF(VLOOKUP($L15,OW_RG_4[],6,FALSE)="","",VLOOKUP($L15,OW_RG_4[],6,FALSE))</f>
        <v/>
      </c>
      <c r="R15" s="20" t="str">
        <f>IF(VLOOKUP($L15,OW_RG_5[],6,FALSE)="","",VLOOKUP($L15,OW_RG_5[],6,FALSE))</f>
        <v/>
      </c>
      <c r="S15" s="20" t="str">
        <f>IF(VLOOKUP($L15,OW_RG_6[],6,FALSE)="","",VLOOKUP($L15,OW_RG_6[],6,FALSE))</f>
        <v/>
      </c>
      <c r="T15" s="20" t="str">
        <f>IF(VLOOKUP($L15,OW_RG_7[],6,FALSE)="","",VLOOKUP($L15,OW_RG_7[],6,FALSE))</f>
        <v/>
      </c>
      <c r="U15" s="20" t="str">
        <f>IF(VLOOKUP($L15,OW_RG_8[],6,FALSE)="","",VLOOKUP($L15,OW_RG_8[],6,FALSE))</f>
        <v/>
      </c>
      <c r="V15" s="26">
        <f t="shared" si="2"/>
        <v>0</v>
      </c>
      <c r="W15" s="20" t="str">
        <f t="shared" si="3"/>
        <v/>
      </c>
      <c r="X15" s="20" t="str">
        <f t="shared" si="4"/>
        <v/>
      </c>
      <c r="Y15" s="20" t="str" cm="1">
        <f t="array" ref="Y15">_xlfn.IFS(V15&lt;8,"",
AND(X15&gt;'Punten verdeling'!$C$37,X15&lt;='Punten verdeling'!$D$37),OW_AG_U,
AND(X15&gt;'Punten verdeling'!C$38,X15&lt;='Punten verdeling'!D$38),OW_AG_G,
AND(X15&gt;'Punten verdeling'!C$39,X15&lt;='Punten verdeling'!D$39),OW_AG_V,
X15&gt;'Punten verdeling'!C$40,OW_AG_O)</f>
        <v/>
      </c>
    </row>
    <row r="16" spans="2:26" x14ac:dyDescent="0.2">
      <c r="B16" s="13" t="str">
        <f>'Sequence + methode OW'!I16</f>
        <v>Pyrimethanil</v>
      </c>
      <c r="C16" s="25" t="str">
        <f>IF(VLOOKUP(OW_Kalibratie0[[#This Row],[Component]],Concentraties!$B$22:$L$29,2,FALSE)="","",VLOOKUP(OW_Kalibratie0[[#This Row],[Component]],Concentraties!$B$22:$L$29,2,FALSE))</f>
        <v>-</v>
      </c>
      <c r="D16" s="38"/>
      <c r="E16" s="40"/>
      <c r="F16" s="40"/>
      <c r="G16" s="37"/>
      <c r="H16" s="20" t="str">
        <f t="shared" si="0"/>
        <v>N.v.t.</v>
      </c>
      <c r="I16" s="119" t="str">
        <f t="shared" si="1"/>
        <v/>
      </c>
      <c r="L16" s="17" t="str">
        <f>OW_Kalibratie0[[#This Row],[Component]]</f>
        <v>Pyrimethanil</v>
      </c>
      <c r="M16" s="20" t="str">
        <f>IF(VLOOKUP(L16,Concentraties!$B$22:$L$29,10,FALSE)="","",VLOOKUP(L16,Concentraties!$B$22:$L$29,10,FALSE))</f>
        <v/>
      </c>
      <c r="N16" s="20" t="str">
        <f>IF(VLOOKUP($L16,OW_RG_1[],6,FALSE)="","",VLOOKUP($L16,OW_RG_1[],6,FALSE))</f>
        <v/>
      </c>
      <c r="O16" s="20" t="str">
        <f>IF(VLOOKUP($L16,OW_RG_2[],6,FALSE)="","",VLOOKUP($L16,OW_RG_2[],6,FALSE))</f>
        <v/>
      </c>
      <c r="P16" s="20" t="str">
        <f>IF(VLOOKUP($L16,OW_RG_3[],6,FALSE)="","",VLOOKUP($L16,OW_RG_3[],6,FALSE))</f>
        <v/>
      </c>
      <c r="Q16" s="20" t="str">
        <f>IF(VLOOKUP($L16,OW_RG_4[],6,FALSE)="","",VLOOKUP($L16,OW_RG_4[],6,FALSE))</f>
        <v/>
      </c>
      <c r="R16" s="20" t="str">
        <f>IF(VLOOKUP($L16,OW_RG_5[],6,FALSE)="","",VLOOKUP($L16,OW_RG_5[],6,FALSE))</f>
        <v/>
      </c>
      <c r="S16" s="20" t="str">
        <f>IF(VLOOKUP($L16,OW_RG_6[],6,FALSE)="","",VLOOKUP($L16,OW_RG_6[],6,FALSE))</f>
        <v/>
      </c>
      <c r="T16" s="20" t="str">
        <f>IF(VLOOKUP($L16,OW_RG_7[],6,FALSE)="","",VLOOKUP($L16,OW_RG_7[],6,FALSE))</f>
        <v/>
      </c>
      <c r="U16" s="20" t="str">
        <f>IF(VLOOKUP($L16,OW_RG_8[],6,FALSE)="","",VLOOKUP($L16,OW_RG_8[],6,FALSE))</f>
        <v/>
      </c>
      <c r="V16" s="26">
        <f t="shared" si="2"/>
        <v>0</v>
      </c>
      <c r="W16" s="20" t="str">
        <f t="shared" si="3"/>
        <v/>
      </c>
      <c r="X16" s="20" t="str">
        <f t="shared" si="4"/>
        <v/>
      </c>
      <c r="Y16" s="20" t="str" cm="1">
        <f t="array" ref="Y16">_xlfn.IFS(V16&lt;8,"",
AND(X16&gt;'Punten verdeling'!$C$37,X16&lt;='Punten verdeling'!$D$37),OW_AG_U,
AND(X16&gt;'Punten verdeling'!C$38,X16&lt;='Punten verdeling'!D$38),OW_AG_G,
AND(X16&gt;'Punten verdeling'!C$39,X16&lt;='Punten verdeling'!D$39),OW_AG_V,
X16&gt;'Punten verdeling'!C$40,OW_AG_O)</f>
        <v/>
      </c>
    </row>
    <row r="17" spans="2:28" x14ac:dyDescent="0.2">
      <c r="B17" s="13" t="str">
        <f>'Sequence + methode OW'!I17</f>
        <v>Terbutylazine</v>
      </c>
      <c r="C17" s="25" t="str">
        <f>IF(VLOOKUP(OW_Kalibratie0[[#This Row],[Component]],Concentraties!$B$22:$L$29,2,FALSE)="","",VLOOKUP(OW_Kalibratie0[[#This Row],[Component]],Concentraties!$B$22:$L$29,2,FALSE))</f>
        <v>-</v>
      </c>
      <c r="D17" s="38"/>
      <c r="E17" s="40"/>
      <c r="F17" s="40"/>
      <c r="G17" s="37"/>
      <c r="H17" s="20" t="str">
        <f t="shared" si="0"/>
        <v>N.v.t.</v>
      </c>
      <c r="I17" s="119" t="str">
        <f t="shared" si="1"/>
        <v/>
      </c>
      <c r="L17" s="17" t="str">
        <f>OW_Kalibratie0[[#This Row],[Component]]</f>
        <v>Terbutylazine</v>
      </c>
      <c r="M17" s="20" t="str">
        <f>IF(VLOOKUP(L17,Concentraties!$B$22:$L$29,10,FALSE)="","",VLOOKUP(L17,Concentraties!$B$22:$L$29,10,FALSE))</f>
        <v/>
      </c>
      <c r="N17" s="20" t="str">
        <f>IF(VLOOKUP($L17,OW_RG_1[],6,FALSE)="","",VLOOKUP($L17,OW_RG_1[],6,FALSE))</f>
        <v/>
      </c>
      <c r="O17" s="20" t="str">
        <f>IF(VLOOKUP($L17,OW_RG_2[],6,FALSE)="","",VLOOKUP($L17,OW_RG_2[],6,FALSE))</f>
        <v/>
      </c>
      <c r="P17" s="20" t="str">
        <f>IF(VLOOKUP($L17,OW_RG_3[],6,FALSE)="","",VLOOKUP($L17,OW_RG_3[],6,FALSE))</f>
        <v/>
      </c>
      <c r="Q17" s="20" t="str">
        <f>IF(VLOOKUP($L17,OW_RG_4[],6,FALSE)="","",VLOOKUP($L17,OW_RG_4[],6,FALSE))</f>
        <v/>
      </c>
      <c r="R17" s="20" t="str">
        <f>IF(VLOOKUP($L17,OW_RG_5[],6,FALSE)="","",VLOOKUP($L17,OW_RG_5[],6,FALSE))</f>
        <v/>
      </c>
      <c r="S17" s="20" t="str">
        <f>IF(VLOOKUP($L17,OW_RG_6[],6,FALSE)="","",VLOOKUP($L17,OW_RG_6[],6,FALSE))</f>
        <v/>
      </c>
      <c r="T17" s="20" t="str">
        <f>IF(VLOOKUP($L17,OW_RG_7[],6,FALSE)="","",VLOOKUP($L17,OW_RG_7[],6,FALSE))</f>
        <v/>
      </c>
      <c r="U17" s="20" t="str">
        <f>IF(VLOOKUP($L17,OW_RG_8[],6,FALSE)="","",VLOOKUP($L17,OW_RG_8[],6,FALSE))</f>
        <v/>
      </c>
      <c r="V17" s="26">
        <f t="shared" si="2"/>
        <v>0</v>
      </c>
      <c r="W17" s="20" t="str">
        <f t="shared" si="3"/>
        <v/>
      </c>
      <c r="X17" s="20" t="str">
        <f t="shared" si="4"/>
        <v/>
      </c>
      <c r="Y17" s="20" t="str" cm="1">
        <f t="array" ref="Y17">_xlfn.IFS(V17&lt;8,"",
AND(X17&gt;'Punten verdeling'!$C$37,X17&lt;='Punten verdeling'!$D$37),OW_AG_U,
AND(X17&gt;'Punten verdeling'!C$38,X17&lt;='Punten verdeling'!D$38),OW_AG_G,
AND(X17&gt;'Punten verdeling'!C$39,X17&lt;='Punten verdeling'!D$39),OW_AG_V,
X17&gt;'Punten verdeling'!C$40,OW_AG_O)</f>
        <v/>
      </c>
    </row>
    <row r="18" spans="2:28" x14ac:dyDescent="0.2">
      <c r="N18" s="7"/>
      <c r="O18" s="7"/>
      <c r="X18" s="10" t="s">
        <v>23</v>
      </c>
      <c r="Y18" s="112">
        <f>SUM(Y10:Y17)</f>
        <v>0</v>
      </c>
    </row>
    <row r="19" spans="2:28" ht="20.25" x14ac:dyDescent="0.3">
      <c r="B19" s="8" t="s">
        <v>7</v>
      </c>
      <c r="L19" s="4" t="s">
        <v>104</v>
      </c>
      <c r="O19" s="4"/>
    </row>
    <row r="20" spans="2:28" ht="39" thickBot="1" x14ac:dyDescent="0.25">
      <c r="B20" s="14" t="s">
        <v>2</v>
      </c>
      <c r="C20" s="15" t="s">
        <v>151</v>
      </c>
      <c r="D20" s="15" t="s">
        <v>3</v>
      </c>
      <c r="E20" s="15" t="s">
        <v>47</v>
      </c>
      <c r="F20" s="15" t="s">
        <v>48</v>
      </c>
      <c r="G20" s="15" t="s">
        <v>152</v>
      </c>
      <c r="H20" s="36" t="s">
        <v>4</v>
      </c>
      <c r="I20" s="117" t="s">
        <v>5</v>
      </c>
      <c r="L20" s="23" t="s">
        <v>2</v>
      </c>
      <c r="M20" s="22" t="s">
        <v>153</v>
      </c>
      <c r="N20" s="60" t="s">
        <v>155</v>
      </c>
      <c r="O20" s="22" t="s">
        <v>74</v>
      </c>
      <c r="P20" s="22" t="s">
        <v>75</v>
      </c>
      <c r="Q20" s="22" t="s">
        <v>76</v>
      </c>
      <c r="R20" s="22" t="s">
        <v>77</v>
      </c>
      <c r="S20" s="22" t="s">
        <v>78</v>
      </c>
      <c r="T20" s="22" t="s">
        <v>79</v>
      </c>
      <c r="U20" s="22" t="s">
        <v>80</v>
      </c>
      <c r="V20" s="22" t="s">
        <v>81</v>
      </c>
      <c r="W20" s="22" t="s">
        <v>16</v>
      </c>
      <c r="X20" s="22" t="s">
        <v>156</v>
      </c>
      <c r="Y20" s="22" t="s">
        <v>18</v>
      </c>
      <c r="Z20" s="22" t="s">
        <v>12</v>
      </c>
      <c r="AA20" s="22" t="s">
        <v>33</v>
      </c>
    </row>
    <row r="21" spans="2:28" ht="13.5" thickTop="1" x14ac:dyDescent="0.2">
      <c r="B21" s="13" t="str">
        <f>$B$10</f>
        <v>Alachloor</v>
      </c>
      <c r="C21" s="20">
        <f>IF(VLOOKUP(OW_Kalibratie1[[#This Row],[Component]],Concentraties!$B$22:$L$29,3,FALSE)="","",VLOOKUP(OW_Kalibratie1[[#This Row],[Component]],Concentraties!$B$22:$L$29,3,FALSE))</f>
        <v>0.91749999999999998</v>
      </c>
      <c r="D21" s="115"/>
      <c r="E21" s="39"/>
      <c r="F21" s="39"/>
      <c r="G21" s="37"/>
      <c r="H21" s="20" t="str">
        <f t="shared" ref="H21:H28" si="5">IFERROR(IF(C21="-","N.v.t.",IF(G21="","",100*G21/C21)),"")</f>
        <v/>
      </c>
      <c r="I21" s="118" t="str">
        <f t="shared" ref="I21:I28" si="6">IFERROR(MIN(E21,F21)/MAX(E21,F21),"")</f>
        <v/>
      </c>
      <c r="L21" s="18" t="str">
        <f t="shared" ref="L21:L28" si="7">L10</f>
        <v>Alachloor</v>
      </c>
      <c r="M21" s="61" t="str">
        <f>IF(VLOOKUP(L21,Concentraties!$B$22:$L$29,10,FALSE)="","",VLOOKUP(L21,Concentraties!$B$22:$L$29,10,FALSE))</f>
        <v/>
      </c>
      <c r="N21" s="61">
        <f>AVERAGE(VLOOKUP($L21,OW_BLM_1[],6,FALSE),VLOOKUP($L21,OW_BLM_2[],6,FALSE))</f>
        <v>0</v>
      </c>
      <c r="O21" s="19" t="str">
        <f>IF(VLOOKUP($L21,OW_RG_1[],6,FALSE)="","",VLOOKUP($L21,OW_RG_1[],6,FALSE)-$N21)</f>
        <v/>
      </c>
      <c r="P21" s="19" t="str">
        <f>IF(VLOOKUP($L21,OW_RG_2[],6,FALSE)="","",VLOOKUP($L21,OW_RG_2[],6,FALSE)-$N21)</f>
        <v/>
      </c>
      <c r="Q21" s="19" t="str">
        <f>IF(VLOOKUP($L21,OW_RG_3[],6,FALSE)="","",VLOOKUP($L21,OW_RG_3[],6,FALSE)-$N21)</f>
        <v/>
      </c>
      <c r="R21" s="19" t="str">
        <f>IF(VLOOKUP($L21,OW_RG_4[],6,FALSE)="","",VLOOKUP($L21,OW_RG_4[],6,FALSE)-$N21)</f>
        <v/>
      </c>
      <c r="S21" s="19" t="str">
        <f>IF(VLOOKUP($L21,OW_RG_5[],6,FALSE)="","",VLOOKUP($L21,OW_RG_5[],6,FALSE)-$N21)</f>
        <v/>
      </c>
      <c r="T21" s="19" t="str">
        <f>IF(VLOOKUP($L21,OW_RG_6[],6,FALSE)="","",VLOOKUP($L21,OW_RG_6[],6,FALSE)-$N21)</f>
        <v/>
      </c>
      <c r="U21" s="19" t="str">
        <f>IF(VLOOKUP($L21,OW_RG_7[],6,FALSE)="","",VLOOKUP($L21,OW_RG_7[],6,FALSE)-$N21)</f>
        <v/>
      </c>
      <c r="V21" s="19" t="str">
        <f>IF(VLOOKUP($L21,OW_RG_8[],6,FALSE)="","",VLOOKUP($L21,OW_RG_8[],6,FALSE)-$N21)</f>
        <v/>
      </c>
      <c r="W21" s="29">
        <f>COUNT(O21:V21)</f>
        <v>0</v>
      </c>
      <c r="X21" s="19" t="str">
        <f>IF(W21&lt;2,"",AVERAGE(O21:V21))</f>
        <v/>
      </c>
      <c r="Y21" s="19" t="str">
        <f>IF(W21&lt;2,"",STDEV(O21:V21)*100/X21)</f>
        <v/>
      </c>
      <c r="Z21" s="19" t="str">
        <f>IF(W21&lt;2,"",IF(M21="","",AVERAGE(O21:V21)*100/M21))</f>
        <v/>
      </c>
      <c r="AA21" s="20" t="str" cm="1">
        <f t="array" ref="AA21">_xlfn.IFS(W21&lt;8,"",
AND(ABS(IF(Z21="",0,Z21)-100)&gt;'Punten verdeling'!$C$41,ABS(IF(Z21="",0,Z21)-100)&lt;='Punten verdeling'!$D$41),OW_TV_RG_U,
AND(ABS(IF(Z21="",0,Z21)-100)&gt;'Punten verdeling'!C$42,ABS(IF(Z21="",0,Z21)-100)&lt;='Punten verdeling'!D$42),OW_TV_RG_G,
AND(ABS(IF(Z21="",0,Z21)-100)&gt;'Punten verdeling'!C$43,ABS(IF(Z21="",0,Z21)-100)&lt;='Punten verdeling'!D$43),OW_TV_RG_V,
ABS(IF(Z21="",0,Z21)-100)&gt;'Punten verdeling'!C$44,OW_TV_RG_O)</f>
        <v/>
      </c>
    </row>
    <row r="22" spans="2:28" x14ac:dyDescent="0.2">
      <c r="B22" s="12" t="str">
        <f>$B$11</f>
        <v>Atrazine</v>
      </c>
      <c r="C22" s="20">
        <f>IF(VLOOKUP(OW_Kalibratie1[[#This Row],[Component]],Concentraties!$B$22:$L$29,3,FALSE)="","",VLOOKUP(OW_Kalibratie1[[#This Row],[Component]],Concentraties!$B$22:$L$29,3,FALSE))</f>
        <v>0.91700000000000004</v>
      </c>
      <c r="D22" s="38"/>
      <c r="E22" s="40"/>
      <c r="F22" s="40"/>
      <c r="G22" s="37"/>
      <c r="H22" s="20" t="str">
        <f t="shared" si="5"/>
        <v/>
      </c>
      <c r="I22" s="119" t="str">
        <f t="shared" si="6"/>
        <v/>
      </c>
      <c r="L22" s="17" t="str">
        <f t="shared" si="7"/>
        <v>Atrazine</v>
      </c>
      <c r="M22" s="61" t="str">
        <f>IF(VLOOKUP(L22,Concentraties!$B$22:$L$29,10,FALSE)="","",VLOOKUP(L22,Concentraties!$B$22:$L$29,10,FALSE))</f>
        <v/>
      </c>
      <c r="N22" s="61">
        <f>AVERAGE(VLOOKUP($L22,OW_BLM_1[],6,FALSE),VLOOKUP($L22,OW_BLM_2[],6,FALSE))</f>
        <v>0</v>
      </c>
      <c r="O22" s="19" t="str">
        <f>IF(VLOOKUP($L22,OW_RG_1[],6,FALSE)="","",VLOOKUP($L22,OW_RG_1[],6,FALSE)-$N22)</f>
        <v/>
      </c>
      <c r="P22" s="19" t="str">
        <f>IF(VLOOKUP($L22,OW_RG_2[],6,FALSE)="","",VLOOKUP($L22,OW_RG_2[],6,FALSE)-$N22)</f>
        <v/>
      </c>
      <c r="Q22" s="19" t="str">
        <f>IF(VLOOKUP($L22,OW_RG_3[],6,FALSE)="","",VLOOKUP($L22,OW_RG_3[],6,FALSE)-$N22)</f>
        <v/>
      </c>
      <c r="R22" s="19" t="str">
        <f>IF(VLOOKUP($L22,OW_RG_4[],6,FALSE)="","",VLOOKUP($L22,OW_RG_4[],6,FALSE)-$N22)</f>
        <v/>
      </c>
      <c r="S22" s="19" t="str">
        <f>IF(VLOOKUP($L22,OW_RG_5[],6,FALSE)="","",VLOOKUP($L22,OW_RG_5[],6,FALSE)-$N22)</f>
        <v/>
      </c>
      <c r="T22" s="19" t="str">
        <f>IF(VLOOKUP($L22,OW_RG_6[],6,FALSE)="","",VLOOKUP($L22,OW_RG_6[],6,FALSE)-$N22)</f>
        <v/>
      </c>
      <c r="U22" s="19" t="str">
        <f>IF(VLOOKUP($L22,OW_RG_7[],6,FALSE)="","",VLOOKUP($L22,OW_RG_7[],6,FALSE)-$N22)</f>
        <v/>
      </c>
      <c r="V22" s="19" t="str">
        <f>IF(VLOOKUP($L22,OW_RG_8[],6,FALSE)="","",VLOOKUP($L22,OW_RG_8[],6,FALSE)-$N22)</f>
        <v/>
      </c>
      <c r="W22" s="29">
        <f t="shared" ref="W22:W28" si="8">COUNT(O22:V22)</f>
        <v>0</v>
      </c>
      <c r="X22" s="19" t="str">
        <f t="shared" ref="X22:X28" si="9">IF(W22&lt;2,"",AVERAGE(O22:V22))</f>
        <v/>
      </c>
      <c r="Y22" s="19" t="str">
        <f t="shared" ref="Y22:Y28" si="10">IF(W22&lt;2,"",STDEV(O22:V22)*100/X22)</f>
        <v/>
      </c>
      <c r="Z22" s="19" t="str">
        <f t="shared" ref="Z22:Z28" si="11">IF(W22&lt;2,"",IF(M22="","",AVERAGE(O22:V22)*100/M22))</f>
        <v/>
      </c>
      <c r="AA22" s="20" t="str" cm="1">
        <f t="array" ref="AA22">_xlfn.IFS(W22&lt;8,"",
AND(ABS(IF(Z22="",0,Z22)-100)&gt;'Punten verdeling'!$C$41,ABS(IF(Z22="",0,Z22)-100)&lt;='Punten verdeling'!$D$41),OW_TV_RG_U,
AND(ABS(IF(Z22="",0,Z22)-100)&gt;'Punten verdeling'!C$42,ABS(IF(Z22="",0,Z22)-100)&lt;='Punten verdeling'!D$42),OW_TV_RG_G,
AND(ABS(IF(Z22="",0,Z22)-100)&gt;'Punten verdeling'!C$43,ABS(IF(Z22="",0,Z22)-100)&lt;='Punten verdeling'!D$43),OW_TV_RG_V,
ABS(IF(Z22="",0,Z22)-100)&gt;'Punten verdeling'!C$44,OW_TV_RG_O)</f>
        <v/>
      </c>
    </row>
    <row r="23" spans="2:28" x14ac:dyDescent="0.2">
      <c r="B23" s="12" t="str">
        <f>$B$12</f>
        <v>Chloorpyrifos-ethyl</v>
      </c>
      <c r="C23" s="20">
        <f>IF(VLOOKUP(OW_Kalibratie1[[#This Row],[Component]],Concentraties!$B$22:$L$29,3,FALSE)="","",VLOOKUP(OW_Kalibratie1[[#This Row],[Component]],Concentraties!$B$22:$L$29,3,FALSE))</f>
        <v>0.91549999999999998</v>
      </c>
      <c r="D23" s="38"/>
      <c r="E23" s="40"/>
      <c r="F23" s="40"/>
      <c r="G23" s="37"/>
      <c r="H23" s="20" t="str">
        <f t="shared" si="5"/>
        <v/>
      </c>
      <c r="I23" s="119" t="str">
        <f t="shared" si="6"/>
        <v/>
      </c>
      <c r="L23" s="17" t="str">
        <f t="shared" si="7"/>
        <v>Chloorpyrifos-ethyl</v>
      </c>
      <c r="M23" s="61" t="str">
        <f>IF(VLOOKUP(L23,Concentraties!$B$22:$L$29,10,FALSE)="","",VLOOKUP(L23,Concentraties!$B$22:$L$29,10,FALSE))</f>
        <v/>
      </c>
      <c r="N23" s="61">
        <f>AVERAGE(VLOOKUP($L23,OW_BLM_1[],6,FALSE),VLOOKUP($L23,OW_BLM_2[],6,FALSE))</f>
        <v>0</v>
      </c>
      <c r="O23" s="19" t="str">
        <f>IF(VLOOKUP($L23,OW_RG_1[],6,FALSE)="","",VLOOKUP($L23,OW_RG_1[],6,FALSE)-$N23)</f>
        <v/>
      </c>
      <c r="P23" s="19" t="str">
        <f>IF(VLOOKUP($L23,OW_RG_2[],6,FALSE)="","",VLOOKUP($L23,OW_RG_2[],6,FALSE)-$N23)</f>
        <v/>
      </c>
      <c r="Q23" s="19" t="str">
        <f>IF(VLOOKUP($L23,OW_RG_3[],6,FALSE)="","",VLOOKUP($L23,OW_RG_3[],6,FALSE)-$N23)</f>
        <v/>
      </c>
      <c r="R23" s="19" t="str">
        <f>IF(VLOOKUP($L23,OW_RG_4[],6,FALSE)="","",VLOOKUP($L23,OW_RG_4[],6,FALSE)-$N23)</f>
        <v/>
      </c>
      <c r="S23" s="19" t="str">
        <f>IF(VLOOKUP($L23,OW_RG_5[],6,FALSE)="","",VLOOKUP($L23,OW_RG_5[],6,FALSE)-$N23)</f>
        <v/>
      </c>
      <c r="T23" s="19" t="str">
        <f>IF(VLOOKUP($L23,OW_RG_6[],6,FALSE)="","",VLOOKUP($L23,OW_RG_6[],6,FALSE)-$N23)</f>
        <v/>
      </c>
      <c r="U23" s="19" t="str">
        <f>IF(VLOOKUP($L23,OW_RG_7[],6,FALSE)="","",VLOOKUP($L23,OW_RG_7[],6,FALSE)-$N23)</f>
        <v/>
      </c>
      <c r="V23" s="19" t="str">
        <f>IF(VLOOKUP($L23,OW_RG_8[],6,FALSE)="","",VLOOKUP($L23,OW_RG_8[],6,FALSE)-$N23)</f>
        <v/>
      </c>
      <c r="W23" s="29">
        <f t="shared" si="8"/>
        <v>0</v>
      </c>
      <c r="X23" s="19" t="str">
        <f t="shared" si="9"/>
        <v/>
      </c>
      <c r="Y23" s="19" t="str">
        <f t="shared" si="10"/>
        <v/>
      </c>
      <c r="Z23" s="19" t="str">
        <f t="shared" si="11"/>
        <v/>
      </c>
      <c r="AA23" s="20" t="str" cm="1">
        <f t="array" ref="AA23">_xlfn.IFS(W23&lt;8,"",
AND(ABS(IF(Z23="",0,Z23)-100)&gt;'Punten verdeling'!$C$41,ABS(IF(Z23="",0,Z23)-100)&lt;='Punten verdeling'!$D$41),OW_TV_RG_U,
AND(ABS(IF(Z23="",0,Z23)-100)&gt;'Punten verdeling'!C$42,ABS(IF(Z23="",0,Z23)-100)&lt;='Punten verdeling'!D$42),OW_TV_RG_G,
AND(ABS(IF(Z23="",0,Z23)-100)&gt;'Punten verdeling'!C$43,ABS(IF(Z23="",0,Z23)-100)&lt;='Punten verdeling'!D$43),OW_TV_RG_V,
ABS(IF(Z23="",0,Z23)-100)&gt;'Punten verdeling'!C$44,OW_TV_RG_O)</f>
        <v/>
      </c>
    </row>
    <row r="24" spans="2:28" x14ac:dyDescent="0.2">
      <c r="B24" s="12" t="str">
        <f>$B$13</f>
        <v>Flutianil</v>
      </c>
      <c r="C24" s="20">
        <f>IF(VLOOKUP(OW_Kalibratie1[[#This Row],[Component]],Concentraties!$B$22:$L$29,3,FALSE)="","",VLOOKUP(OW_Kalibratie1[[#This Row],[Component]],Concentraties!$B$22:$L$29,3,FALSE))</f>
        <v>0.91180000000000005</v>
      </c>
      <c r="D24" s="38"/>
      <c r="E24" s="40"/>
      <c r="F24" s="40"/>
      <c r="G24" s="37"/>
      <c r="H24" s="20" t="str">
        <f t="shared" si="5"/>
        <v/>
      </c>
      <c r="I24" s="119" t="str">
        <f t="shared" si="6"/>
        <v/>
      </c>
      <c r="L24" s="17" t="str">
        <f t="shared" si="7"/>
        <v>Flutianil</v>
      </c>
      <c r="M24" s="61" t="str">
        <f>IF(VLOOKUP(L24,Concentraties!$B$22:$L$29,10,FALSE)="","",VLOOKUP(L24,Concentraties!$B$22:$L$29,10,FALSE))</f>
        <v/>
      </c>
      <c r="N24" s="61">
        <f>AVERAGE(VLOOKUP($L24,OW_BLM_1[],6,FALSE),VLOOKUP($L24,OW_BLM_2[],6,FALSE))</f>
        <v>0</v>
      </c>
      <c r="O24" s="19" t="str">
        <f>IF(VLOOKUP($L24,OW_RG_1[],6,FALSE)="","",VLOOKUP($L24,OW_RG_1[],6,FALSE)-$N24)</f>
        <v/>
      </c>
      <c r="P24" s="19" t="str">
        <f>IF(VLOOKUP($L24,OW_RG_2[],6,FALSE)="","",VLOOKUP($L24,OW_RG_2[],6,FALSE)-$N24)</f>
        <v/>
      </c>
      <c r="Q24" s="19" t="str">
        <f>IF(VLOOKUP($L24,OW_RG_3[],6,FALSE)="","",VLOOKUP($L24,OW_RG_3[],6,FALSE)-$N24)</f>
        <v/>
      </c>
      <c r="R24" s="19" t="str">
        <f>IF(VLOOKUP($L24,OW_RG_4[],6,FALSE)="","",VLOOKUP($L24,OW_RG_4[],6,FALSE)-$N24)</f>
        <v/>
      </c>
      <c r="S24" s="19" t="str">
        <f>IF(VLOOKUP($L24,OW_RG_5[],6,FALSE)="","",VLOOKUP($L24,OW_RG_5[],6,FALSE)-$N24)</f>
        <v/>
      </c>
      <c r="T24" s="19" t="str">
        <f>IF(VLOOKUP($L24,OW_RG_6[],6,FALSE)="","",VLOOKUP($L24,OW_RG_6[],6,FALSE)-$N24)</f>
        <v/>
      </c>
      <c r="U24" s="19" t="str">
        <f>IF(VLOOKUP($L24,OW_RG_7[],6,FALSE)="","",VLOOKUP($L24,OW_RG_7[],6,FALSE)-$N24)</f>
        <v/>
      </c>
      <c r="V24" s="19" t="str">
        <f>IF(VLOOKUP($L24,OW_RG_8[],6,FALSE)="","",VLOOKUP($L24,OW_RG_8[],6,FALSE)-$N24)</f>
        <v/>
      </c>
      <c r="W24" s="29">
        <f t="shared" si="8"/>
        <v>0</v>
      </c>
      <c r="X24" s="19" t="str">
        <f t="shared" si="9"/>
        <v/>
      </c>
      <c r="Y24" s="19" t="str">
        <f t="shared" si="10"/>
        <v/>
      </c>
      <c r="Z24" s="19" t="str">
        <f t="shared" si="11"/>
        <v/>
      </c>
      <c r="AA24" s="20" t="str" cm="1">
        <f t="array" ref="AA24">_xlfn.IFS(W24&lt;8,"",
AND(ABS(IF(Z24="",0,Z24)-100)&gt;'Punten verdeling'!$C$41,ABS(IF(Z24="",0,Z24)-100)&lt;='Punten verdeling'!$D$41),OW_TV_RG_U,
AND(ABS(IF(Z24="",0,Z24)-100)&gt;'Punten verdeling'!C$42,ABS(IF(Z24="",0,Z24)-100)&lt;='Punten verdeling'!D$42),OW_TV_RG_G,
AND(ABS(IF(Z24="",0,Z24)-100)&gt;'Punten verdeling'!C$43,ABS(IF(Z24="",0,Z24)-100)&lt;='Punten verdeling'!D$43),OW_TV_RG_V,
ABS(IF(Z24="",0,Z24)-100)&gt;'Punten verdeling'!C$44,OW_TV_RG_O)</f>
        <v/>
      </c>
    </row>
    <row r="25" spans="2:28" x14ac:dyDescent="0.2">
      <c r="B25" s="12" t="str">
        <f>$B$14</f>
        <v>Fosalon</v>
      </c>
      <c r="C25" s="20">
        <f>IF(VLOOKUP(OW_Kalibratie1[[#This Row],[Component]],Concentraties!$B$22:$L$29,3,FALSE)="","",VLOOKUP(OW_Kalibratie1[[#This Row],[Component]],Concentraties!$B$22:$L$29,3,FALSE))</f>
        <v>0.92279999999999995</v>
      </c>
      <c r="D25" s="38"/>
      <c r="E25" s="40"/>
      <c r="F25" s="40"/>
      <c r="G25" s="37"/>
      <c r="H25" s="20" t="str">
        <f t="shared" si="5"/>
        <v/>
      </c>
      <c r="I25" s="119" t="str">
        <f t="shared" si="6"/>
        <v/>
      </c>
      <c r="L25" s="17" t="str">
        <f t="shared" si="7"/>
        <v>Fosalon</v>
      </c>
      <c r="M25" s="61" t="str">
        <f>IF(VLOOKUP(L25,Concentraties!$B$22:$L$29,10,FALSE)="","",VLOOKUP(L25,Concentraties!$B$22:$L$29,10,FALSE))</f>
        <v/>
      </c>
      <c r="N25" s="61">
        <f>AVERAGE(VLOOKUP($L25,OW_BLM_1[],6,FALSE),VLOOKUP($L25,OW_BLM_2[],6,FALSE))</f>
        <v>0</v>
      </c>
      <c r="O25" s="19" t="str">
        <f>IF(VLOOKUP($L25,OW_RG_1[],6,FALSE)="","",VLOOKUP($L25,OW_RG_1[],6,FALSE)-$N25)</f>
        <v/>
      </c>
      <c r="P25" s="19" t="str">
        <f>IF(VLOOKUP($L25,OW_RG_2[],6,FALSE)="","",VLOOKUP($L25,OW_RG_2[],6,FALSE)-$N25)</f>
        <v/>
      </c>
      <c r="Q25" s="19" t="str">
        <f>IF(VLOOKUP($L25,OW_RG_3[],6,FALSE)="","",VLOOKUP($L25,OW_RG_3[],6,FALSE)-$N25)</f>
        <v/>
      </c>
      <c r="R25" s="19" t="str">
        <f>IF(VLOOKUP($L25,OW_RG_4[],6,FALSE)="","",VLOOKUP($L25,OW_RG_4[],6,FALSE)-$N25)</f>
        <v/>
      </c>
      <c r="S25" s="19" t="str">
        <f>IF(VLOOKUP($L25,OW_RG_5[],6,FALSE)="","",VLOOKUP($L25,OW_RG_5[],6,FALSE)-$N25)</f>
        <v/>
      </c>
      <c r="T25" s="19" t="str">
        <f>IF(VLOOKUP($L25,OW_RG_6[],6,FALSE)="","",VLOOKUP($L25,OW_RG_6[],6,FALSE)-$N25)</f>
        <v/>
      </c>
      <c r="U25" s="19" t="str">
        <f>IF(VLOOKUP($L25,OW_RG_7[],6,FALSE)="","",VLOOKUP($L25,OW_RG_7[],6,FALSE)-$N25)</f>
        <v/>
      </c>
      <c r="V25" s="19" t="str">
        <f>IF(VLOOKUP($L25,OW_RG_8[],6,FALSE)="","",VLOOKUP($L25,OW_RG_8[],6,FALSE)-$N25)</f>
        <v/>
      </c>
      <c r="W25" s="29">
        <f t="shared" si="8"/>
        <v>0</v>
      </c>
      <c r="X25" s="19" t="str">
        <f t="shared" si="9"/>
        <v/>
      </c>
      <c r="Y25" s="19" t="str">
        <f t="shared" si="10"/>
        <v/>
      </c>
      <c r="Z25" s="19" t="str">
        <f t="shared" si="11"/>
        <v/>
      </c>
      <c r="AA25" s="20" t="str" cm="1">
        <f t="array" ref="AA25">_xlfn.IFS(W25&lt;8,"",
AND(ABS(IF(Z25="",0,Z25)-100)&gt;'Punten verdeling'!$C$41,ABS(IF(Z25="",0,Z25)-100)&lt;='Punten verdeling'!$D$41),OW_TV_RG_U,
AND(ABS(IF(Z25="",0,Z25)-100)&gt;'Punten verdeling'!C$42,ABS(IF(Z25="",0,Z25)-100)&lt;='Punten verdeling'!D$42),OW_TV_RG_G,
AND(ABS(IF(Z25="",0,Z25)-100)&gt;'Punten verdeling'!C$43,ABS(IF(Z25="",0,Z25)-100)&lt;='Punten verdeling'!D$43),OW_TV_RG_V,
ABS(IF(Z25="",0,Z25)-100)&gt;'Punten verdeling'!C$44,OW_TV_RG_O)</f>
        <v/>
      </c>
    </row>
    <row r="26" spans="2:28" x14ac:dyDescent="0.2">
      <c r="B26" s="12" t="str">
        <f>$B$15</f>
        <v>Penconazool</v>
      </c>
      <c r="C26" s="20">
        <f>IF(VLOOKUP(OW_Kalibratie1[[#This Row],[Component]],Concentraties!$B$22:$L$29,3,FALSE)="","",VLOOKUP(OW_Kalibratie1[[#This Row],[Component]],Concentraties!$B$22:$L$29,3,FALSE))</f>
        <v>0.9143</v>
      </c>
      <c r="D26" s="38"/>
      <c r="E26" s="40"/>
      <c r="F26" s="40"/>
      <c r="G26" s="37"/>
      <c r="H26" s="20" t="str">
        <f t="shared" si="5"/>
        <v/>
      </c>
      <c r="I26" s="119" t="str">
        <f t="shared" si="6"/>
        <v/>
      </c>
      <c r="L26" s="17" t="str">
        <f t="shared" si="7"/>
        <v>Penconazool</v>
      </c>
      <c r="M26" s="61" t="str">
        <f>IF(VLOOKUP(L26,Concentraties!$B$22:$L$29,10,FALSE)="","",VLOOKUP(L26,Concentraties!$B$22:$L$29,10,FALSE))</f>
        <v/>
      </c>
      <c r="N26" s="61">
        <f>AVERAGE(VLOOKUP($L26,OW_BLM_1[],6,FALSE),VLOOKUP($L26,OW_BLM_2[],6,FALSE))</f>
        <v>0</v>
      </c>
      <c r="O26" s="19" t="str">
        <f>IF(VLOOKUP($L26,OW_RG_1[],6,FALSE)="","",VLOOKUP($L26,OW_RG_1[],6,FALSE)-$N26)</f>
        <v/>
      </c>
      <c r="P26" s="19" t="str">
        <f>IF(VLOOKUP($L26,OW_RG_2[],6,FALSE)="","",VLOOKUP($L26,OW_RG_2[],6,FALSE)-$N26)</f>
        <v/>
      </c>
      <c r="Q26" s="19" t="str">
        <f>IF(VLOOKUP($L26,OW_RG_3[],6,FALSE)="","",VLOOKUP($L26,OW_RG_3[],6,FALSE)-$N26)</f>
        <v/>
      </c>
      <c r="R26" s="19" t="str">
        <f>IF(VLOOKUP($L26,OW_RG_4[],6,FALSE)="","",VLOOKUP($L26,OW_RG_4[],6,FALSE)-$N26)</f>
        <v/>
      </c>
      <c r="S26" s="19" t="str">
        <f>IF(VLOOKUP($L26,OW_RG_5[],6,FALSE)="","",VLOOKUP($L26,OW_RG_5[],6,FALSE)-$N26)</f>
        <v/>
      </c>
      <c r="T26" s="19" t="str">
        <f>IF(VLOOKUP($L26,OW_RG_6[],6,FALSE)="","",VLOOKUP($L26,OW_RG_6[],6,FALSE)-$N26)</f>
        <v/>
      </c>
      <c r="U26" s="19" t="str">
        <f>IF(VLOOKUP($L26,OW_RG_7[],6,FALSE)="","",VLOOKUP($L26,OW_RG_7[],6,FALSE)-$N26)</f>
        <v/>
      </c>
      <c r="V26" s="19" t="str">
        <f>IF(VLOOKUP($L26,OW_RG_8[],6,FALSE)="","",VLOOKUP($L26,OW_RG_8[],6,FALSE)-$N26)</f>
        <v/>
      </c>
      <c r="W26" s="29">
        <f t="shared" si="8"/>
        <v>0</v>
      </c>
      <c r="X26" s="19" t="str">
        <f t="shared" si="9"/>
        <v/>
      </c>
      <c r="Y26" s="19" t="str">
        <f t="shared" si="10"/>
        <v/>
      </c>
      <c r="Z26" s="19" t="str">
        <f t="shared" si="11"/>
        <v/>
      </c>
      <c r="AA26" s="20" t="str" cm="1">
        <f t="array" ref="AA26">_xlfn.IFS(W26&lt;8,"",
AND(ABS(IF(Z26="",0,Z26)-100)&gt;'Punten verdeling'!$C$41,ABS(IF(Z26="",0,Z26)-100)&lt;='Punten verdeling'!$D$41),OW_TV_RG_U,
AND(ABS(IF(Z26="",0,Z26)-100)&gt;'Punten verdeling'!C$42,ABS(IF(Z26="",0,Z26)-100)&lt;='Punten verdeling'!D$42),OW_TV_RG_G,
AND(ABS(IF(Z26="",0,Z26)-100)&gt;'Punten verdeling'!C$43,ABS(IF(Z26="",0,Z26)-100)&lt;='Punten verdeling'!D$43),OW_TV_RG_V,
ABS(IF(Z26="",0,Z26)-100)&gt;'Punten verdeling'!C$44,OW_TV_RG_O)</f>
        <v/>
      </c>
    </row>
    <row r="27" spans="2:28" x14ac:dyDescent="0.2">
      <c r="B27" s="12" t="str">
        <f>$B$16</f>
        <v>Pyrimethanil</v>
      </c>
      <c r="C27" s="20">
        <f>IF(VLOOKUP(OW_Kalibratie1[[#This Row],[Component]],Concentraties!$B$22:$L$29,3,FALSE)="","",VLOOKUP(OW_Kalibratie1[[#This Row],[Component]],Concentraties!$B$22:$L$29,3,FALSE))</f>
        <v>0.9214</v>
      </c>
      <c r="D27" s="38"/>
      <c r="E27" s="40"/>
      <c r="F27" s="40"/>
      <c r="G27" s="37"/>
      <c r="H27" s="20" t="str">
        <f t="shared" si="5"/>
        <v/>
      </c>
      <c r="I27" s="119" t="str">
        <f t="shared" si="6"/>
        <v/>
      </c>
      <c r="L27" s="17" t="str">
        <f t="shared" si="7"/>
        <v>Pyrimethanil</v>
      </c>
      <c r="M27" s="61" t="str">
        <f>IF(VLOOKUP(L27,Concentraties!$B$22:$L$29,10,FALSE)="","",VLOOKUP(L27,Concentraties!$B$22:$L$29,10,FALSE))</f>
        <v/>
      </c>
      <c r="N27" s="61">
        <f>AVERAGE(VLOOKUP($L27,OW_BLM_1[],6,FALSE),VLOOKUP($L27,OW_BLM_2[],6,FALSE))</f>
        <v>0</v>
      </c>
      <c r="O27" s="19" t="str">
        <f>IF(VLOOKUP($L27,OW_RG_1[],6,FALSE)="","",VLOOKUP($L27,OW_RG_1[],6,FALSE)-$N27)</f>
        <v/>
      </c>
      <c r="P27" s="19" t="str">
        <f>IF(VLOOKUP($L27,OW_RG_2[],6,FALSE)="","",VLOOKUP($L27,OW_RG_2[],6,FALSE)-$N27)</f>
        <v/>
      </c>
      <c r="Q27" s="19" t="str">
        <f>IF(VLOOKUP($L27,OW_RG_3[],6,FALSE)="","",VLOOKUP($L27,OW_RG_3[],6,FALSE)-$N27)</f>
        <v/>
      </c>
      <c r="R27" s="19" t="str">
        <f>IF(VLOOKUP($L27,OW_RG_4[],6,FALSE)="","",VLOOKUP($L27,OW_RG_4[],6,FALSE)-$N27)</f>
        <v/>
      </c>
      <c r="S27" s="19" t="str">
        <f>IF(VLOOKUP($L27,OW_RG_5[],6,FALSE)="","",VLOOKUP($L27,OW_RG_5[],6,FALSE)-$N27)</f>
        <v/>
      </c>
      <c r="T27" s="19" t="str">
        <f>IF(VLOOKUP($L27,OW_RG_6[],6,FALSE)="","",VLOOKUP($L27,OW_RG_6[],6,FALSE)-$N27)</f>
        <v/>
      </c>
      <c r="U27" s="19" t="str">
        <f>IF(VLOOKUP($L27,OW_RG_7[],6,FALSE)="","",VLOOKUP($L27,OW_RG_7[],6,FALSE)-$N27)</f>
        <v/>
      </c>
      <c r="V27" s="19" t="str">
        <f>IF(VLOOKUP($L27,OW_RG_8[],6,FALSE)="","",VLOOKUP($L27,OW_RG_8[],6,FALSE)-$N27)</f>
        <v/>
      </c>
      <c r="W27" s="29">
        <f t="shared" si="8"/>
        <v>0</v>
      </c>
      <c r="X27" s="19" t="str">
        <f t="shared" si="9"/>
        <v/>
      </c>
      <c r="Y27" s="19" t="str">
        <f t="shared" si="10"/>
        <v/>
      </c>
      <c r="Z27" s="19" t="str">
        <f t="shared" si="11"/>
        <v/>
      </c>
      <c r="AA27" s="20" t="str" cm="1">
        <f t="array" ref="AA27">_xlfn.IFS(W27&lt;8,"",
AND(ABS(IF(Z27="",0,Z27)-100)&gt;'Punten verdeling'!$C$41,ABS(IF(Z27="",0,Z27)-100)&lt;='Punten verdeling'!$D$41),OW_TV_RG_U,
AND(ABS(IF(Z27="",0,Z27)-100)&gt;'Punten verdeling'!C$42,ABS(IF(Z27="",0,Z27)-100)&lt;='Punten verdeling'!D$42),OW_TV_RG_G,
AND(ABS(IF(Z27="",0,Z27)-100)&gt;'Punten verdeling'!C$43,ABS(IF(Z27="",0,Z27)-100)&lt;='Punten verdeling'!D$43),OW_TV_RG_V,
ABS(IF(Z27="",0,Z27)-100)&gt;'Punten verdeling'!C$44,OW_TV_RG_O)</f>
        <v/>
      </c>
    </row>
    <row r="28" spans="2:28" x14ac:dyDescent="0.2">
      <c r="B28" s="12" t="str">
        <f>$B$17</f>
        <v>Terbutylazine</v>
      </c>
      <c r="C28" s="20">
        <f>IF(VLOOKUP(OW_Kalibratie1[[#This Row],[Component]],Concentraties!$B$22:$L$29,3,FALSE)="","",VLOOKUP(OW_Kalibratie1[[#This Row],[Component]],Concentraties!$B$22:$L$29,3,FALSE))</f>
        <v>0.91839999999999999</v>
      </c>
      <c r="D28" s="38"/>
      <c r="E28" s="40"/>
      <c r="F28" s="40"/>
      <c r="G28" s="37"/>
      <c r="H28" s="20" t="str">
        <f t="shared" si="5"/>
        <v/>
      </c>
      <c r="I28" s="119" t="str">
        <f t="shared" si="6"/>
        <v/>
      </c>
      <c r="L28" s="17" t="str">
        <f t="shared" si="7"/>
        <v>Terbutylazine</v>
      </c>
      <c r="M28" s="61" t="str">
        <f>IF(VLOOKUP(L28,Concentraties!$B$22:$L$29,10,FALSE)="","",VLOOKUP(L28,Concentraties!$B$22:$L$29,10,FALSE))</f>
        <v/>
      </c>
      <c r="N28" s="61">
        <f>AVERAGE(VLOOKUP($L28,OW_BLM_1[],6,FALSE),VLOOKUP($L28,OW_BLM_2[],6,FALSE))</f>
        <v>0</v>
      </c>
      <c r="O28" s="19" t="str">
        <f>IF(VLOOKUP($L28,OW_RG_1[],6,FALSE)="","",VLOOKUP($L28,OW_RG_1[],6,FALSE)-$N28)</f>
        <v/>
      </c>
      <c r="P28" s="19" t="str">
        <f>IF(VLOOKUP($L28,OW_RG_2[],6,FALSE)="","",VLOOKUP($L28,OW_RG_2[],6,FALSE)-$N28)</f>
        <v/>
      </c>
      <c r="Q28" s="19" t="str">
        <f>IF(VLOOKUP($L28,OW_RG_3[],6,FALSE)="","",VLOOKUP($L28,OW_RG_3[],6,FALSE)-$N28)</f>
        <v/>
      </c>
      <c r="R28" s="19" t="str">
        <f>IF(VLOOKUP($L28,OW_RG_4[],6,FALSE)="","",VLOOKUP($L28,OW_RG_4[],6,FALSE)-$N28)</f>
        <v/>
      </c>
      <c r="S28" s="19" t="str">
        <f>IF(VLOOKUP($L28,OW_RG_5[],6,FALSE)="","",VLOOKUP($L28,OW_RG_5[],6,FALSE)-$N28)</f>
        <v/>
      </c>
      <c r="T28" s="19" t="str">
        <f>IF(VLOOKUP($L28,OW_RG_6[],6,FALSE)="","",VLOOKUP($L28,OW_RG_6[],6,FALSE)-$N28)</f>
        <v/>
      </c>
      <c r="U28" s="19" t="str">
        <f>IF(VLOOKUP($L28,OW_RG_7[],6,FALSE)="","",VLOOKUP($L28,OW_RG_7[],6,FALSE)-$N28)</f>
        <v/>
      </c>
      <c r="V28" s="19" t="str">
        <f>IF(VLOOKUP($L28,OW_RG_8[],6,FALSE)="","",VLOOKUP($L28,OW_RG_8[],6,FALSE)-$N28)</f>
        <v/>
      </c>
      <c r="W28" s="29">
        <f t="shared" si="8"/>
        <v>0</v>
      </c>
      <c r="X28" s="19" t="str">
        <f t="shared" si="9"/>
        <v/>
      </c>
      <c r="Y28" s="19" t="str">
        <f t="shared" si="10"/>
        <v/>
      </c>
      <c r="Z28" s="19" t="str">
        <f t="shared" si="11"/>
        <v/>
      </c>
      <c r="AA28" s="20" t="str" cm="1">
        <f t="array" ref="AA28">_xlfn.IFS(W28&lt;8,"",
AND(ABS(IF(Z28="",0,Z28)-100)&gt;'Punten verdeling'!$C$41,ABS(IF(Z28="",0,Z28)-100)&lt;='Punten verdeling'!$D$41),OW_TV_RG_U,
AND(ABS(IF(Z28="",0,Z28)-100)&gt;'Punten verdeling'!C$42,ABS(IF(Z28="",0,Z28)-100)&lt;='Punten verdeling'!D$42),OW_TV_RG_G,
AND(ABS(IF(Z28="",0,Z28)-100)&gt;'Punten verdeling'!C$43,ABS(IF(Z28="",0,Z28)-100)&lt;='Punten verdeling'!D$43),OW_TV_RG_V,
ABS(IF(Z28="",0,Z28)-100)&gt;'Punten verdeling'!C$44,OW_TV_RG_O)</f>
        <v/>
      </c>
    </row>
    <row r="29" spans="2:28" x14ac:dyDescent="0.2">
      <c r="Z29" s="10" t="s">
        <v>23</v>
      </c>
      <c r="AA29" s="112">
        <f>SUM(AA21:AA28)</f>
        <v>0</v>
      </c>
    </row>
    <row r="30" spans="2:28" ht="20.25" x14ac:dyDescent="0.3">
      <c r="B30" s="8" t="s">
        <v>8</v>
      </c>
      <c r="L30" s="4" t="s">
        <v>105</v>
      </c>
      <c r="Z30" s="10"/>
      <c r="AA30" s="33"/>
      <c r="AB30" s="33"/>
    </row>
    <row r="31" spans="2:28" ht="39" thickBot="1" x14ac:dyDescent="0.25">
      <c r="B31" s="14" t="s">
        <v>2</v>
      </c>
      <c r="C31" s="15" t="s">
        <v>151</v>
      </c>
      <c r="D31" s="15" t="s">
        <v>3</v>
      </c>
      <c r="E31" s="15" t="s">
        <v>47</v>
      </c>
      <c r="F31" s="15" t="s">
        <v>48</v>
      </c>
      <c r="G31" s="15" t="s">
        <v>152</v>
      </c>
      <c r="H31" s="36" t="s">
        <v>4</v>
      </c>
      <c r="I31" s="117" t="s">
        <v>5</v>
      </c>
      <c r="L31" s="23" t="s">
        <v>2</v>
      </c>
      <c r="M31" s="22" t="s">
        <v>153</v>
      </c>
      <c r="N31" s="60" t="s">
        <v>155</v>
      </c>
      <c r="O31" s="22" t="s">
        <v>72</v>
      </c>
      <c r="P31" s="22" t="s">
        <v>73</v>
      </c>
      <c r="Q31" s="22" t="s">
        <v>16</v>
      </c>
      <c r="R31" s="22" t="s">
        <v>156</v>
      </c>
      <c r="S31" s="22" t="s">
        <v>18</v>
      </c>
      <c r="T31" s="22" t="s">
        <v>12</v>
      </c>
      <c r="U31" s="22" t="s">
        <v>33</v>
      </c>
    </row>
    <row r="32" spans="2:28" ht="13.5" thickTop="1" x14ac:dyDescent="0.2">
      <c r="B32" s="13" t="str">
        <f>$B$10</f>
        <v>Alachloor</v>
      </c>
      <c r="C32" s="20">
        <f>IF(VLOOKUP(OW_Kalibratie2[[#This Row],[Component]],Concentraties!$B$22:$L$29,4,FALSE)="","",VLOOKUP(OW_Kalibratie2[[#This Row],[Component]],Concentraties!$B$22:$L$29,4,FALSE))</f>
        <v>1.835</v>
      </c>
      <c r="D32" s="37"/>
      <c r="E32" s="39"/>
      <c r="F32" s="39"/>
      <c r="G32" s="37"/>
      <c r="H32" s="20" t="str">
        <f t="shared" ref="H32:H39" si="12">IFERROR(IF(C32="-","N.v.t.",IF(G32="","",100*G32/C32)),"")</f>
        <v/>
      </c>
      <c r="I32" s="118" t="str">
        <f t="shared" ref="I32:I39" si="13">IFERROR(MIN(E32,F32)/MAX(E32,F32),"")</f>
        <v/>
      </c>
      <c r="L32" s="18" t="str">
        <f t="shared" ref="L32:L39" si="14">L10</f>
        <v>Alachloor</v>
      </c>
      <c r="M32" s="61" t="str">
        <f>IF(VLOOKUP(L32,Concentraties!$B$22:$L$29,8,FALSE)="","",VLOOKUP(L32,Concentraties!$B$22:$L$29,8,FALSE))</f>
        <v/>
      </c>
      <c r="N32" s="61">
        <f>AVERAGE(VLOOKUP($L32,OW_BLM_1[],6,FALSE),VLOOKUP($L32,OW_BLM_2[],6,FALSE))</f>
        <v>0</v>
      </c>
      <c r="O32" s="19" t="str">
        <f>IF(VLOOKUP($L32,OW_CM_1[],6,FALSE)="","",VLOOKUP($L32,OW_CM_1[],6,FALSE)-$N32)</f>
        <v/>
      </c>
      <c r="P32" s="19" t="str">
        <f>IF(VLOOKUP($L32,OW_CM_2[],6,FALSE)="","",VLOOKUP($L32,OW_CM_2[],6,FALSE)-$N32)</f>
        <v/>
      </c>
      <c r="Q32" s="29">
        <f t="shared" ref="Q32:Q39" si="15">COUNT(O32:P32)</f>
        <v>0</v>
      </c>
      <c r="R32" s="19" t="str">
        <f t="shared" ref="R32:R39" si="16">IF(Q32&lt;2,"",AVERAGE(O32:P32))</f>
        <v/>
      </c>
      <c r="S32" s="19" t="str">
        <f t="shared" ref="S32:S39" si="17">IF(Q32&lt;2,"",STDEV(O32:P32)*100/R32)</f>
        <v/>
      </c>
      <c r="T32" s="19" t="str">
        <f t="shared" ref="T32:T39" si="18">IF(Q32&lt;2,"",IF(M32="","",AVERAGE(O32:P32)*100/M32))</f>
        <v/>
      </c>
      <c r="U32" s="20" t="str" cm="1">
        <f t="array" ref="U32">_xlfn.IFS(OR(Q32&lt;2,S32&gt;15),"",
AND(ABS(IF(T32="",0,T32)-100)&gt;'Punten verdeling'!C$45,ABS(IF(T32="",0,T32)-100)&lt;='Punten verdeling'!D$45),OW_TV_CM_U,
AND(ABS(IF(T32="",0,T32)-100)&gt;'Punten verdeling'!C$46,ABS(IF(T32="",0,T32)-100)&lt;='Punten verdeling'!D$46),OW_TV_CM_G,
AND(ABS(IF(T32="",0,T32)-100)&gt;'Punten verdeling'!C$47,ABS(IF(T32="",0,T32)-100)&lt;='Punten verdeling'!D$47),OW_TV_CM_V,
ABS(IF(T32="",0,T32)-100)&gt;'Punten verdeling'!C$48,OW_TV_CM_O)</f>
        <v/>
      </c>
      <c r="V32" s="83"/>
    </row>
    <row r="33" spans="2:44" x14ac:dyDescent="0.2">
      <c r="B33" s="12" t="str">
        <f>$B$11</f>
        <v>Atrazine</v>
      </c>
      <c r="C33" s="20">
        <f>IF(VLOOKUP(OW_Kalibratie2[[#This Row],[Component]],Concentraties!$B$22:$L$29,4,FALSE)="","",VLOOKUP(OW_Kalibratie2[[#This Row],[Component]],Concentraties!$B$22:$L$29,4,FALSE))</f>
        <v>1.8341000000000001</v>
      </c>
      <c r="D33" s="38"/>
      <c r="E33" s="40"/>
      <c r="F33" s="40"/>
      <c r="G33" s="37"/>
      <c r="H33" s="20" t="str">
        <f t="shared" si="12"/>
        <v/>
      </c>
      <c r="I33" s="119" t="str">
        <f t="shared" si="13"/>
        <v/>
      </c>
      <c r="L33" s="18" t="str">
        <f t="shared" si="14"/>
        <v>Atrazine</v>
      </c>
      <c r="M33" s="61" t="str">
        <f>IF(VLOOKUP(L33,Concentraties!$B$22:$L$29,8,FALSE)="","",VLOOKUP(L33,Concentraties!$B$22:$L$29,8,FALSE))</f>
        <v/>
      </c>
      <c r="N33" s="61">
        <f>AVERAGE(VLOOKUP($L33,OW_BLM_1[],6,FALSE),VLOOKUP($L33,OW_BLM_2[],6,FALSE))</f>
        <v>0</v>
      </c>
      <c r="O33" s="19" t="str">
        <f>IF(VLOOKUP($L33,OW_CM_1[],6,FALSE)="","",VLOOKUP($L33,OW_CM_1[],6,FALSE)-$N33)</f>
        <v/>
      </c>
      <c r="P33" s="19" t="str">
        <f>IF(VLOOKUP($L33,OW_CM_2[],6,FALSE)="","",VLOOKUP($L33,OW_CM_2[],6,FALSE)-$N33)</f>
        <v/>
      </c>
      <c r="Q33" s="29">
        <f t="shared" si="15"/>
        <v>0</v>
      </c>
      <c r="R33" s="19" t="str">
        <f t="shared" si="16"/>
        <v/>
      </c>
      <c r="S33" s="19" t="str">
        <f t="shared" si="17"/>
        <v/>
      </c>
      <c r="T33" s="19" t="str">
        <f t="shared" si="18"/>
        <v/>
      </c>
      <c r="U33" s="20" t="str" cm="1">
        <f t="array" ref="U33">_xlfn.IFS(OR(Q33&lt;2,S33&gt;15),"",
AND(ABS(IF(T33="",0,T33)-100)&gt;'Punten verdeling'!C$45,ABS(IF(T33="",0,T33)-100)&lt;='Punten verdeling'!D$45),OW_TV_CM_U,
AND(ABS(IF(T33="",0,T33)-100)&gt;'Punten verdeling'!C$46,ABS(IF(T33="",0,T33)-100)&lt;='Punten verdeling'!D$46),OW_TV_CM_G,
AND(ABS(IF(T33="",0,T33)-100)&gt;'Punten verdeling'!C$47,ABS(IF(T33="",0,T33)-100)&lt;='Punten verdeling'!D$47),OW_TV_CM_V,
ABS(IF(T33="",0,T33)-100)&gt;'Punten verdeling'!C$48,OW_TV_CM_O)</f>
        <v/>
      </c>
    </row>
    <row r="34" spans="2:44" x14ac:dyDescent="0.2">
      <c r="B34" s="12" t="str">
        <f>$B$12</f>
        <v>Chloorpyrifos-ethyl</v>
      </c>
      <c r="C34" s="20">
        <f>IF(VLOOKUP(OW_Kalibratie2[[#This Row],[Component]],Concentraties!$B$22:$L$29,4,FALSE)="","",VLOOKUP(OW_Kalibratie2[[#This Row],[Component]],Concentraties!$B$22:$L$29,4,FALSE))</f>
        <v>1.8309</v>
      </c>
      <c r="D34" s="38"/>
      <c r="E34" s="40"/>
      <c r="F34" s="40"/>
      <c r="G34" s="37"/>
      <c r="H34" s="20" t="str">
        <f t="shared" si="12"/>
        <v/>
      </c>
      <c r="I34" s="119" t="str">
        <f t="shared" si="13"/>
        <v/>
      </c>
      <c r="L34" s="18" t="str">
        <f t="shared" si="14"/>
        <v>Chloorpyrifos-ethyl</v>
      </c>
      <c r="M34" s="61" t="str">
        <f>IF(VLOOKUP(L34,Concentraties!$B$22:$L$29,8,FALSE)="","",VLOOKUP(L34,Concentraties!$B$22:$L$29,8,FALSE))</f>
        <v/>
      </c>
      <c r="N34" s="61">
        <f>AVERAGE(VLOOKUP($L34,OW_BLM_1[],6,FALSE),VLOOKUP($L34,OW_BLM_2[],6,FALSE))</f>
        <v>0</v>
      </c>
      <c r="O34" s="19" t="str">
        <f>IF(VLOOKUP($L34,OW_CM_1[],6,FALSE)="","",VLOOKUP($L34,OW_CM_1[],6,FALSE)-$N34)</f>
        <v/>
      </c>
      <c r="P34" s="19" t="str">
        <f>IF(VLOOKUP($L34,OW_CM_2[],6,FALSE)="","",VLOOKUP($L34,OW_CM_2[],6,FALSE)-$N34)</f>
        <v/>
      </c>
      <c r="Q34" s="29">
        <f t="shared" si="15"/>
        <v>0</v>
      </c>
      <c r="R34" s="19" t="str">
        <f t="shared" si="16"/>
        <v/>
      </c>
      <c r="S34" s="19" t="str">
        <f t="shared" si="17"/>
        <v/>
      </c>
      <c r="T34" s="19" t="str">
        <f t="shared" si="18"/>
        <v/>
      </c>
      <c r="U34" s="20" t="str" cm="1">
        <f t="array" ref="U34">_xlfn.IFS(OR(Q34&lt;2,S34&gt;15),"",
AND(ABS(IF(T34="",0,T34)-100)&gt;'Punten verdeling'!C$45,ABS(IF(T34="",0,T34)-100)&lt;='Punten verdeling'!D$45),OW_TV_CM_U,
AND(ABS(IF(T34="",0,T34)-100)&gt;'Punten verdeling'!C$46,ABS(IF(T34="",0,T34)-100)&lt;='Punten verdeling'!D$46),OW_TV_CM_G,
AND(ABS(IF(T34="",0,T34)-100)&gt;'Punten verdeling'!C$47,ABS(IF(T34="",0,T34)-100)&lt;='Punten verdeling'!D$47),OW_TV_CM_V,
ABS(IF(T34="",0,T34)-100)&gt;'Punten verdeling'!C$48,OW_TV_CM_O)</f>
        <v/>
      </c>
    </row>
    <row r="35" spans="2:44" x14ac:dyDescent="0.2">
      <c r="B35" s="12" t="str">
        <f>$B$13</f>
        <v>Flutianil</v>
      </c>
      <c r="C35" s="20">
        <f>IF(VLOOKUP(OW_Kalibratie2[[#This Row],[Component]],Concentraties!$B$22:$L$29,4,FALSE)="","",VLOOKUP(OW_Kalibratie2[[#This Row],[Component]],Concentraties!$B$22:$L$29,4,FALSE))</f>
        <v>1.8236000000000001</v>
      </c>
      <c r="D35" s="38"/>
      <c r="E35" s="40"/>
      <c r="F35" s="40"/>
      <c r="G35" s="37"/>
      <c r="H35" s="20" t="str">
        <f t="shared" si="12"/>
        <v/>
      </c>
      <c r="I35" s="119" t="str">
        <f t="shared" si="13"/>
        <v/>
      </c>
      <c r="L35" s="18" t="str">
        <f t="shared" si="14"/>
        <v>Flutianil</v>
      </c>
      <c r="M35" s="61" t="str">
        <f>IF(VLOOKUP(L35,Concentraties!$B$22:$L$29,8,FALSE)="","",VLOOKUP(L35,Concentraties!$B$22:$L$29,8,FALSE))</f>
        <v/>
      </c>
      <c r="N35" s="61">
        <f>AVERAGE(VLOOKUP($L35,OW_BLM_1[],6,FALSE),VLOOKUP($L35,OW_BLM_2[],6,FALSE))</f>
        <v>0</v>
      </c>
      <c r="O35" s="19" t="str">
        <f>IF(VLOOKUP($L35,OW_CM_1[],6,FALSE)="","",VLOOKUP($L35,OW_CM_1[],6,FALSE)-$N35)</f>
        <v/>
      </c>
      <c r="P35" s="19" t="str">
        <f>IF(VLOOKUP($L35,OW_CM_2[],6,FALSE)="","",VLOOKUP($L35,OW_CM_2[],6,FALSE)-$N35)</f>
        <v/>
      </c>
      <c r="Q35" s="29">
        <f t="shared" si="15"/>
        <v>0</v>
      </c>
      <c r="R35" s="19" t="str">
        <f t="shared" si="16"/>
        <v/>
      </c>
      <c r="S35" s="19" t="str">
        <f t="shared" si="17"/>
        <v/>
      </c>
      <c r="T35" s="19" t="str">
        <f t="shared" si="18"/>
        <v/>
      </c>
      <c r="U35" s="20" t="str" cm="1">
        <f t="array" ref="U35">_xlfn.IFS(OR(Q35&lt;2,S35&gt;15),"",
AND(ABS(IF(T35="",0,T35)-100)&gt;'Punten verdeling'!C$45,ABS(IF(T35="",0,T35)-100)&lt;='Punten verdeling'!D$45),OW_TV_CM_U,
AND(ABS(IF(T35="",0,T35)-100)&gt;'Punten verdeling'!C$46,ABS(IF(T35="",0,T35)-100)&lt;='Punten verdeling'!D$46),OW_TV_CM_G,
AND(ABS(IF(T35="",0,T35)-100)&gt;'Punten verdeling'!C$47,ABS(IF(T35="",0,T35)-100)&lt;='Punten verdeling'!D$47),OW_TV_CM_V,
ABS(IF(T35="",0,T35)-100)&gt;'Punten verdeling'!C$48,OW_TV_CM_O)</f>
        <v/>
      </c>
    </row>
    <row r="36" spans="2:44" x14ac:dyDescent="0.2">
      <c r="B36" s="12" t="str">
        <f>$B$14</f>
        <v>Fosalon</v>
      </c>
      <c r="C36" s="20">
        <f>IF(VLOOKUP(OW_Kalibratie2[[#This Row],[Component]],Concentraties!$B$22:$L$29,4,FALSE)="","",VLOOKUP(OW_Kalibratie2[[#This Row],[Component]],Concentraties!$B$22:$L$29,4,FALSE))</f>
        <v>1.8455999999999999</v>
      </c>
      <c r="D36" s="38"/>
      <c r="E36" s="40"/>
      <c r="F36" s="40"/>
      <c r="G36" s="37"/>
      <c r="H36" s="20" t="str">
        <f t="shared" si="12"/>
        <v/>
      </c>
      <c r="I36" s="119" t="str">
        <f t="shared" si="13"/>
        <v/>
      </c>
      <c r="L36" s="18" t="str">
        <f t="shared" si="14"/>
        <v>Fosalon</v>
      </c>
      <c r="M36" s="61" t="str">
        <f>IF(VLOOKUP(L36,Concentraties!$B$22:$L$29,8,FALSE)="","",VLOOKUP(L36,Concentraties!$B$22:$L$29,8,FALSE))</f>
        <v/>
      </c>
      <c r="N36" s="61">
        <f>AVERAGE(VLOOKUP($L36,OW_BLM_1[],6,FALSE),VLOOKUP($L36,OW_BLM_2[],6,FALSE))</f>
        <v>0</v>
      </c>
      <c r="O36" s="19" t="str">
        <f>IF(VLOOKUP($L36,OW_CM_1[],6,FALSE)="","",VLOOKUP($L36,OW_CM_1[],6,FALSE)-$N36)</f>
        <v/>
      </c>
      <c r="P36" s="19" t="str">
        <f>IF(VLOOKUP($L36,OW_CM_2[],6,FALSE)="","",VLOOKUP($L36,OW_CM_2[],6,FALSE)-$N36)</f>
        <v/>
      </c>
      <c r="Q36" s="29">
        <f t="shared" si="15"/>
        <v>0</v>
      </c>
      <c r="R36" s="19" t="str">
        <f t="shared" si="16"/>
        <v/>
      </c>
      <c r="S36" s="19" t="str">
        <f t="shared" si="17"/>
        <v/>
      </c>
      <c r="T36" s="19" t="str">
        <f t="shared" si="18"/>
        <v/>
      </c>
      <c r="U36" s="20" t="str" cm="1">
        <f t="array" ref="U36">_xlfn.IFS(OR(Q36&lt;2,S36&gt;15),"",
AND(ABS(IF(T36="",0,T36)-100)&gt;'Punten verdeling'!C$45,ABS(IF(T36="",0,T36)-100)&lt;='Punten verdeling'!D$45),OW_TV_CM_U,
AND(ABS(IF(T36="",0,T36)-100)&gt;'Punten verdeling'!C$46,ABS(IF(T36="",0,T36)-100)&lt;='Punten verdeling'!D$46),OW_TV_CM_G,
AND(ABS(IF(T36="",0,T36)-100)&gt;'Punten verdeling'!C$47,ABS(IF(T36="",0,T36)-100)&lt;='Punten verdeling'!D$47),OW_TV_CM_V,
ABS(IF(T36="",0,T36)-100)&gt;'Punten verdeling'!C$48,OW_TV_CM_O)</f>
        <v/>
      </c>
    </row>
    <row r="37" spans="2:44" x14ac:dyDescent="0.2">
      <c r="B37" s="12" t="str">
        <f>$B$15</f>
        <v>Penconazool</v>
      </c>
      <c r="C37" s="20">
        <f>IF(VLOOKUP(OW_Kalibratie2[[#This Row],[Component]],Concentraties!$B$22:$L$29,4,FALSE)="","",VLOOKUP(OW_Kalibratie2[[#This Row],[Component]],Concentraties!$B$22:$L$29,4,FALSE))</f>
        <v>1.8286</v>
      </c>
      <c r="D37" s="38"/>
      <c r="E37" s="40"/>
      <c r="F37" s="40"/>
      <c r="G37" s="37"/>
      <c r="H37" s="20" t="str">
        <f t="shared" si="12"/>
        <v/>
      </c>
      <c r="I37" s="119" t="str">
        <f t="shared" si="13"/>
        <v/>
      </c>
      <c r="L37" s="18" t="str">
        <f t="shared" si="14"/>
        <v>Penconazool</v>
      </c>
      <c r="M37" s="61" t="str">
        <f>IF(VLOOKUP(L37,Concentraties!$B$22:$L$29,8,FALSE)="","",VLOOKUP(L37,Concentraties!$B$22:$L$29,8,FALSE))</f>
        <v/>
      </c>
      <c r="N37" s="61">
        <f>AVERAGE(VLOOKUP($L37,OW_BLM_1[],6,FALSE),VLOOKUP($L37,OW_BLM_2[],6,FALSE))</f>
        <v>0</v>
      </c>
      <c r="O37" s="19" t="str">
        <f>IF(VLOOKUP($L37,OW_CM_1[],6,FALSE)="","",VLOOKUP($L37,OW_CM_1[],6,FALSE)-$N37)</f>
        <v/>
      </c>
      <c r="P37" s="19" t="str">
        <f>IF(VLOOKUP($L37,OW_CM_2[],6,FALSE)="","",VLOOKUP($L37,OW_CM_2[],6,FALSE)-$N37)</f>
        <v/>
      </c>
      <c r="Q37" s="29">
        <f t="shared" si="15"/>
        <v>0</v>
      </c>
      <c r="R37" s="19" t="str">
        <f t="shared" si="16"/>
        <v/>
      </c>
      <c r="S37" s="19" t="str">
        <f t="shared" si="17"/>
        <v/>
      </c>
      <c r="T37" s="19" t="str">
        <f t="shared" si="18"/>
        <v/>
      </c>
      <c r="U37" s="20" t="str" cm="1">
        <f t="array" ref="U37">_xlfn.IFS(OR(Q37&lt;2,S37&gt;15),"",
AND(ABS(IF(T37="",0,T37)-100)&gt;'Punten verdeling'!C$45,ABS(IF(T37="",0,T37)-100)&lt;='Punten verdeling'!D$45),OW_TV_CM_U,
AND(ABS(IF(T37="",0,T37)-100)&gt;'Punten verdeling'!C$46,ABS(IF(T37="",0,T37)-100)&lt;='Punten verdeling'!D$46),OW_TV_CM_G,
AND(ABS(IF(T37="",0,T37)-100)&gt;'Punten verdeling'!C$47,ABS(IF(T37="",0,T37)-100)&lt;='Punten verdeling'!D$47),OW_TV_CM_V,
ABS(IF(T37="",0,T37)-100)&gt;'Punten verdeling'!C$48,OW_TV_CM_O)</f>
        <v/>
      </c>
    </row>
    <row r="38" spans="2:44" x14ac:dyDescent="0.2">
      <c r="B38" s="12" t="str">
        <f>$B$16</f>
        <v>Pyrimethanil</v>
      </c>
      <c r="C38" s="20">
        <f>IF(VLOOKUP(OW_Kalibratie2[[#This Row],[Component]],Concentraties!$B$22:$L$29,4,FALSE)="","",VLOOKUP(OW_Kalibratie2[[#This Row],[Component]],Concentraties!$B$22:$L$29,4,FALSE))</f>
        <v>1.8428</v>
      </c>
      <c r="D38" s="38"/>
      <c r="E38" s="40"/>
      <c r="F38" s="40"/>
      <c r="G38" s="37"/>
      <c r="H38" s="20" t="str">
        <f t="shared" si="12"/>
        <v/>
      </c>
      <c r="I38" s="119" t="str">
        <f t="shared" si="13"/>
        <v/>
      </c>
      <c r="L38" s="18" t="str">
        <f t="shared" si="14"/>
        <v>Pyrimethanil</v>
      </c>
      <c r="M38" s="61" t="str">
        <f>IF(VLOOKUP(L38,Concentraties!$B$22:$L$29,8,FALSE)="","",VLOOKUP(L38,Concentraties!$B$22:$L$29,8,FALSE))</f>
        <v/>
      </c>
      <c r="N38" s="61">
        <f>AVERAGE(VLOOKUP($L38,OW_BLM_1[],6,FALSE),VLOOKUP($L38,OW_BLM_2[],6,FALSE))</f>
        <v>0</v>
      </c>
      <c r="O38" s="19" t="str">
        <f>IF(VLOOKUP($L38,OW_CM_1[],6,FALSE)="","",VLOOKUP($L38,OW_CM_1[],6,FALSE)-$N38)</f>
        <v/>
      </c>
      <c r="P38" s="19" t="str">
        <f>IF(VLOOKUP($L38,OW_CM_2[],6,FALSE)="","",VLOOKUP($L38,OW_CM_2[],6,FALSE)-$N38)</f>
        <v/>
      </c>
      <c r="Q38" s="29">
        <f t="shared" si="15"/>
        <v>0</v>
      </c>
      <c r="R38" s="19" t="str">
        <f t="shared" si="16"/>
        <v/>
      </c>
      <c r="S38" s="19" t="str">
        <f t="shared" si="17"/>
        <v/>
      </c>
      <c r="T38" s="19" t="str">
        <f t="shared" si="18"/>
        <v/>
      </c>
      <c r="U38" s="20" t="str" cm="1">
        <f t="array" ref="U38">_xlfn.IFS(OR(Q38&lt;2,S38&gt;15),"",
AND(ABS(IF(T38="",0,T38)-100)&gt;'Punten verdeling'!C$45,ABS(IF(T38="",0,T38)-100)&lt;='Punten verdeling'!D$45),OW_TV_CM_U,
AND(ABS(IF(T38="",0,T38)-100)&gt;'Punten verdeling'!C$46,ABS(IF(T38="",0,T38)-100)&lt;='Punten verdeling'!D$46),OW_TV_CM_G,
AND(ABS(IF(T38="",0,T38)-100)&gt;'Punten verdeling'!C$47,ABS(IF(T38="",0,T38)-100)&lt;='Punten verdeling'!D$47),OW_TV_CM_V,
ABS(IF(T38="",0,T38)-100)&gt;'Punten verdeling'!C$48,OW_TV_CM_O)</f>
        <v/>
      </c>
    </row>
    <row r="39" spans="2:44" x14ac:dyDescent="0.2">
      <c r="B39" s="12" t="str">
        <f>$B$17</f>
        <v>Terbutylazine</v>
      </c>
      <c r="C39" s="20">
        <f>IF(VLOOKUP(OW_Kalibratie2[[#This Row],[Component]],Concentraties!$B$22:$L$29,4,FALSE)="","",VLOOKUP(OW_Kalibratie2[[#This Row],[Component]],Concentraties!$B$22:$L$29,4,FALSE))</f>
        <v>1.8368</v>
      </c>
      <c r="D39" s="38"/>
      <c r="E39" s="40"/>
      <c r="F39" s="40"/>
      <c r="G39" s="37"/>
      <c r="H39" s="20" t="str">
        <f t="shared" si="12"/>
        <v/>
      </c>
      <c r="I39" s="119" t="str">
        <f t="shared" si="13"/>
        <v/>
      </c>
      <c r="L39" s="18" t="str">
        <f t="shared" si="14"/>
        <v>Terbutylazine</v>
      </c>
      <c r="M39" s="61" t="str">
        <f>IF(VLOOKUP(L39,Concentraties!$B$22:$L$29,8,FALSE)="","",VLOOKUP(L39,Concentraties!$B$22:$L$29,8,FALSE))</f>
        <v/>
      </c>
      <c r="N39" s="61">
        <f>AVERAGE(VLOOKUP($L39,OW_BLM_1[],6,FALSE),VLOOKUP($L39,OW_BLM_2[],6,FALSE))</f>
        <v>0</v>
      </c>
      <c r="O39" s="19" t="str">
        <f>IF(VLOOKUP($L39,OW_CM_1[],6,FALSE)="","",VLOOKUP($L39,OW_CM_1[],6,FALSE)-$N39)</f>
        <v/>
      </c>
      <c r="P39" s="19" t="str">
        <f>IF(VLOOKUP($L39,OW_CM_2[],6,FALSE)="","",VLOOKUP($L39,OW_CM_2[],6,FALSE)-$N39)</f>
        <v/>
      </c>
      <c r="Q39" s="29">
        <f t="shared" si="15"/>
        <v>0</v>
      </c>
      <c r="R39" s="19" t="str">
        <f t="shared" si="16"/>
        <v/>
      </c>
      <c r="S39" s="19" t="str">
        <f t="shared" si="17"/>
        <v/>
      </c>
      <c r="T39" s="19" t="str">
        <f t="shared" si="18"/>
        <v/>
      </c>
      <c r="U39" s="20" t="str" cm="1">
        <f t="array" ref="U39">_xlfn.IFS(OR(Q39&lt;2,S39&gt;15),"",
AND(ABS(IF(T39="",0,T39)-100)&gt;'Punten verdeling'!C$45,ABS(IF(T39="",0,T39)-100)&lt;='Punten verdeling'!D$45),OW_TV_CM_U,
AND(ABS(IF(T39="",0,T39)-100)&gt;'Punten verdeling'!C$46,ABS(IF(T39="",0,T39)-100)&lt;='Punten verdeling'!D$46),OW_TV_CM_G,
AND(ABS(IF(T39="",0,T39)-100)&gt;'Punten verdeling'!C$47,ABS(IF(T39="",0,T39)-100)&lt;='Punten verdeling'!D$47),OW_TV_CM_V,
ABS(IF(T39="",0,T39)-100)&gt;'Punten verdeling'!C$48,OW_TV_CM_O)</f>
        <v/>
      </c>
    </row>
    <row r="40" spans="2:44" x14ac:dyDescent="0.2">
      <c r="L40" s="127" t="s">
        <v>198</v>
      </c>
      <c r="T40" s="10" t="s">
        <v>23</v>
      </c>
      <c r="U40" s="112">
        <f>SUM(U32:U39)</f>
        <v>0</v>
      </c>
      <c r="AQ40" s="10" t="s">
        <v>23</v>
      </c>
      <c r="AR40" s="3">
        <f>SUM(AE43:AE50)</f>
        <v>0</v>
      </c>
    </row>
    <row r="41" spans="2:44" ht="20.25" x14ac:dyDescent="0.3">
      <c r="B41" s="8" t="s">
        <v>9</v>
      </c>
      <c r="L41" s="4" t="s">
        <v>15</v>
      </c>
      <c r="AD41" s="83"/>
    </row>
    <row r="42" spans="2:44" ht="45.75" thickBot="1" x14ac:dyDescent="0.25">
      <c r="B42" s="14" t="s">
        <v>2</v>
      </c>
      <c r="C42" s="15" t="s">
        <v>151</v>
      </c>
      <c r="D42" s="15" t="s">
        <v>3</v>
      </c>
      <c r="E42" s="15" t="s">
        <v>47</v>
      </c>
      <c r="F42" s="15" t="s">
        <v>48</v>
      </c>
      <c r="G42" s="15" t="s">
        <v>152</v>
      </c>
      <c r="H42" s="36" t="s">
        <v>4</v>
      </c>
      <c r="I42" s="117" t="s">
        <v>5</v>
      </c>
      <c r="L42" s="23" t="s">
        <v>2</v>
      </c>
      <c r="M42" s="22" t="s">
        <v>9</v>
      </c>
      <c r="N42" s="22" t="s">
        <v>10</v>
      </c>
      <c r="O42" s="60" t="s">
        <v>11</v>
      </c>
      <c r="P42" s="22" t="s">
        <v>99</v>
      </c>
      <c r="Q42" s="22" t="s">
        <v>100</v>
      </c>
      <c r="R42" s="22" t="s">
        <v>72</v>
      </c>
      <c r="S42" s="22" t="s">
        <v>73</v>
      </c>
      <c r="T42" s="22" t="s">
        <v>74</v>
      </c>
      <c r="U42" s="22" t="s">
        <v>75</v>
      </c>
      <c r="V42" s="22" t="s">
        <v>76</v>
      </c>
      <c r="W42" s="22" t="s">
        <v>77</v>
      </c>
      <c r="X42" s="22" t="s">
        <v>78</v>
      </c>
      <c r="Y42" s="22" t="s">
        <v>79</v>
      </c>
      <c r="Z42" s="22" t="s">
        <v>80</v>
      </c>
      <c r="AA42" s="22" t="s">
        <v>81</v>
      </c>
      <c r="AB42" s="22" t="s">
        <v>17</v>
      </c>
      <c r="AC42" s="22" t="s">
        <v>157</v>
      </c>
      <c r="AD42" s="22" t="s">
        <v>18</v>
      </c>
      <c r="AE42" s="22" t="s">
        <v>32</v>
      </c>
    </row>
    <row r="43" spans="2:44" ht="13.5" thickTop="1" x14ac:dyDescent="0.2">
      <c r="B43" s="13" t="str">
        <f>$B$10</f>
        <v>Alachloor</v>
      </c>
      <c r="C43" s="20">
        <f>IF(VLOOKUP(OW_Kalibratie3[[#This Row],[Component]],Concentraties!$B$22:$L$29,5,FALSE)="","",VLOOKUP(OW_Kalibratie3[[#This Row],[Component]],Concentraties!$B$22:$L$29,5,FALSE))</f>
        <v>3.6699000000000002</v>
      </c>
      <c r="D43" s="37"/>
      <c r="E43" s="39"/>
      <c r="F43" s="39"/>
      <c r="G43" s="37"/>
      <c r="H43" s="20" t="str">
        <f t="shared" ref="H43:H50" si="19">IFERROR(IF(C43="-","N.v.t.",IF(G43="","",100*G43/C43)),"")</f>
        <v/>
      </c>
      <c r="I43" s="118" t="str">
        <f t="shared" ref="I43:I50" si="20">IFERROR(MIN(E43,F43)/MAX(E43,F43),"")</f>
        <v/>
      </c>
      <c r="J43" s="69"/>
      <c r="L43" s="18" t="str">
        <f t="shared" ref="L43:L50" si="21">L21</f>
        <v>Alachloor</v>
      </c>
      <c r="M43" s="20" t="str">
        <f>VLOOKUP($L43,OW_Kalibratie3[],8,FALSE)</f>
        <v/>
      </c>
      <c r="N43" s="20" t="str">
        <f>VLOOKUP($L43,OW_Kalibratie4[],8,FALSE)</f>
        <v/>
      </c>
      <c r="O43" s="62" t="str">
        <f>VLOOKUP($L43,OW_Kalibratie5[],8,FALSE)</f>
        <v/>
      </c>
      <c r="P43" s="27" t="str">
        <f>VLOOKUP($L43,OW_CheckSTD3_1[],8,FALSE)</f>
        <v/>
      </c>
      <c r="Q43" s="27" t="str">
        <f>VLOOKUP($L43,OW_CheckSTD3_2[],8,FALSE)</f>
        <v/>
      </c>
      <c r="R43" s="27" t="str">
        <f>VLOOKUP($L43,OW_CM_1[],8,FALSE)</f>
        <v/>
      </c>
      <c r="S43" s="27" t="str">
        <f>VLOOKUP($L43,OW_CM_2[],8,FALSE)</f>
        <v/>
      </c>
      <c r="T43" s="27" t="str">
        <f>VLOOKUP($L43,OW_RG_1[],8,FALSE)</f>
        <v/>
      </c>
      <c r="U43" s="27" t="str">
        <f>VLOOKUP($L43,OW_RG_2[],8,FALSE)</f>
        <v/>
      </c>
      <c r="V43" s="27" t="str">
        <f>VLOOKUP($L43,OW_RG_3[],8,FALSE)</f>
        <v/>
      </c>
      <c r="W43" s="27" t="str">
        <f>VLOOKUP($L43,OW_RG_4[],8,FALSE)</f>
        <v/>
      </c>
      <c r="X43" s="27" t="str">
        <f>VLOOKUP($L43,OW_RG_5[],8,FALSE)</f>
        <v/>
      </c>
      <c r="Y43" s="27" t="str">
        <f>VLOOKUP($L43,OW_RG_6[],8,FALSE)</f>
        <v/>
      </c>
      <c r="Z43" s="27" t="str">
        <f>VLOOKUP($L43,OW_RG_7[],8,FALSE)</f>
        <v/>
      </c>
      <c r="AA43" s="27" t="str">
        <f>VLOOKUP($L43,OW_RG_8[],8,FALSE)</f>
        <v/>
      </c>
      <c r="AB43" s="25">
        <f>COUNT(M43:AA43)</f>
        <v>0</v>
      </c>
      <c r="AC43" s="27" t="str">
        <f>IF(AB43&lt;1,"",AVERAGE(M43:S43))</f>
        <v/>
      </c>
      <c r="AD43" s="19" t="str">
        <f t="shared" ref="AD43:AD50" si="22">IF(AB43&lt;2,"",STDEV(M43:AA43)*100/AC43)</f>
        <v/>
      </c>
      <c r="AE43" s="20" t="str" cm="1">
        <f t="array" ref="AE43">_xlfn.IFS(AB43&lt;15,"",
AND(AD43&gt;'Punten verdeling'!$C$49,AD43&lt;='Punten verdeling'!$D$49),OW_RATIO_U,
AND(AD43&gt;'Punten verdeling'!C$50,AD43&lt;='Punten verdeling'!D$50),OW_RATIO_G,
AND(AD43&gt;'Punten verdeling'!C$51,AD43&lt;='Punten verdeling'!D$51),OW_RATIO_V,
AD43&gt;'Punten verdeling'!C$52,OW_RATIO_O)</f>
        <v/>
      </c>
    </row>
    <row r="44" spans="2:44" x14ac:dyDescent="0.2">
      <c r="B44" s="12" t="str">
        <f>$B$11</f>
        <v>Atrazine</v>
      </c>
      <c r="C44" s="20">
        <f>IF(VLOOKUP(OW_Kalibratie3[[#This Row],[Component]],Concentraties!$B$22:$L$29,5,FALSE)="","",VLOOKUP(OW_Kalibratie3[[#This Row],[Component]],Concentraties!$B$22:$L$29,5,FALSE))</f>
        <v>3.6680999999999999</v>
      </c>
      <c r="D44" s="38"/>
      <c r="E44" s="40"/>
      <c r="F44" s="40"/>
      <c r="G44" s="37"/>
      <c r="H44" s="20" t="str">
        <f t="shared" si="19"/>
        <v/>
      </c>
      <c r="I44" s="119" t="str">
        <f t="shared" si="20"/>
        <v/>
      </c>
      <c r="L44" s="17" t="str">
        <f t="shared" si="21"/>
        <v>Atrazine</v>
      </c>
      <c r="M44" s="20" t="str">
        <f>VLOOKUP($L44,OW_Kalibratie3[],8,FALSE)</f>
        <v/>
      </c>
      <c r="N44" s="34" t="str">
        <f>VLOOKUP($L44,OW_Kalibratie4[],8,FALSE)</f>
        <v/>
      </c>
      <c r="O44" s="62" t="str">
        <f>VLOOKUP($L44,OW_Kalibratie5[],8,FALSE)</f>
        <v/>
      </c>
      <c r="P44" s="27" t="str">
        <f>VLOOKUP($L44,OW_CheckSTD3_1[],8,FALSE)</f>
        <v/>
      </c>
      <c r="Q44" s="27" t="str">
        <f>VLOOKUP($L44,OW_CheckSTD3_2[],8,FALSE)</f>
        <v/>
      </c>
      <c r="R44" s="27" t="str">
        <f>VLOOKUP($L44,OW_CM_1[],8,FALSE)</f>
        <v/>
      </c>
      <c r="S44" s="27" t="str">
        <f>VLOOKUP($L44,OW_CM_2[],8,FALSE)</f>
        <v/>
      </c>
      <c r="T44" s="27" t="str">
        <f>VLOOKUP($L44,OW_RG_1[],8,FALSE)</f>
        <v/>
      </c>
      <c r="U44" s="27" t="str">
        <f>VLOOKUP($L44,OW_RG_2[],8,FALSE)</f>
        <v/>
      </c>
      <c r="V44" s="27" t="str">
        <f>VLOOKUP($L44,OW_RG_3[],8,FALSE)</f>
        <v/>
      </c>
      <c r="W44" s="27" t="str">
        <f>VLOOKUP($L44,OW_RG_4[],8,FALSE)</f>
        <v/>
      </c>
      <c r="X44" s="27" t="str">
        <f>VLOOKUP($L44,OW_RG_5[],8,FALSE)</f>
        <v/>
      </c>
      <c r="Y44" s="27" t="str">
        <f>VLOOKUP($L44,OW_RG_6[],8,FALSE)</f>
        <v/>
      </c>
      <c r="Z44" s="27" t="str">
        <f>VLOOKUP($L44,OW_RG_7[],8,FALSE)</f>
        <v/>
      </c>
      <c r="AA44" s="27" t="str">
        <f>VLOOKUP($L44,OW_RG_8[],8,FALSE)</f>
        <v/>
      </c>
      <c r="AB44" s="25">
        <f t="shared" ref="AB44:AB50" si="23">COUNT(M44:AA44)</f>
        <v>0</v>
      </c>
      <c r="AC44" s="27" t="str">
        <f t="shared" ref="AC44:AC50" si="24">IF(AB44&lt;1,"",AVERAGE(M44:S44))</f>
        <v/>
      </c>
      <c r="AD44" s="19" t="str">
        <f t="shared" si="22"/>
        <v/>
      </c>
      <c r="AE44" s="20" t="str" cm="1">
        <f t="array" ref="AE44">_xlfn.IFS(AB44&lt;15,"",
AND(AD44&gt;'Punten verdeling'!$C$49,AD44&lt;='Punten verdeling'!$D$49),OW_RATIO_U,
AND(AD44&gt;'Punten verdeling'!C$50,AD44&lt;='Punten verdeling'!D$50),OW_RATIO_G,
AND(AD44&gt;'Punten verdeling'!C$51,AD44&lt;='Punten verdeling'!D$51),OW_RATIO_V,
AD44&gt;'Punten verdeling'!C$52,OW_RATIO_O)</f>
        <v/>
      </c>
    </row>
    <row r="45" spans="2:44" x14ac:dyDescent="0.2">
      <c r="B45" s="12" t="str">
        <f>$B$12</f>
        <v>Chloorpyrifos-ethyl</v>
      </c>
      <c r="C45" s="20">
        <f>IF(VLOOKUP(OW_Kalibratie3[[#This Row],[Component]],Concentraties!$B$22:$L$29,5,FALSE)="","",VLOOKUP(OW_Kalibratie3[[#This Row],[Component]],Concentraties!$B$22:$L$29,5,FALSE))</f>
        <v>3.6619000000000002</v>
      </c>
      <c r="D45" s="38"/>
      <c r="E45" s="40"/>
      <c r="F45" s="40"/>
      <c r="G45" s="37"/>
      <c r="H45" s="20" t="str">
        <f t="shared" si="19"/>
        <v/>
      </c>
      <c r="I45" s="119" t="str">
        <f t="shared" si="20"/>
        <v/>
      </c>
      <c r="L45" s="17" t="str">
        <f t="shared" si="21"/>
        <v>Chloorpyrifos-ethyl</v>
      </c>
      <c r="M45" s="20" t="str">
        <f>VLOOKUP($L45,OW_Kalibratie3[],8,FALSE)</f>
        <v/>
      </c>
      <c r="N45" s="34" t="str">
        <f>VLOOKUP($L45,OW_Kalibratie4[],8,FALSE)</f>
        <v/>
      </c>
      <c r="O45" s="62" t="str">
        <f>VLOOKUP($L45,OW_Kalibratie5[],8,FALSE)</f>
        <v/>
      </c>
      <c r="P45" s="27" t="str">
        <f>VLOOKUP($L45,OW_CheckSTD3_1[],8,FALSE)</f>
        <v/>
      </c>
      <c r="Q45" s="27" t="str">
        <f>VLOOKUP($L45,OW_CheckSTD3_2[],8,FALSE)</f>
        <v/>
      </c>
      <c r="R45" s="27" t="str">
        <f>VLOOKUP($L45,OW_CM_1[],8,FALSE)</f>
        <v/>
      </c>
      <c r="S45" s="27" t="str">
        <f>VLOOKUP($L45,OW_CM_2[],8,FALSE)</f>
        <v/>
      </c>
      <c r="T45" s="27" t="str">
        <f>VLOOKUP($L45,OW_RG_1[],8,FALSE)</f>
        <v/>
      </c>
      <c r="U45" s="27" t="str">
        <f>VLOOKUP($L45,OW_RG_2[],8,FALSE)</f>
        <v/>
      </c>
      <c r="V45" s="27" t="str">
        <f>VLOOKUP($L45,OW_RG_3[],8,FALSE)</f>
        <v/>
      </c>
      <c r="W45" s="27" t="str">
        <f>VLOOKUP($L45,OW_RG_4[],8,FALSE)</f>
        <v/>
      </c>
      <c r="X45" s="27" t="str">
        <f>VLOOKUP($L45,OW_RG_5[],8,FALSE)</f>
        <v/>
      </c>
      <c r="Y45" s="27" t="str">
        <f>VLOOKUP($L45,OW_RG_6[],8,FALSE)</f>
        <v/>
      </c>
      <c r="Z45" s="27" t="str">
        <f>VLOOKUP($L45,OW_RG_7[],8,FALSE)</f>
        <v/>
      </c>
      <c r="AA45" s="27" t="str">
        <f>VLOOKUP($L45,OW_RG_8[],8,FALSE)</f>
        <v/>
      </c>
      <c r="AB45" s="25">
        <f t="shared" si="23"/>
        <v>0</v>
      </c>
      <c r="AC45" s="27" t="str">
        <f t="shared" si="24"/>
        <v/>
      </c>
      <c r="AD45" s="19" t="str">
        <f t="shared" si="22"/>
        <v/>
      </c>
      <c r="AE45" s="20" t="str" cm="1">
        <f t="array" ref="AE45">_xlfn.IFS(AB45&lt;15,"",
AND(AD45&gt;'Punten verdeling'!$C$49,AD45&lt;='Punten verdeling'!$D$49),OW_RATIO_U,
AND(AD45&gt;'Punten verdeling'!C$50,AD45&lt;='Punten verdeling'!D$50),OW_RATIO_G,
AND(AD45&gt;'Punten verdeling'!C$51,AD45&lt;='Punten verdeling'!D$51),OW_RATIO_V,
AD45&gt;'Punten verdeling'!C$52,OW_RATIO_O)</f>
        <v/>
      </c>
    </row>
    <row r="46" spans="2:44" x14ac:dyDescent="0.2">
      <c r="B46" s="12" t="str">
        <f>$B$13</f>
        <v>Flutianil</v>
      </c>
      <c r="C46" s="20">
        <f>IF(VLOOKUP(OW_Kalibratie3[[#This Row],[Component]],Concentraties!$B$22:$L$29,5,FALSE)="","",VLOOKUP(OW_Kalibratie3[[#This Row],[Component]],Concentraties!$B$22:$L$29,5,FALSE))</f>
        <v>3.6473</v>
      </c>
      <c r="D46" s="38"/>
      <c r="E46" s="40"/>
      <c r="F46" s="40"/>
      <c r="G46" s="37"/>
      <c r="H46" s="20" t="str">
        <f t="shared" si="19"/>
        <v/>
      </c>
      <c r="I46" s="119" t="str">
        <f t="shared" si="20"/>
        <v/>
      </c>
      <c r="L46" s="17" t="str">
        <f t="shared" si="21"/>
        <v>Flutianil</v>
      </c>
      <c r="M46" s="20" t="str">
        <f>VLOOKUP($L46,OW_Kalibratie3[],8,FALSE)</f>
        <v/>
      </c>
      <c r="N46" s="34" t="str">
        <f>VLOOKUP($L46,OW_Kalibratie4[],8,FALSE)</f>
        <v/>
      </c>
      <c r="O46" s="62" t="str">
        <f>VLOOKUP($L46,OW_Kalibratie5[],8,FALSE)</f>
        <v/>
      </c>
      <c r="P46" s="27" t="str">
        <f>VLOOKUP($L46,OW_CheckSTD3_1[],8,FALSE)</f>
        <v/>
      </c>
      <c r="Q46" s="27" t="str">
        <f>VLOOKUP($L46,OW_CheckSTD3_2[],8,FALSE)</f>
        <v/>
      </c>
      <c r="R46" s="27" t="str">
        <f>VLOOKUP($L46,OW_CM_1[],8,FALSE)</f>
        <v/>
      </c>
      <c r="S46" s="27" t="str">
        <f>VLOOKUP($L46,OW_CM_2[],8,FALSE)</f>
        <v/>
      </c>
      <c r="T46" s="27" t="str">
        <f>VLOOKUP($L46,OW_RG_1[],8,FALSE)</f>
        <v/>
      </c>
      <c r="U46" s="27" t="str">
        <f>VLOOKUP($L46,OW_RG_2[],8,FALSE)</f>
        <v/>
      </c>
      <c r="V46" s="27" t="str">
        <f>VLOOKUP($L46,OW_RG_3[],8,FALSE)</f>
        <v/>
      </c>
      <c r="W46" s="27" t="str">
        <f>VLOOKUP($L46,OW_RG_4[],8,FALSE)</f>
        <v/>
      </c>
      <c r="X46" s="27" t="str">
        <f>VLOOKUP($L46,OW_RG_5[],8,FALSE)</f>
        <v/>
      </c>
      <c r="Y46" s="27" t="str">
        <f>VLOOKUP($L46,OW_RG_6[],8,FALSE)</f>
        <v/>
      </c>
      <c r="Z46" s="27" t="str">
        <f>VLOOKUP($L46,OW_RG_7[],8,FALSE)</f>
        <v/>
      </c>
      <c r="AA46" s="27" t="str">
        <f>VLOOKUP($L46,OW_RG_8[],8,FALSE)</f>
        <v/>
      </c>
      <c r="AB46" s="25">
        <f t="shared" si="23"/>
        <v>0</v>
      </c>
      <c r="AC46" s="27" t="str">
        <f t="shared" si="24"/>
        <v/>
      </c>
      <c r="AD46" s="19" t="str">
        <f t="shared" si="22"/>
        <v/>
      </c>
      <c r="AE46" s="20" t="str" cm="1">
        <f t="array" ref="AE46">_xlfn.IFS(AB46&lt;15,"",
AND(AD46&gt;'Punten verdeling'!$C$49,AD46&lt;='Punten verdeling'!$D$49),OW_RATIO_U,
AND(AD46&gt;'Punten verdeling'!C$50,AD46&lt;='Punten verdeling'!D$50),OW_RATIO_G,
AND(AD46&gt;'Punten verdeling'!C$51,AD46&lt;='Punten verdeling'!D$51),OW_RATIO_V,
AD46&gt;'Punten verdeling'!C$52,OW_RATIO_O)</f>
        <v/>
      </c>
    </row>
    <row r="47" spans="2:44" x14ac:dyDescent="0.2">
      <c r="B47" s="12" t="str">
        <f>$B$14</f>
        <v>Fosalon</v>
      </c>
      <c r="C47" s="20">
        <f>IF(VLOOKUP(OW_Kalibratie3[[#This Row],[Component]],Concentraties!$B$22:$L$29,5,FALSE)="","",VLOOKUP(OW_Kalibratie3[[#This Row],[Component]],Concentraties!$B$22:$L$29,5,FALSE))</f>
        <v>3.6911999999999998</v>
      </c>
      <c r="D47" s="38"/>
      <c r="E47" s="40"/>
      <c r="F47" s="40"/>
      <c r="G47" s="37"/>
      <c r="H47" s="20" t="str">
        <f t="shared" si="19"/>
        <v/>
      </c>
      <c r="I47" s="119" t="str">
        <f t="shared" si="20"/>
        <v/>
      </c>
      <c r="L47" s="17" t="str">
        <f t="shared" si="21"/>
        <v>Fosalon</v>
      </c>
      <c r="M47" s="20" t="str">
        <f>VLOOKUP($L47,OW_Kalibratie3[],8,FALSE)</f>
        <v/>
      </c>
      <c r="N47" s="34" t="str">
        <f>VLOOKUP($L47,OW_Kalibratie4[],8,FALSE)</f>
        <v/>
      </c>
      <c r="O47" s="62" t="str">
        <f>VLOOKUP($L47,OW_Kalibratie5[],8,FALSE)</f>
        <v/>
      </c>
      <c r="P47" s="27" t="str">
        <f>VLOOKUP($L47,OW_CheckSTD3_1[],8,FALSE)</f>
        <v/>
      </c>
      <c r="Q47" s="27" t="str">
        <f>VLOOKUP($L47,OW_CheckSTD3_2[],8,FALSE)</f>
        <v/>
      </c>
      <c r="R47" s="27" t="str">
        <f>VLOOKUP($L47,OW_CM_1[],8,FALSE)</f>
        <v/>
      </c>
      <c r="S47" s="27" t="str">
        <f>VLOOKUP($L47,OW_CM_2[],8,FALSE)</f>
        <v/>
      </c>
      <c r="T47" s="27" t="str">
        <f>VLOOKUP($L47,OW_RG_1[],8,FALSE)</f>
        <v/>
      </c>
      <c r="U47" s="27" t="str">
        <f>VLOOKUP($L47,OW_RG_2[],8,FALSE)</f>
        <v/>
      </c>
      <c r="V47" s="27" t="str">
        <f>VLOOKUP($L47,OW_RG_3[],8,FALSE)</f>
        <v/>
      </c>
      <c r="W47" s="27" t="str">
        <f>VLOOKUP($L47,OW_RG_4[],8,FALSE)</f>
        <v/>
      </c>
      <c r="X47" s="27" t="str">
        <f>VLOOKUP($L47,OW_RG_5[],8,FALSE)</f>
        <v/>
      </c>
      <c r="Y47" s="27" t="str">
        <f>VLOOKUP($L47,OW_RG_6[],8,FALSE)</f>
        <v/>
      </c>
      <c r="Z47" s="27" t="str">
        <f>VLOOKUP($L47,OW_RG_7[],8,FALSE)</f>
        <v/>
      </c>
      <c r="AA47" s="27" t="str">
        <f>VLOOKUP($L47,OW_RG_8[],8,FALSE)</f>
        <v/>
      </c>
      <c r="AB47" s="25">
        <f t="shared" si="23"/>
        <v>0</v>
      </c>
      <c r="AC47" s="27" t="str">
        <f t="shared" si="24"/>
        <v/>
      </c>
      <c r="AD47" s="19" t="str">
        <f t="shared" si="22"/>
        <v/>
      </c>
      <c r="AE47" s="20" t="str" cm="1">
        <f t="array" ref="AE47">_xlfn.IFS(AB47&lt;15,"",
AND(AD47&gt;'Punten verdeling'!$C$49,AD47&lt;='Punten verdeling'!$D$49),OW_RATIO_U,
AND(AD47&gt;'Punten verdeling'!C$50,AD47&lt;='Punten verdeling'!D$50),OW_RATIO_G,
AND(AD47&gt;'Punten verdeling'!C$51,AD47&lt;='Punten verdeling'!D$51),OW_RATIO_V,
AD47&gt;'Punten verdeling'!C$52,OW_RATIO_O)</f>
        <v/>
      </c>
    </row>
    <row r="48" spans="2:44" x14ac:dyDescent="0.2">
      <c r="B48" s="12" t="str">
        <f>$B$15</f>
        <v>Penconazool</v>
      </c>
      <c r="C48" s="20">
        <f>IF(VLOOKUP(OW_Kalibratie3[[#This Row],[Component]],Concentraties!$B$22:$L$29,5,FALSE)="","",VLOOKUP(OW_Kalibratie3[[#This Row],[Component]],Concentraties!$B$22:$L$29,5,FALSE))</f>
        <v>3.6570999999999998</v>
      </c>
      <c r="D48" s="38"/>
      <c r="E48" s="40"/>
      <c r="F48" s="40"/>
      <c r="G48" s="37"/>
      <c r="H48" s="20" t="str">
        <f t="shared" si="19"/>
        <v/>
      </c>
      <c r="I48" s="119" t="str">
        <f t="shared" si="20"/>
        <v/>
      </c>
      <c r="L48" s="17" t="str">
        <f t="shared" si="21"/>
        <v>Penconazool</v>
      </c>
      <c r="M48" s="20" t="str">
        <f>VLOOKUP($L48,OW_Kalibratie3[],8,FALSE)</f>
        <v/>
      </c>
      <c r="N48" s="34" t="str">
        <f>VLOOKUP($L48,OW_Kalibratie4[],8,FALSE)</f>
        <v/>
      </c>
      <c r="O48" s="62" t="str">
        <f>VLOOKUP($L48,OW_Kalibratie5[],8,FALSE)</f>
        <v/>
      </c>
      <c r="P48" s="27" t="str">
        <f>VLOOKUP($L48,OW_CheckSTD3_1[],8,FALSE)</f>
        <v/>
      </c>
      <c r="Q48" s="27" t="str">
        <f>VLOOKUP($L48,OW_CheckSTD3_2[],8,FALSE)</f>
        <v/>
      </c>
      <c r="R48" s="27" t="str">
        <f>VLOOKUP($L48,OW_CM_1[],8,FALSE)</f>
        <v/>
      </c>
      <c r="S48" s="27" t="str">
        <f>VLOOKUP($L48,OW_CM_2[],8,FALSE)</f>
        <v/>
      </c>
      <c r="T48" s="27" t="str">
        <f>VLOOKUP($L48,OW_RG_1[],8,FALSE)</f>
        <v/>
      </c>
      <c r="U48" s="27" t="str">
        <f>VLOOKUP($L48,OW_RG_2[],8,FALSE)</f>
        <v/>
      </c>
      <c r="V48" s="27" t="str">
        <f>VLOOKUP($L48,OW_RG_3[],8,FALSE)</f>
        <v/>
      </c>
      <c r="W48" s="27" t="str">
        <f>VLOOKUP($L48,OW_RG_4[],8,FALSE)</f>
        <v/>
      </c>
      <c r="X48" s="27" t="str">
        <f>VLOOKUP($L48,OW_RG_5[],8,FALSE)</f>
        <v/>
      </c>
      <c r="Y48" s="27" t="str">
        <f>VLOOKUP($L48,OW_RG_6[],8,FALSE)</f>
        <v/>
      </c>
      <c r="Z48" s="27" t="str">
        <f>VLOOKUP($L48,OW_RG_7[],8,FALSE)</f>
        <v/>
      </c>
      <c r="AA48" s="27" t="str">
        <f>VLOOKUP($L48,OW_RG_8[],8,FALSE)</f>
        <v/>
      </c>
      <c r="AB48" s="25">
        <f t="shared" si="23"/>
        <v>0</v>
      </c>
      <c r="AC48" s="27" t="str">
        <f t="shared" si="24"/>
        <v/>
      </c>
      <c r="AD48" s="19" t="str">
        <f t="shared" si="22"/>
        <v/>
      </c>
      <c r="AE48" s="20" t="str" cm="1">
        <f t="array" ref="AE48">_xlfn.IFS(AB48&lt;15,"",
AND(AD48&gt;'Punten verdeling'!$C$49,AD48&lt;='Punten verdeling'!$D$49),OW_RATIO_U,
AND(AD48&gt;'Punten verdeling'!C$50,AD48&lt;='Punten verdeling'!D$50),OW_RATIO_G,
AND(AD48&gt;'Punten verdeling'!C$51,AD48&lt;='Punten verdeling'!D$51),OW_RATIO_V,
AD48&gt;'Punten verdeling'!C$52,OW_RATIO_O)</f>
        <v/>
      </c>
    </row>
    <row r="49" spans="2:31" x14ac:dyDescent="0.2">
      <c r="B49" s="12" t="str">
        <f>$B$16</f>
        <v>Pyrimethanil</v>
      </c>
      <c r="C49" s="20">
        <f>IF(VLOOKUP(OW_Kalibratie3[[#This Row],[Component]],Concentraties!$B$22:$L$29,5,FALSE)="","",VLOOKUP(OW_Kalibratie3[[#This Row],[Component]],Concentraties!$B$22:$L$29,5,FALSE))</f>
        <v>3.6857000000000002</v>
      </c>
      <c r="D49" s="38"/>
      <c r="E49" s="40"/>
      <c r="F49" s="40"/>
      <c r="G49" s="37"/>
      <c r="H49" s="20" t="str">
        <f t="shared" si="19"/>
        <v/>
      </c>
      <c r="I49" s="119" t="str">
        <f t="shared" si="20"/>
        <v/>
      </c>
      <c r="L49" s="17" t="str">
        <f t="shared" si="21"/>
        <v>Pyrimethanil</v>
      </c>
      <c r="M49" s="20" t="str">
        <f>VLOOKUP($L49,OW_Kalibratie3[],8,FALSE)</f>
        <v/>
      </c>
      <c r="N49" s="34" t="str">
        <f>VLOOKUP($L49,OW_Kalibratie4[],8,FALSE)</f>
        <v/>
      </c>
      <c r="O49" s="62" t="str">
        <f>VLOOKUP($L49,OW_Kalibratie5[],8,FALSE)</f>
        <v/>
      </c>
      <c r="P49" s="27" t="str">
        <f>VLOOKUP($L49,OW_CheckSTD3_1[],8,FALSE)</f>
        <v/>
      </c>
      <c r="Q49" s="27" t="str">
        <f>VLOOKUP($L49,OW_CheckSTD3_2[],8,FALSE)</f>
        <v/>
      </c>
      <c r="R49" s="27" t="str">
        <f>VLOOKUP($L49,OW_CM_1[],8,FALSE)</f>
        <v/>
      </c>
      <c r="S49" s="27" t="str">
        <f>VLOOKUP($L49,OW_CM_2[],8,FALSE)</f>
        <v/>
      </c>
      <c r="T49" s="27" t="str">
        <f>VLOOKUP($L49,OW_RG_1[],8,FALSE)</f>
        <v/>
      </c>
      <c r="U49" s="27" t="str">
        <f>VLOOKUP($L49,OW_RG_2[],8,FALSE)</f>
        <v/>
      </c>
      <c r="V49" s="27" t="str">
        <f>VLOOKUP($L49,OW_RG_3[],8,FALSE)</f>
        <v/>
      </c>
      <c r="W49" s="27" t="str">
        <f>VLOOKUP($L49,OW_RG_4[],8,FALSE)</f>
        <v/>
      </c>
      <c r="X49" s="27" t="str">
        <f>VLOOKUP($L49,OW_RG_5[],8,FALSE)</f>
        <v/>
      </c>
      <c r="Y49" s="27" t="str">
        <f>VLOOKUP($L49,OW_RG_6[],8,FALSE)</f>
        <v/>
      </c>
      <c r="Z49" s="27" t="str">
        <f>VLOOKUP($L49,OW_RG_7[],8,FALSE)</f>
        <v/>
      </c>
      <c r="AA49" s="27" t="str">
        <f>VLOOKUP($L49,OW_RG_8[],8,FALSE)</f>
        <v/>
      </c>
      <c r="AB49" s="25">
        <f t="shared" si="23"/>
        <v>0</v>
      </c>
      <c r="AC49" s="27" t="str">
        <f t="shared" si="24"/>
        <v/>
      </c>
      <c r="AD49" s="19" t="str">
        <f t="shared" si="22"/>
        <v/>
      </c>
      <c r="AE49" s="20" t="str" cm="1">
        <f t="array" ref="AE49">_xlfn.IFS(AB49&lt;15,"",
AND(AD49&gt;'Punten verdeling'!$C$49,AD49&lt;='Punten verdeling'!$D$49),OW_RATIO_U,
AND(AD49&gt;'Punten verdeling'!C$50,AD49&lt;='Punten verdeling'!D$50),OW_RATIO_G,
AND(AD49&gt;'Punten verdeling'!C$51,AD49&lt;='Punten verdeling'!D$51),OW_RATIO_V,
AD49&gt;'Punten verdeling'!C$52,OW_RATIO_O)</f>
        <v/>
      </c>
    </row>
    <row r="50" spans="2:31" x14ac:dyDescent="0.2">
      <c r="B50" s="12" t="str">
        <f>$B$17</f>
        <v>Terbutylazine</v>
      </c>
      <c r="C50" s="20">
        <f>IF(VLOOKUP(OW_Kalibratie3[[#This Row],[Component]],Concentraties!$B$22:$L$29,5,FALSE)="","",VLOOKUP(OW_Kalibratie3[[#This Row],[Component]],Concentraties!$B$22:$L$29,5,FALSE))</f>
        <v>3.6736</v>
      </c>
      <c r="D50" s="38"/>
      <c r="E50" s="40"/>
      <c r="F50" s="40"/>
      <c r="G50" s="37"/>
      <c r="H50" s="20" t="str">
        <f t="shared" si="19"/>
        <v/>
      </c>
      <c r="I50" s="119" t="str">
        <f t="shared" si="20"/>
        <v/>
      </c>
      <c r="L50" s="17" t="str">
        <f t="shared" si="21"/>
        <v>Terbutylazine</v>
      </c>
      <c r="M50" s="20" t="str">
        <f>VLOOKUP($L50,OW_Kalibratie3[],8,FALSE)</f>
        <v/>
      </c>
      <c r="N50" s="34" t="str">
        <f>VLOOKUP($L50,OW_Kalibratie4[],8,FALSE)</f>
        <v/>
      </c>
      <c r="O50" s="62" t="str">
        <f>VLOOKUP($L50,OW_Kalibratie5[],8,FALSE)</f>
        <v/>
      </c>
      <c r="P50" s="27" t="str">
        <f>VLOOKUP($L50,OW_CheckSTD3_1[],8,FALSE)</f>
        <v/>
      </c>
      <c r="Q50" s="27" t="str">
        <f>VLOOKUP($L50,OW_CheckSTD3_2[],8,FALSE)</f>
        <v/>
      </c>
      <c r="R50" s="27" t="str">
        <f>VLOOKUP($L50,OW_CM_1[],8,FALSE)</f>
        <v/>
      </c>
      <c r="S50" s="27" t="str">
        <f>VLOOKUP($L50,OW_CM_2[],8,FALSE)</f>
        <v/>
      </c>
      <c r="T50" s="27" t="str">
        <f>VLOOKUP($L50,OW_RG_1[],8,FALSE)</f>
        <v/>
      </c>
      <c r="U50" s="27" t="str">
        <f>VLOOKUP($L50,OW_RG_2[],8,FALSE)</f>
        <v/>
      </c>
      <c r="V50" s="27" t="str">
        <f>VLOOKUP($L50,OW_RG_3[],8,FALSE)</f>
        <v/>
      </c>
      <c r="W50" s="27" t="str">
        <f>VLOOKUP($L50,OW_RG_4[],8,FALSE)</f>
        <v/>
      </c>
      <c r="X50" s="27" t="str">
        <f>VLOOKUP($L50,OW_RG_5[],8,FALSE)</f>
        <v/>
      </c>
      <c r="Y50" s="27" t="str">
        <f>VLOOKUP($L50,OW_RG_6[],8,FALSE)</f>
        <v/>
      </c>
      <c r="Z50" s="27" t="str">
        <f>VLOOKUP($L50,OW_RG_7[],8,FALSE)</f>
        <v/>
      </c>
      <c r="AA50" s="27" t="str">
        <f>VLOOKUP($L50,OW_RG_8[],8,FALSE)</f>
        <v/>
      </c>
      <c r="AB50" s="25">
        <f t="shared" si="23"/>
        <v>0</v>
      </c>
      <c r="AC50" s="27" t="str">
        <f t="shared" si="24"/>
        <v/>
      </c>
      <c r="AD50" s="19" t="str">
        <f t="shared" si="22"/>
        <v/>
      </c>
      <c r="AE50" s="20" t="str" cm="1">
        <f t="array" ref="AE50">_xlfn.IFS(AB50&lt;15,"",
AND(AD50&gt;'Punten verdeling'!$C$49,AD50&lt;='Punten verdeling'!$D$49),OW_RATIO_U,
AND(AD50&gt;'Punten verdeling'!C$50,AD50&lt;='Punten verdeling'!D$50),OW_RATIO_G,
AND(AD50&gt;'Punten verdeling'!C$51,AD50&lt;='Punten verdeling'!D$51),OW_RATIO_V,
AD50&gt;'Punten verdeling'!C$52,OW_RATIO_O)</f>
        <v/>
      </c>
    </row>
    <row r="51" spans="2:31" x14ac:dyDescent="0.2">
      <c r="AD51" s="10" t="s">
        <v>23</v>
      </c>
      <c r="AE51" s="112">
        <f>SUM(AE43:AE50)</f>
        <v>0</v>
      </c>
    </row>
    <row r="52" spans="2:31" ht="20.25" x14ac:dyDescent="0.3">
      <c r="B52" s="8" t="s">
        <v>10</v>
      </c>
      <c r="L52" s="4" t="s">
        <v>106</v>
      </c>
    </row>
    <row r="53" spans="2:31" ht="63.75" thickBot="1" x14ac:dyDescent="0.25">
      <c r="B53" s="14" t="s">
        <v>2</v>
      </c>
      <c r="C53" s="15" t="s">
        <v>151</v>
      </c>
      <c r="D53" s="15" t="s">
        <v>3</v>
      </c>
      <c r="E53" s="15" t="s">
        <v>47</v>
      </c>
      <c r="F53" s="15" t="s">
        <v>48</v>
      </c>
      <c r="G53" s="15" t="s">
        <v>152</v>
      </c>
      <c r="H53" s="36" t="s">
        <v>4</v>
      </c>
      <c r="I53" s="117" t="s">
        <v>5</v>
      </c>
      <c r="L53" s="23" t="s">
        <v>2</v>
      </c>
      <c r="M53" s="22" t="s">
        <v>180</v>
      </c>
      <c r="N53" s="22" t="s">
        <v>181</v>
      </c>
      <c r="O53" s="22" t="s">
        <v>182</v>
      </c>
      <c r="P53" s="22" t="s">
        <v>183</v>
      </c>
      <c r="Q53" s="22" t="s">
        <v>184</v>
      </c>
      <c r="R53" s="22" t="s">
        <v>185</v>
      </c>
      <c r="S53" s="22" t="s">
        <v>186</v>
      </c>
      <c r="T53" s="22" t="s">
        <v>115</v>
      </c>
      <c r="U53" s="22" t="s">
        <v>116</v>
      </c>
      <c r="V53" s="22" t="s">
        <v>117</v>
      </c>
      <c r="W53" s="22" t="s">
        <v>118</v>
      </c>
      <c r="X53" s="22" t="s">
        <v>119</v>
      </c>
      <c r="Y53" s="22" t="s">
        <v>120</v>
      </c>
      <c r="Z53" s="22" t="s">
        <v>122</v>
      </c>
      <c r="AA53" s="22" t="s">
        <v>121</v>
      </c>
      <c r="AB53" s="22" t="s">
        <v>114</v>
      </c>
      <c r="AC53" s="22" t="s">
        <v>187</v>
      </c>
      <c r="AD53" s="22" t="s">
        <v>188</v>
      </c>
      <c r="AE53" s="22" t="s">
        <v>32</v>
      </c>
    </row>
    <row r="54" spans="2:31" ht="13.5" thickTop="1" x14ac:dyDescent="0.2">
      <c r="B54" s="13" t="str">
        <f>$B$10</f>
        <v>Alachloor</v>
      </c>
      <c r="C54" s="20">
        <f>IF(VLOOKUP(OW_Kalibratie4[[#This Row],[Component]],Concentraties!$B$22:$L$29,6,FALSE)="","",VLOOKUP(OW_Kalibratie4[[#This Row],[Component]],Concentraties!$B$22:$L$29,6,FALSE))</f>
        <v>13.7623</v>
      </c>
      <c r="D54" s="37"/>
      <c r="E54" s="39"/>
      <c r="F54" s="39"/>
      <c r="G54" s="37"/>
      <c r="H54" s="20" t="str">
        <f t="shared" ref="H54:H61" si="25">IFERROR(IF(C54="-","N.v.t.",IF(G54="","",100*G54/C54)),"")</f>
        <v/>
      </c>
      <c r="I54" s="118" t="str">
        <f t="shared" ref="I54:I61" si="26">IFERROR(MIN(E54,F54)/MAX(E54,F54),"")</f>
        <v/>
      </c>
      <c r="L54" s="18" t="str">
        <f t="shared" ref="L54:L61" si="27">L32</f>
        <v>Alachloor</v>
      </c>
      <c r="M54" s="20" t="str">
        <f>IF(VLOOKUP($L54,OW_Kalibratie0[],2,FALSE)="","",VLOOKUP($L54,OW_Kalibratie0[],2,FALSE))</f>
        <v>-</v>
      </c>
      <c r="N54" s="20">
        <f>IF(VLOOKUP($L54,OW_Kalibratie1[],2,FALSE)="","",VLOOKUP($L54,OW_Kalibratie1[],2,FALSE))</f>
        <v>0.91749999999999998</v>
      </c>
      <c r="O54" s="62">
        <f>IF(VLOOKUP($L54,OW_Kalibratie2[],2,FALSE)="","",VLOOKUP($L54,OW_Kalibratie2[],2,FALSE))</f>
        <v>1.835</v>
      </c>
      <c r="P54" s="27">
        <f>IF(VLOOKUP($L54,OW_Kalibratie3[],2,FALSE)="","",VLOOKUP($L54,OW_Kalibratie3[],2,FALSE))</f>
        <v>3.6699000000000002</v>
      </c>
      <c r="Q54" s="27">
        <f>IF(VLOOKUP($L54,OW_Kalibratie4[],2,FALSE)="","",VLOOKUP($L54,OW_Kalibratie4[],2,FALSE))</f>
        <v>13.7623</v>
      </c>
      <c r="R54" s="27">
        <f>IF(VLOOKUP($L54,OW_Kalibratie5[],2,FALSE)="","",VLOOKUP($L54,OW_Kalibratie5[],2,FALSE))</f>
        <v>32.112000000000002</v>
      </c>
      <c r="S54" s="27" t="str">
        <f>IF(VLOOKUP($L54,OW_Standaard_Hoog[],2,FALSE)="","",VLOOKUP($L54,OW_Standaard_Hoog[],2,FALSE))</f>
        <v/>
      </c>
      <c r="T54" s="27" t="str">
        <f>IF(VLOOKUP($L54,OW_Kalibratie0[],4,FALSE)="","",VLOOKUP($L54,OW_Kalibratie0[],4,FALSE))</f>
        <v/>
      </c>
      <c r="U54" s="27" t="str">
        <f>IF(VLOOKUP($L54,OW_Kalibratie1[],4,FALSE)="","",VLOOKUP($L54,OW_Kalibratie1[],4,FALSE))</f>
        <v/>
      </c>
      <c r="V54" s="27" t="str">
        <f>IF(VLOOKUP($L54,OW_Kalibratie2[],4,FALSE)="","",VLOOKUP($L54,OW_Kalibratie2[],4,FALSE))</f>
        <v/>
      </c>
      <c r="W54" s="27" t="str">
        <f>IF(VLOOKUP($L54,OW_Kalibratie3[],4,FALSE)="","",VLOOKUP($L54,OW_Kalibratie3[],4,FALSE))</f>
        <v/>
      </c>
      <c r="X54" s="27" t="str">
        <f>IF(VLOOKUP($L54,OW_Kalibratie4[],4,FALSE)="","",VLOOKUP($L54,OW_Kalibratie4[],4,FALSE))</f>
        <v/>
      </c>
      <c r="Y54" s="27" t="str">
        <f>IF(VLOOKUP($L54,OW_Kalibratie5[],4,FALSE)="","",VLOOKUP($L54,OW_Kalibratie5[],4,FALSE))</f>
        <v/>
      </c>
      <c r="Z54" s="27" t="str">
        <f>IF(VLOOKUP($L54,OW_Standaard_Hoog[],4,FALSE)="","",VLOOKUP($L54,OW_Standaard_Hoog[],4,FALSE))</f>
        <v/>
      </c>
      <c r="AA54" s="27" t="str">
        <f>IFERROR(SLOPE(U54:Y54,N54:R54),"")</f>
        <v/>
      </c>
      <c r="AB54" s="20" t="str">
        <f>IFERROR(INTERCEPT(U54:Y54,N54:R54),"")</f>
        <v/>
      </c>
      <c r="AC54" s="27" t="str">
        <f>IFERROR((Z54-AB54)/AA54,"")</f>
        <v/>
      </c>
      <c r="AD54" s="19" t="str">
        <f>IFERROR(IF(AC54&lt;2,"",AC54*100/S54),"")</f>
        <v/>
      </c>
      <c r="AE54" s="20" t="str" cm="1">
        <f t="array" ref="AE54">_xlfn.IFS(Z54="","",
AND(ABS(IF(AD54="",0,AD54)-100)&gt;'Punten verdeling'!$C$53,ABS(IF(AD54="",0,AD54)-100)&lt;='Punten verdeling'!$D$53),OW_Lin_U,
AND(ABS(IF(AD54="",0,AD54)-100)&gt;'Punten verdeling'!C$54,ABS(IF(AD54="",0,AD54)-100)&lt;='Punten verdeling'!D$54),OW_Lin_G,
AND(ABS(IF(AD54="",0,AD54)-100)&gt;'Punten verdeling'!C$55,ABS(IF(AD54="",0,AD54)-100)&lt;='Punten verdeling'!D$55),OW_Lin_V,
ABS(IF(AD54="",0,AD54)-100)&gt;'Punten verdeling'!C$56,OW_Lin_O)</f>
        <v/>
      </c>
    </row>
    <row r="55" spans="2:31" x14ac:dyDescent="0.2">
      <c r="B55" s="12" t="str">
        <f>$B$11</f>
        <v>Atrazine</v>
      </c>
      <c r="C55" s="20">
        <f>IF(VLOOKUP(OW_Kalibratie4[[#This Row],[Component]],Concentraties!$B$22:$L$29,6,FALSE)="","",VLOOKUP(OW_Kalibratie4[[#This Row],[Component]],Concentraties!$B$22:$L$29,6,FALSE))</f>
        <v>13.7554</v>
      </c>
      <c r="D55" s="38"/>
      <c r="E55" s="40"/>
      <c r="F55" s="40"/>
      <c r="G55" s="37"/>
      <c r="H55" s="20" t="str">
        <f t="shared" si="25"/>
        <v/>
      </c>
      <c r="I55" s="119" t="str">
        <f t="shared" si="26"/>
        <v/>
      </c>
      <c r="L55" s="17" t="str">
        <f t="shared" si="27"/>
        <v>Atrazine</v>
      </c>
      <c r="M55" s="20" t="str">
        <f>IF(VLOOKUP($L55,OW_Kalibratie0[],2,FALSE)="","",VLOOKUP($L55,OW_Kalibratie0[],2,FALSE))</f>
        <v>-</v>
      </c>
      <c r="N55" s="34">
        <f>IF(VLOOKUP($L55,OW_Kalibratie1[],2,FALSE)="","",VLOOKUP($L55,OW_Kalibratie1[],2,FALSE))</f>
        <v>0.91700000000000004</v>
      </c>
      <c r="O55" s="62">
        <f>IF(VLOOKUP($L55,OW_Kalibratie2[],2,FALSE)="","",VLOOKUP($L55,OW_Kalibratie2[],2,FALSE))</f>
        <v>1.8341000000000001</v>
      </c>
      <c r="P55" s="27">
        <f>IF(VLOOKUP($L55,OW_Kalibratie3[],2,FALSE)="","",VLOOKUP($L55,OW_Kalibratie3[],2,FALSE))</f>
        <v>3.6680999999999999</v>
      </c>
      <c r="Q55" s="27">
        <f>IF(VLOOKUP($L55,OW_Kalibratie4[],2,FALSE)="","",VLOOKUP($L55,OW_Kalibratie4[],2,FALSE))</f>
        <v>13.7554</v>
      </c>
      <c r="R55" s="27">
        <f>IF(VLOOKUP($L55,OW_Kalibratie5[],2,FALSE)="","",VLOOKUP($L55,OW_Kalibratie5[],2,FALSE))</f>
        <v>32.095999999999997</v>
      </c>
      <c r="S55" s="27" t="str">
        <f>IF(VLOOKUP($L55,OW_Standaard_Hoog[],2,FALSE)="","",VLOOKUP($L55,OW_Standaard_Hoog[],2,FALSE))</f>
        <v/>
      </c>
      <c r="T55" s="27" t="str">
        <f>IF(VLOOKUP($L55,OW_Kalibratie0[],4,FALSE)="","",VLOOKUP($L55,OW_Kalibratie0[],4,FALSE))</f>
        <v/>
      </c>
      <c r="U55" s="27" t="str">
        <f>IF(VLOOKUP($L55,OW_Kalibratie1[],4,FALSE)="","",VLOOKUP($L55,OW_Kalibratie1[],4,FALSE))</f>
        <v/>
      </c>
      <c r="V55" s="27" t="str">
        <f>IF(VLOOKUP($L55,OW_Kalibratie2[],4,FALSE)="","",VLOOKUP($L55,OW_Kalibratie2[],4,FALSE))</f>
        <v/>
      </c>
      <c r="W55" s="27" t="str">
        <f>IF(VLOOKUP($L55,OW_Kalibratie3[],4,FALSE)="","",VLOOKUP($L55,OW_Kalibratie3[],4,FALSE))</f>
        <v/>
      </c>
      <c r="X55" s="27" t="str">
        <f>IF(VLOOKUP($L55,OW_Kalibratie4[],4,FALSE)="","",VLOOKUP($L55,OW_Kalibratie4[],4,FALSE))</f>
        <v/>
      </c>
      <c r="Y55" s="27" t="str">
        <f>IF(VLOOKUP($L55,OW_Kalibratie5[],4,FALSE)="","",VLOOKUP($L55,OW_Kalibratie5[],4,FALSE))</f>
        <v/>
      </c>
      <c r="Z55" s="27" t="str">
        <f>IF(VLOOKUP($L55,OW_Standaard_Hoog[],4,FALSE)="","",VLOOKUP($L55,OW_Standaard_Hoog[],4,FALSE))</f>
        <v/>
      </c>
      <c r="AA55" s="27" t="str">
        <f t="shared" ref="AA55:AA61" si="28">IFERROR(SLOPE(U55:Y55,N55:R55),"")</f>
        <v/>
      </c>
      <c r="AB55" s="20" t="str">
        <f t="shared" ref="AB55:AB61" si="29">IFERROR(INTERCEPT(U55:Y55,N55:R55),"")</f>
        <v/>
      </c>
      <c r="AC55" s="27" t="str">
        <f t="shared" ref="AC55:AC61" si="30">IFERROR((Z55-AB55)/AA55,"")</f>
        <v/>
      </c>
      <c r="AD55" s="19" t="str">
        <f t="shared" ref="AD55:AD61" si="31">IFERROR(IF(AC55&lt;2,"",AC55*100/S55),"")</f>
        <v/>
      </c>
      <c r="AE55" s="20" t="str" cm="1">
        <f t="array" ref="AE55">_xlfn.IFS(Z55="","",
AND(ABS(IF(AD55="",0,AD55)-100)&gt;'Punten verdeling'!$C$53,ABS(IF(AD55="",0,AD55)-100)&lt;='Punten verdeling'!$D$53),OW_Lin_U,
AND(ABS(IF(AD55="",0,AD55)-100)&gt;'Punten verdeling'!C$54,ABS(IF(AD55="",0,AD55)-100)&lt;='Punten verdeling'!D$54),OW_Lin_G,
AND(ABS(IF(AD55="",0,AD55)-100)&gt;'Punten verdeling'!C$55,ABS(IF(AD55="",0,AD55)-100)&lt;='Punten verdeling'!D$55),OW_Lin_V,
ABS(IF(AD55="",0,AD55)-100)&gt;'Punten verdeling'!C$56,OW_Lin_O)</f>
        <v/>
      </c>
    </row>
    <row r="56" spans="2:31" x14ac:dyDescent="0.2">
      <c r="B56" s="12" t="str">
        <f>$B$12</f>
        <v>Chloorpyrifos-ethyl</v>
      </c>
      <c r="C56" s="20">
        <f>IF(VLOOKUP(OW_Kalibratie4[[#This Row],[Component]],Concentraties!$B$22:$L$29,6,FALSE)="","",VLOOKUP(OW_Kalibratie4[[#This Row],[Component]],Concentraties!$B$22:$L$29,6,FALSE))</f>
        <v>13.732100000000001</v>
      </c>
      <c r="D56" s="38"/>
      <c r="E56" s="40"/>
      <c r="F56" s="40"/>
      <c r="G56" s="37"/>
      <c r="H56" s="20" t="str">
        <f t="shared" si="25"/>
        <v/>
      </c>
      <c r="I56" s="119" t="str">
        <f t="shared" si="26"/>
        <v/>
      </c>
      <c r="L56" s="17" t="str">
        <f t="shared" si="27"/>
        <v>Chloorpyrifos-ethyl</v>
      </c>
      <c r="M56" s="20" t="str">
        <f>IF(VLOOKUP($L56,OW_Kalibratie0[],2,FALSE)="","",VLOOKUP($L56,OW_Kalibratie0[],2,FALSE))</f>
        <v>-</v>
      </c>
      <c r="N56" s="34">
        <f>IF(VLOOKUP($L56,OW_Kalibratie1[],2,FALSE)="","",VLOOKUP($L56,OW_Kalibratie1[],2,FALSE))</f>
        <v>0.91549999999999998</v>
      </c>
      <c r="O56" s="62">
        <f>IF(VLOOKUP($L56,OW_Kalibratie2[],2,FALSE)="","",VLOOKUP($L56,OW_Kalibratie2[],2,FALSE))</f>
        <v>1.8309</v>
      </c>
      <c r="P56" s="27">
        <f>IF(VLOOKUP($L56,OW_Kalibratie3[],2,FALSE)="","",VLOOKUP($L56,OW_Kalibratie3[],2,FALSE))</f>
        <v>3.6619000000000002</v>
      </c>
      <c r="Q56" s="27">
        <f>IF(VLOOKUP($L56,OW_Kalibratie4[],2,FALSE)="","",VLOOKUP($L56,OW_Kalibratie4[],2,FALSE))</f>
        <v>13.732100000000001</v>
      </c>
      <c r="R56" s="27">
        <f>IF(VLOOKUP($L56,OW_Kalibratie5[],2,FALSE)="","",VLOOKUP($L56,OW_Kalibratie5[],2,FALSE))</f>
        <v>32.041600000000003</v>
      </c>
      <c r="S56" s="27" t="str">
        <f>IF(VLOOKUP($L56,OW_Standaard_Hoog[],2,FALSE)="","",VLOOKUP($L56,OW_Standaard_Hoog[],2,FALSE))</f>
        <v/>
      </c>
      <c r="T56" s="27" t="str">
        <f>IF(VLOOKUP($L56,OW_Kalibratie0[],4,FALSE)="","",VLOOKUP($L56,OW_Kalibratie0[],4,FALSE))</f>
        <v/>
      </c>
      <c r="U56" s="27" t="str">
        <f>IF(VLOOKUP($L56,OW_Kalibratie1[],4,FALSE)="","",VLOOKUP($L56,OW_Kalibratie1[],4,FALSE))</f>
        <v/>
      </c>
      <c r="V56" s="27" t="str">
        <f>IF(VLOOKUP($L56,OW_Kalibratie2[],4,FALSE)="","",VLOOKUP($L56,OW_Kalibratie2[],4,FALSE))</f>
        <v/>
      </c>
      <c r="W56" s="27" t="str">
        <f>IF(VLOOKUP($L56,OW_Kalibratie3[],4,FALSE)="","",VLOOKUP($L56,OW_Kalibratie3[],4,FALSE))</f>
        <v/>
      </c>
      <c r="X56" s="27" t="str">
        <f>IF(VLOOKUP($L56,OW_Kalibratie4[],4,FALSE)="","",VLOOKUP($L56,OW_Kalibratie4[],4,FALSE))</f>
        <v/>
      </c>
      <c r="Y56" s="27" t="str">
        <f>IF(VLOOKUP($L56,OW_Kalibratie5[],4,FALSE)="","",VLOOKUP($L56,OW_Kalibratie5[],4,FALSE))</f>
        <v/>
      </c>
      <c r="Z56" s="27" t="str">
        <f>IF(VLOOKUP($L56,OW_Standaard_Hoog[],4,FALSE)="","",VLOOKUP($L56,OW_Standaard_Hoog[],4,FALSE))</f>
        <v/>
      </c>
      <c r="AA56" s="27" t="str">
        <f t="shared" si="28"/>
        <v/>
      </c>
      <c r="AB56" s="20" t="str">
        <f t="shared" si="29"/>
        <v/>
      </c>
      <c r="AC56" s="27" t="str">
        <f t="shared" si="30"/>
        <v/>
      </c>
      <c r="AD56" s="19" t="str">
        <f t="shared" si="31"/>
        <v/>
      </c>
      <c r="AE56" s="20" t="str" cm="1">
        <f t="array" ref="AE56">_xlfn.IFS(Z56="","",
AND(ABS(IF(AD56="",0,AD56)-100)&gt;'Punten verdeling'!$C$53,ABS(IF(AD56="",0,AD56)-100)&lt;='Punten verdeling'!$D$53),OW_Lin_U,
AND(ABS(IF(AD56="",0,AD56)-100)&gt;'Punten verdeling'!C$54,ABS(IF(AD56="",0,AD56)-100)&lt;='Punten verdeling'!D$54),OW_Lin_G,
AND(ABS(IF(AD56="",0,AD56)-100)&gt;'Punten verdeling'!C$55,ABS(IF(AD56="",0,AD56)-100)&lt;='Punten verdeling'!D$55),OW_Lin_V,
ABS(IF(AD56="",0,AD56)-100)&gt;'Punten verdeling'!C$56,OW_Lin_O)</f>
        <v/>
      </c>
    </row>
    <row r="57" spans="2:31" x14ac:dyDescent="0.2">
      <c r="B57" s="12" t="str">
        <f>$B$13</f>
        <v>Flutianil</v>
      </c>
      <c r="C57" s="20">
        <f>IF(VLOOKUP(OW_Kalibratie4[[#This Row],[Component]],Concentraties!$B$22:$L$29,6,FALSE)="","",VLOOKUP(OW_Kalibratie4[[#This Row],[Component]],Concentraties!$B$22:$L$29,6,FALSE))</f>
        <v>13.677300000000001</v>
      </c>
      <c r="D57" s="38"/>
      <c r="E57" s="40"/>
      <c r="F57" s="40"/>
      <c r="G57" s="37"/>
      <c r="H57" s="20" t="str">
        <f t="shared" si="25"/>
        <v/>
      </c>
      <c r="I57" s="119" t="str">
        <f t="shared" si="26"/>
        <v/>
      </c>
      <c r="L57" s="17" t="str">
        <f t="shared" si="27"/>
        <v>Flutianil</v>
      </c>
      <c r="M57" s="20" t="str">
        <f>IF(VLOOKUP($L57,OW_Kalibratie0[],2,FALSE)="","",VLOOKUP($L57,OW_Kalibratie0[],2,FALSE))</f>
        <v>-</v>
      </c>
      <c r="N57" s="34">
        <f>IF(VLOOKUP($L57,OW_Kalibratie1[],2,FALSE)="","",VLOOKUP($L57,OW_Kalibratie1[],2,FALSE))</f>
        <v>0.91180000000000005</v>
      </c>
      <c r="O57" s="62">
        <f>IF(VLOOKUP($L57,OW_Kalibratie2[],2,FALSE)="","",VLOOKUP($L57,OW_Kalibratie2[],2,FALSE))</f>
        <v>1.8236000000000001</v>
      </c>
      <c r="P57" s="27">
        <f>IF(VLOOKUP($L57,OW_Kalibratie3[],2,FALSE)="","",VLOOKUP($L57,OW_Kalibratie3[],2,FALSE))</f>
        <v>3.6473</v>
      </c>
      <c r="Q57" s="27">
        <f>IF(VLOOKUP($L57,OW_Kalibratie4[],2,FALSE)="","",VLOOKUP($L57,OW_Kalibratie4[],2,FALSE))</f>
        <v>13.677300000000001</v>
      </c>
      <c r="R57" s="27">
        <f>IF(VLOOKUP($L57,OW_Kalibratie5[],2,FALSE)="","",VLOOKUP($L57,OW_Kalibratie5[],2,FALSE))</f>
        <v>31.913599999999999</v>
      </c>
      <c r="S57" s="27" t="str">
        <f>IF(VLOOKUP($L57,OW_Standaard_Hoog[],2,FALSE)="","",VLOOKUP($L57,OW_Standaard_Hoog[],2,FALSE))</f>
        <v/>
      </c>
      <c r="T57" s="27" t="str">
        <f>IF(VLOOKUP($L57,OW_Kalibratie0[],4,FALSE)="","",VLOOKUP($L57,OW_Kalibratie0[],4,FALSE))</f>
        <v/>
      </c>
      <c r="U57" s="27" t="str">
        <f>IF(VLOOKUP($L57,OW_Kalibratie1[],4,FALSE)="","",VLOOKUP($L57,OW_Kalibratie1[],4,FALSE))</f>
        <v/>
      </c>
      <c r="V57" s="27" t="str">
        <f>IF(VLOOKUP($L57,OW_Kalibratie2[],4,FALSE)="","",VLOOKUP($L57,OW_Kalibratie2[],4,FALSE))</f>
        <v/>
      </c>
      <c r="W57" s="27" t="str">
        <f>IF(VLOOKUP($L57,OW_Kalibratie3[],4,FALSE)="","",VLOOKUP($L57,OW_Kalibratie3[],4,FALSE))</f>
        <v/>
      </c>
      <c r="X57" s="27" t="str">
        <f>IF(VLOOKUP($L57,OW_Kalibratie4[],4,FALSE)="","",VLOOKUP($L57,OW_Kalibratie4[],4,FALSE))</f>
        <v/>
      </c>
      <c r="Y57" s="27" t="str">
        <f>IF(VLOOKUP($L57,OW_Kalibratie5[],4,FALSE)="","",VLOOKUP($L57,OW_Kalibratie5[],4,FALSE))</f>
        <v/>
      </c>
      <c r="Z57" s="27" t="str">
        <f>IF(VLOOKUP($L57,OW_Standaard_Hoog[],4,FALSE)="","",VLOOKUP($L57,OW_Standaard_Hoog[],4,FALSE))</f>
        <v/>
      </c>
      <c r="AA57" s="27" t="str">
        <f t="shared" si="28"/>
        <v/>
      </c>
      <c r="AB57" s="20" t="str">
        <f t="shared" si="29"/>
        <v/>
      </c>
      <c r="AC57" s="27" t="str">
        <f t="shared" si="30"/>
        <v/>
      </c>
      <c r="AD57" s="19" t="str">
        <f t="shared" si="31"/>
        <v/>
      </c>
      <c r="AE57" s="20" t="str" cm="1">
        <f t="array" ref="AE57">_xlfn.IFS(Z57="","",
AND(ABS(IF(AD57="",0,AD57)-100)&gt;'Punten verdeling'!$C$53,ABS(IF(AD57="",0,AD57)-100)&lt;='Punten verdeling'!$D$53),OW_Lin_U,
AND(ABS(IF(AD57="",0,AD57)-100)&gt;'Punten verdeling'!C$54,ABS(IF(AD57="",0,AD57)-100)&lt;='Punten verdeling'!D$54),OW_Lin_G,
AND(ABS(IF(AD57="",0,AD57)-100)&gt;'Punten verdeling'!C$55,ABS(IF(AD57="",0,AD57)-100)&lt;='Punten verdeling'!D$55),OW_Lin_V,
ABS(IF(AD57="",0,AD57)-100)&gt;'Punten verdeling'!C$56,OW_Lin_O)</f>
        <v/>
      </c>
    </row>
    <row r="58" spans="2:31" x14ac:dyDescent="0.2">
      <c r="B58" s="12" t="str">
        <f>$B$14</f>
        <v>Fosalon</v>
      </c>
      <c r="C58" s="20">
        <f>IF(VLOOKUP(OW_Kalibratie4[[#This Row],[Component]],Concentraties!$B$22:$L$29,6,FALSE)="","",VLOOKUP(OW_Kalibratie4[[#This Row],[Component]],Concentraties!$B$22:$L$29,6,FALSE))</f>
        <v>13.841799999999999</v>
      </c>
      <c r="D58" s="38"/>
      <c r="E58" s="40"/>
      <c r="F58" s="40"/>
      <c r="G58" s="37"/>
      <c r="H58" s="20" t="str">
        <f t="shared" si="25"/>
        <v/>
      </c>
      <c r="I58" s="119" t="str">
        <f t="shared" si="26"/>
        <v/>
      </c>
      <c r="L58" s="17" t="str">
        <f t="shared" si="27"/>
        <v>Fosalon</v>
      </c>
      <c r="M58" s="20" t="str">
        <f>IF(VLOOKUP($L58,OW_Kalibratie0[],2,FALSE)="","",VLOOKUP($L58,OW_Kalibratie0[],2,FALSE))</f>
        <v>-</v>
      </c>
      <c r="N58" s="34">
        <f>IF(VLOOKUP($L58,OW_Kalibratie1[],2,FALSE)="","",VLOOKUP($L58,OW_Kalibratie1[],2,FALSE))</f>
        <v>0.92279999999999995</v>
      </c>
      <c r="O58" s="62">
        <f>IF(VLOOKUP($L58,OW_Kalibratie2[],2,FALSE)="","",VLOOKUP($L58,OW_Kalibratie2[],2,FALSE))</f>
        <v>1.8455999999999999</v>
      </c>
      <c r="P58" s="27">
        <f>IF(VLOOKUP($L58,OW_Kalibratie3[],2,FALSE)="","",VLOOKUP($L58,OW_Kalibratie3[],2,FALSE))</f>
        <v>3.6911999999999998</v>
      </c>
      <c r="Q58" s="27">
        <f>IF(VLOOKUP($L58,OW_Kalibratie4[],2,FALSE)="","",VLOOKUP($L58,OW_Kalibratie4[],2,FALSE))</f>
        <v>13.841799999999999</v>
      </c>
      <c r="R58" s="27">
        <f>IF(VLOOKUP($L58,OW_Kalibratie5[],2,FALSE)="","",VLOOKUP($L58,OW_Kalibratie5[],2,FALSE))</f>
        <v>32.297600000000003</v>
      </c>
      <c r="S58" s="27" t="str">
        <f>IF(VLOOKUP($L58,OW_Standaard_Hoog[],2,FALSE)="","",VLOOKUP($L58,OW_Standaard_Hoog[],2,FALSE))</f>
        <v/>
      </c>
      <c r="T58" s="27" t="str">
        <f>IF(VLOOKUP($L58,OW_Kalibratie0[],4,FALSE)="","",VLOOKUP($L58,OW_Kalibratie0[],4,FALSE))</f>
        <v/>
      </c>
      <c r="U58" s="27" t="str">
        <f>IF(VLOOKUP($L58,OW_Kalibratie1[],4,FALSE)="","",VLOOKUP($L58,OW_Kalibratie1[],4,FALSE))</f>
        <v/>
      </c>
      <c r="V58" s="27" t="str">
        <f>IF(VLOOKUP($L58,OW_Kalibratie2[],4,FALSE)="","",VLOOKUP($L58,OW_Kalibratie2[],4,FALSE))</f>
        <v/>
      </c>
      <c r="W58" s="27" t="str">
        <f>IF(VLOOKUP($L58,OW_Kalibratie3[],4,FALSE)="","",VLOOKUP($L58,OW_Kalibratie3[],4,FALSE))</f>
        <v/>
      </c>
      <c r="X58" s="27" t="str">
        <f>IF(VLOOKUP($L58,OW_Kalibratie4[],4,FALSE)="","",VLOOKUP($L58,OW_Kalibratie4[],4,FALSE))</f>
        <v/>
      </c>
      <c r="Y58" s="27" t="str">
        <f>IF(VLOOKUP($L58,OW_Kalibratie5[],4,FALSE)="","",VLOOKUP($L58,OW_Kalibratie5[],4,FALSE))</f>
        <v/>
      </c>
      <c r="Z58" s="27" t="str">
        <f>IF(VLOOKUP($L58,OW_Standaard_Hoog[],4,FALSE)="","",VLOOKUP($L58,OW_Standaard_Hoog[],4,FALSE))</f>
        <v/>
      </c>
      <c r="AA58" s="27" t="str">
        <f t="shared" si="28"/>
        <v/>
      </c>
      <c r="AB58" s="20" t="str">
        <f t="shared" si="29"/>
        <v/>
      </c>
      <c r="AC58" s="27" t="str">
        <f t="shared" si="30"/>
        <v/>
      </c>
      <c r="AD58" s="19" t="str">
        <f t="shared" si="31"/>
        <v/>
      </c>
      <c r="AE58" s="20" t="str" cm="1">
        <f t="array" ref="AE58">_xlfn.IFS(Z58="","",
AND(ABS(IF(AD58="",0,AD58)-100)&gt;'Punten verdeling'!$C$53,ABS(IF(AD58="",0,AD58)-100)&lt;='Punten verdeling'!$D$53),OW_Lin_U,
AND(ABS(IF(AD58="",0,AD58)-100)&gt;'Punten verdeling'!C$54,ABS(IF(AD58="",0,AD58)-100)&lt;='Punten verdeling'!D$54),OW_Lin_G,
AND(ABS(IF(AD58="",0,AD58)-100)&gt;'Punten verdeling'!C$55,ABS(IF(AD58="",0,AD58)-100)&lt;='Punten verdeling'!D$55),OW_Lin_V,
ABS(IF(AD58="",0,AD58)-100)&gt;'Punten verdeling'!C$56,OW_Lin_O)</f>
        <v/>
      </c>
    </row>
    <row r="59" spans="2:31" x14ac:dyDescent="0.2">
      <c r="B59" s="12" t="str">
        <f>$B$15</f>
        <v>Penconazool</v>
      </c>
      <c r="C59" s="20">
        <f>IF(VLOOKUP(OW_Kalibratie4[[#This Row],[Component]],Concentraties!$B$22:$L$29,6,FALSE)="","",VLOOKUP(OW_Kalibratie4[[#This Row],[Component]],Concentraties!$B$22:$L$29,6,FALSE))</f>
        <v>13.7143</v>
      </c>
      <c r="D59" s="38"/>
      <c r="E59" s="40"/>
      <c r="F59" s="40"/>
      <c r="G59" s="37"/>
      <c r="H59" s="20" t="str">
        <f t="shared" si="25"/>
        <v/>
      </c>
      <c r="I59" s="119" t="str">
        <f t="shared" si="26"/>
        <v/>
      </c>
      <c r="L59" s="17" t="str">
        <f t="shared" si="27"/>
        <v>Penconazool</v>
      </c>
      <c r="M59" s="20" t="str">
        <f>IF(VLOOKUP($L59,OW_Kalibratie0[],2,FALSE)="","",VLOOKUP($L59,OW_Kalibratie0[],2,FALSE))</f>
        <v>-</v>
      </c>
      <c r="N59" s="34">
        <f>IF(VLOOKUP($L59,OW_Kalibratie1[],2,FALSE)="","",VLOOKUP($L59,OW_Kalibratie1[],2,FALSE))</f>
        <v>0.9143</v>
      </c>
      <c r="O59" s="62">
        <f>IF(VLOOKUP($L59,OW_Kalibratie2[],2,FALSE)="","",VLOOKUP($L59,OW_Kalibratie2[],2,FALSE))</f>
        <v>1.8286</v>
      </c>
      <c r="P59" s="27">
        <f>IF(VLOOKUP($L59,OW_Kalibratie3[],2,FALSE)="","",VLOOKUP($L59,OW_Kalibratie3[],2,FALSE))</f>
        <v>3.6570999999999998</v>
      </c>
      <c r="Q59" s="27">
        <f>IF(VLOOKUP($L59,OW_Kalibratie4[],2,FALSE)="","",VLOOKUP($L59,OW_Kalibratie4[],2,FALSE))</f>
        <v>13.7143</v>
      </c>
      <c r="R59" s="27">
        <f>IF(VLOOKUP($L59,OW_Kalibratie5[],2,FALSE)="","",VLOOKUP($L59,OW_Kalibratie5[],2,FALSE))</f>
        <v>32</v>
      </c>
      <c r="S59" s="27" t="str">
        <f>IF(VLOOKUP($L59,OW_Standaard_Hoog[],2,FALSE)="","",VLOOKUP($L59,OW_Standaard_Hoog[],2,FALSE))</f>
        <v/>
      </c>
      <c r="T59" s="27" t="str">
        <f>IF(VLOOKUP($L59,OW_Kalibratie0[],4,FALSE)="","",VLOOKUP($L59,OW_Kalibratie0[],4,FALSE))</f>
        <v/>
      </c>
      <c r="U59" s="27" t="str">
        <f>IF(VLOOKUP($L59,OW_Kalibratie1[],4,FALSE)="","",VLOOKUP($L59,OW_Kalibratie1[],4,FALSE))</f>
        <v/>
      </c>
      <c r="V59" s="27" t="str">
        <f>IF(VLOOKUP($L59,OW_Kalibratie2[],4,FALSE)="","",VLOOKUP($L59,OW_Kalibratie2[],4,FALSE))</f>
        <v/>
      </c>
      <c r="W59" s="27" t="str">
        <f>IF(VLOOKUP($L59,OW_Kalibratie3[],4,FALSE)="","",VLOOKUP($L59,OW_Kalibratie3[],4,FALSE))</f>
        <v/>
      </c>
      <c r="X59" s="27" t="str">
        <f>IF(VLOOKUP($L59,OW_Kalibratie4[],4,FALSE)="","",VLOOKUP($L59,OW_Kalibratie4[],4,FALSE))</f>
        <v/>
      </c>
      <c r="Y59" s="27" t="str">
        <f>IF(VLOOKUP($L59,OW_Kalibratie5[],4,FALSE)="","",VLOOKUP($L59,OW_Kalibratie5[],4,FALSE))</f>
        <v/>
      </c>
      <c r="Z59" s="27" t="str">
        <f>IF(VLOOKUP($L59,OW_Standaard_Hoog[],4,FALSE)="","",VLOOKUP($L59,OW_Standaard_Hoog[],4,FALSE))</f>
        <v/>
      </c>
      <c r="AA59" s="27" t="str">
        <f t="shared" si="28"/>
        <v/>
      </c>
      <c r="AB59" s="20" t="str">
        <f t="shared" si="29"/>
        <v/>
      </c>
      <c r="AC59" s="27" t="str">
        <f t="shared" si="30"/>
        <v/>
      </c>
      <c r="AD59" s="19" t="str">
        <f t="shared" si="31"/>
        <v/>
      </c>
      <c r="AE59" s="20" t="str" cm="1">
        <f t="array" ref="AE59">_xlfn.IFS(Z59="","",
AND(ABS(IF(AD59="",0,AD59)-100)&gt;'Punten verdeling'!$C$53,ABS(IF(AD59="",0,AD59)-100)&lt;='Punten verdeling'!$D$53),OW_Lin_U,
AND(ABS(IF(AD59="",0,AD59)-100)&gt;'Punten verdeling'!C$54,ABS(IF(AD59="",0,AD59)-100)&lt;='Punten verdeling'!D$54),OW_Lin_G,
AND(ABS(IF(AD59="",0,AD59)-100)&gt;'Punten verdeling'!C$55,ABS(IF(AD59="",0,AD59)-100)&lt;='Punten verdeling'!D$55),OW_Lin_V,
ABS(IF(AD59="",0,AD59)-100)&gt;'Punten verdeling'!C$56,OW_Lin_O)</f>
        <v/>
      </c>
    </row>
    <row r="60" spans="2:31" x14ac:dyDescent="0.2">
      <c r="B60" s="12" t="str">
        <f>$B$16</f>
        <v>Pyrimethanil</v>
      </c>
      <c r="C60" s="20">
        <f>IF(VLOOKUP(OW_Kalibratie4[[#This Row],[Component]],Concentraties!$B$22:$L$29,6,FALSE)="","",VLOOKUP(OW_Kalibratie4[[#This Row],[Component]],Concentraties!$B$22:$L$29,6,FALSE))</f>
        <v>13.821300000000001</v>
      </c>
      <c r="D60" s="38"/>
      <c r="E60" s="40"/>
      <c r="F60" s="40"/>
      <c r="G60" s="37"/>
      <c r="H60" s="20" t="str">
        <f t="shared" si="25"/>
        <v/>
      </c>
      <c r="I60" s="119" t="str">
        <f t="shared" si="26"/>
        <v/>
      </c>
      <c r="L60" s="17" t="str">
        <f t="shared" si="27"/>
        <v>Pyrimethanil</v>
      </c>
      <c r="M60" s="20" t="str">
        <f>IF(VLOOKUP($L60,OW_Kalibratie0[],2,FALSE)="","",VLOOKUP($L60,OW_Kalibratie0[],2,FALSE))</f>
        <v>-</v>
      </c>
      <c r="N60" s="34">
        <f>IF(VLOOKUP($L60,OW_Kalibratie1[],2,FALSE)="","",VLOOKUP($L60,OW_Kalibratie1[],2,FALSE))</f>
        <v>0.9214</v>
      </c>
      <c r="O60" s="62">
        <f>IF(VLOOKUP($L60,OW_Kalibratie2[],2,FALSE)="","",VLOOKUP($L60,OW_Kalibratie2[],2,FALSE))</f>
        <v>1.8428</v>
      </c>
      <c r="P60" s="27">
        <f>IF(VLOOKUP($L60,OW_Kalibratie3[],2,FALSE)="","",VLOOKUP($L60,OW_Kalibratie3[],2,FALSE))</f>
        <v>3.6857000000000002</v>
      </c>
      <c r="Q60" s="27">
        <f>IF(VLOOKUP($L60,OW_Kalibratie4[],2,FALSE)="","",VLOOKUP($L60,OW_Kalibratie4[],2,FALSE))</f>
        <v>13.821300000000001</v>
      </c>
      <c r="R60" s="27">
        <f>IF(VLOOKUP($L60,OW_Kalibratie5[],2,FALSE)="","",VLOOKUP($L60,OW_Kalibratie5[],2,FALSE))</f>
        <v>32.249600000000001</v>
      </c>
      <c r="S60" s="27" t="str">
        <f>IF(VLOOKUP($L60,OW_Standaard_Hoog[],2,FALSE)="","",VLOOKUP($L60,OW_Standaard_Hoog[],2,FALSE))</f>
        <v/>
      </c>
      <c r="T60" s="27" t="str">
        <f>IF(VLOOKUP($L60,OW_Kalibratie0[],4,FALSE)="","",VLOOKUP($L60,OW_Kalibratie0[],4,FALSE))</f>
        <v/>
      </c>
      <c r="U60" s="27" t="str">
        <f>IF(VLOOKUP($L60,OW_Kalibratie1[],4,FALSE)="","",VLOOKUP($L60,OW_Kalibratie1[],4,FALSE))</f>
        <v/>
      </c>
      <c r="V60" s="27" t="str">
        <f>IF(VLOOKUP($L60,OW_Kalibratie2[],4,FALSE)="","",VLOOKUP($L60,OW_Kalibratie2[],4,FALSE))</f>
        <v/>
      </c>
      <c r="W60" s="27" t="str">
        <f>IF(VLOOKUP($L60,OW_Kalibratie3[],4,FALSE)="","",VLOOKUP($L60,OW_Kalibratie3[],4,FALSE))</f>
        <v/>
      </c>
      <c r="X60" s="27" t="str">
        <f>IF(VLOOKUP($L60,OW_Kalibratie4[],4,FALSE)="","",VLOOKUP($L60,OW_Kalibratie4[],4,FALSE))</f>
        <v/>
      </c>
      <c r="Y60" s="27" t="str">
        <f>IF(VLOOKUP($L60,OW_Kalibratie5[],4,FALSE)="","",VLOOKUP($L60,OW_Kalibratie5[],4,FALSE))</f>
        <v/>
      </c>
      <c r="Z60" s="27" t="str">
        <f>IF(VLOOKUP($L60,OW_Standaard_Hoog[],4,FALSE)="","",VLOOKUP($L60,OW_Standaard_Hoog[],4,FALSE))</f>
        <v/>
      </c>
      <c r="AA60" s="27" t="str">
        <f t="shared" si="28"/>
        <v/>
      </c>
      <c r="AB60" s="20" t="str">
        <f t="shared" si="29"/>
        <v/>
      </c>
      <c r="AC60" s="27" t="str">
        <f t="shared" si="30"/>
        <v/>
      </c>
      <c r="AD60" s="19" t="str">
        <f t="shared" si="31"/>
        <v/>
      </c>
      <c r="AE60" s="20" t="str" cm="1">
        <f t="array" ref="AE60">_xlfn.IFS(Z60="","",
AND(ABS(IF(AD60="",0,AD60)-100)&gt;'Punten verdeling'!$C$53,ABS(IF(AD60="",0,AD60)-100)&lt;='Punten verdeling'!$D$53),OW_Lin_U,
AND(ABS(IF(AD60="",0,AD60)-100)&gt;'Punten verdeling'!C$54,ABS(IF(AD60="",0,AD60)-100)&lt;='Punten verdeling'!D$54),OW_Lin_G,
AND(ABS(IF(AD60="",0,AD60)-100)&gt;'Punten verdeling'!C$55,ABS(IF(AD60="",0,AD60)-100)&lt;='Punten verdeling'!D$55),OW_Lin_V,
ABS(IF(AD60="",0,AD60)-100)&gt;'Punten verdeling'!C$56,OW_Lin_O)</f>
        <v/>
      </c>
    </row>
    <row r="61" spans="2:31" x14ac:dyDescent="0.2">
      <c r="B61" s="12" t="str">
        <f>$B$17</f>
        <v>Terbutylazine</v>
      </c>
      <c r="C61" s="20">
        <f>IF(VLOOKUP(OW_Kalibratie4[[#This Row],[Component]],Concentraties!$B$22:$L$29,6,FALSE)="","",VLOOKUP(OW_Kalibratie4[[#This Row],[Component]],Concentraties!$B$22:$L$29,6,FALSE))</f>
        <v>13.776</v>
      </c>
      <c r="D61" s="38"/>
      <c r="E61" s="40"/>
      <c r="F61" s="40"/>
      <c r="G61" s="37"/>
      <c r="H61" s="20" t="str">
        <f t="shared" si="25"/>
        <v/>
      </c>
      <c r="I61" s="119" t="str">
        <f t="shared" si="26"/>
        <v/>
      </c>
      <c r="L61" s="17" t="str">
        <f t="shared" si="27"/>
        <v>Terbutylazine</v>
      </c>
      <c r="M61" s="20" t="str">
        <f>IF(VLOOKUP($L61,OW_Kalibratie0[],2,FALSE)="","",VLOOKUP($L61,OW_Kalibratie0[],2,FALSE))</f>
        <v>-</v>
      </c>
      <c r="N61" s="34">
        <f>IF(VLOOKUP($L61,OW_Kalibratie1[],2,FALSE)="","",VLOOKUP($L61,OW_Kalibratie1[],2,FALSE))</f>
        <v>0.91839999999999999</v>
      </c>
      <c r="O61" s="62">
        <f>IF(VLOOKUP($L61,OW_Kalibratie2[],2,FALSE)="","",VLOOKUP($L61,OW_Kalibratie2[],2,FALSE))</f>
        <v>1.8368</v>
      </c>
      <c r="P61" s="27">
        <f>IF(VLOOKUP($L61,OW_Kalibratie3[],2,FALSE)="","",VLOOKUP($L61,OW_Kalibratie3[],2,FALSE))</f>
        <v>3.6736</v>
      </c>
      <c r="Q61" s="27">
        <f>IF(VLOOKUP($L61,OW_Kalibratie4[],2,FALSE)="","",VLOOKUP($L61,OW_Kalibratie4[],2,FALSE))</f>
        <v>13.776</v>
      </c>
      <c r="R61" s="27">
        <f>IF(VLOOKUP($L61,OW_Kalibratie5[],2,FALSE)="","",VLOOKUP($L61,OW_Kalibratie5[],2,FALSE))</f>
        <v>32.143999999999998</v>
      </c>
      <c r="S61" s="27" t="str">
        <f>IF(VLOOKUP($L61,OW_Standaard_Hoog[],2,FALSE)="","",VLOOKUP($L61,OW_Standaard_Hoog[],2,FALSE))</f>
        <v/>
      </c>
      <c r="T61" s="27" t="str">
        <f>IF(VLOOKUP($L61,OW_Kalibratie0[],4,FALSE)="","",VLOOKUP($L61,OW_Kalibratie0[],4,FALSE))</f>
        <v/>
      </c>
      <c r="U61" s="27" t="str">
        <f>IF(VLOOKUP($L61,OW_Kalibratie1[],4,FALSE)="","",VLOOKUP($L61,OW_Kalibratie1[],4,FALSE))</f>
        <v/>
      </c>
      <c r="V61" s="27" t="str">
        <f>IF(VLOOKUP($L61,OW_Kalibratie2[],4,FALSE)="","",VLOOKUP($L61,OW_Kalibratie2[],4,FALSE))</f>
        <v/>
      </c>
      <c r="W61" s="27" t="str">
        <f>IF(VLOOKUP($L61,OW_Kalibratie3[],4,FALSE)="","",VLOOKUP($L61,OW_Kalibratie3[],4,FALSE))</f>
        <v/>
      </c>
      <c r="X61" s="27" t="str">
        <f>IF(VLOOKUP($L61,OW_Kalibratie4[],4,FALSE)="","",VLOOKUP($L61,OW_Kalibratie4[],4,FALSE))</f>
        <v/>
      </c>
      <c r="Y61" s="27" t="str">
        <f>IF(VLOOKUP($L61,OW_Kalibratie5[],4,FALSE)="","",VLOOKUP($L61,OW_Kalibratie5[],4,FALSE))</f>
        <v/>
      </c>
      <c r="Z61" s="27" t="str">
        <f>IF(VLOOKUP($L61,OW_Standaard_Hoog[],4,FALSE)="","",VLOOKUP($L61,OW_Standaard_Hoog[],4,FALSE))</f>
        <v/>
      </c>
      <c r="AA61" s="27" t="str">
        <f t="shared" si="28"/>
        <v/>
      </c>
      <c r="AB61" s="20" t="str">
        <f t="shared" si="29"/>
        <v/>
      </c>
      <c r="AC61" s="27" t="str">
        <f t="shared" si="30"/>
        <v/>
      </c>
      <c r="AD61" s="19" t="str">
        <f t="shared" si="31"/>
        <v/>
      </c>
      <c r="AE61" s="20" t="str" cm="1">
        <f t="array" ref="AE61">_xlfn.IFS(Z61="","",
AND(ABS(IF(AD61="",0,AD61)-100)&gt;'Punten verdeling'!$C$53,ABS(IF(AD61="",0,AD61)-100)&lt;='Punten verdeling'!$D$53),OW_Lin_U,
AND(ABS(IF(AD61="",0,AD61)-100)&gt;'Punten verdeling'!C$54,ABS(IF(AD61="",0,AD61)-100)&lt;='Punten verdeling'!D$54),OW_Lin_G,
AND(ABS(IF(AD61="",0,AD61)-100)&gt;'Punten verdeling'!C$55,ABS(IF(AD61="",0,AD61)-100)&lt;='Punten verdeling'!D$55),OW_Lin_V,
ABS(IF(AD61="",0,AD61)-100)&gt;'Punten verdeling'!C$56,OW_Lin_O)</f>
        <v/>
      </c>
    </row>
    <row r="62" spans="2:31" x14ac:dyDescent="0.2">
      <c r="AD62" s="10" t="s">
        <v>23</v>
      </c>
      <c r="AE62" s="112">
        <f>SUM(AE54:AE61)</f>
        <v>0</v>
      </c>
    </row>
    <row r="63" spans="2:31" ht="20.25" x14ac:dyDescent="0.3">
      <c r="B63" s="8" t="s">
        <v>11</v>
      </c>
    </row>
    <row r="64" spans="2:31" ht="39" thickBot="1" x14ac:dyDescent="0.25">
      <c r="B64" s="14" t="s">
        <v>2</v>
      </c>
      <c r="C64" s="15" t="s">
        <v>151</v>
      </c>
      <c r="D64" s="15" t="s">
        <v>3</v>
      </c>
      <c r="E64" s="15" t="s">
        <v>47</v>
      </c>
      <c r="F64" s="15" t="s">
        <v>48</v>
      </c>
      <c r="G64" s="15" t="s">
        <v>152</v>
      </c>
      <c r="H64" s="36" t="s">
        <v>4</v>
      </c>
      <c r="I64" s="117" t="s">
        <v>5</v>
      </c>
      <c r="P64" s="93"/>
      <c r="Q64" s="91"/>
      <c r="R64" s="92"/>
    </row>
    <row r="65" spans="2:9" ht="13.5" thickTop="1" x14ac:dyDescent="0.2">
      <c r="B65" s="13" t="str">
        <f>$B$10</f>
        <v>Alachloor</v>
      </c>
      <c r="C65" s="20">
        <f>IF(VLOOKUP(OW_Kalibratie5[[#This Row],[Component]],Concentraties!$B$22:$L$29,7,FALSE)="","",VLOOKUP(OW_Kalibratie5[[#This Row],[Component]],Concentraties!$B$22:$L$29,7,FALSE))</f>
        <v>32.112000000000002</v>
      </c>
      <c r="D65" s="37"/>
      <c r="E65" s="39"/>
      <c r="F65" s="39"/>
      <c r="G65" s="37"/>
      <c r="H65" s="20" t="str">
        <f t="shared" ref="H65:H72" si="32">IFERROR(IF(C65="-","N.v.t.",IF(G65="","",100*G65/C65)),"")</f>
        <v/>
      </c>
      <c r="I65" s="118" t="str">
        <f t="shared" ref="I65:I72" si="33">IFERROR(MIN(E65,F65)/MAX(E65,F65),"")</f>
        <v/>
      </c>
    </row>
    <row r="66" spans="2:9" x14ac:dyDescent="0.2">
      <c r="B66" s="12" t="str">
        <f>$B$11</f>
        <v>Atrazine</v>
      </c>
      <c r="C66" s="20">
        <f>IF(VLOOKUP(OW_Kalibratie5[[#This Row],[Component]],Concentraties!$B$22:$L$29,7,FALSE)="","",VLOOKUP(OW_Kalibratie5[[#This Row],[Component]],Concentraties!$B$22:$L$29,7,FALSE))</f>
        <v>32.095999999999997</v>
      </c>
      <c r="D66" s="38"/>
      <c r="E66" s="39"/>
      <c r="F66" s="40"/>
      <c r="G66" s="37"/>
      <c r="H66" s="20" t="str">
        <f t="shared" si="32"/>
        <v/>
      </c>
      <c r="I66" s="119" t="str">
        <f t="shared" si="33"/>
        <v/>
      </c>
    </row>
    <row r="67" spans="2:9" x14ac:dyDescent="0.2">
      <c r="B67" s="12" t="str">
        <f>$B$12</f>
        <v>Chloorpyrifos-ethyl</v>
      </c>
      <c r="C67" s="20">
        <f>IF(VLOOKUP(OW_Kalibratie5[[#This Row],[Component]],Concentraties!$B$22:$L$29,7,FALSE)="","",VLOOKUP(OW_Kalibratie5[[#This Row],[Component]],Concentraties!$B$22:$L$29,7,FALSE))</f>
        <v>32.041600000000003</v>
      </c>
      <c r="D67" s="38"/>
      <c r="E67" s="39"/>
      <c r="F67" s="40"/>
      <c r="G67" s="37"/>
      <c r="H67" s="20" t="str">
        <f t="shared" si="32"/>
        <v/>
      </c>
      <c r="I67" s="119" t="str">
        <f t="shared" si="33"/>
        <v/>
      </c>
    </row>
    <row r="68" spans="2:9" x14ac:dyDescent="0.2">
      <c r="B68" s="12" t="str">
        <f>$B$13</f>
        <v>Flutianil</v>
      </c>
      <c r="C68" s="20">
        <f>IF(VLOOKUP(OW_Kalibratie5[[#This Row],[Component]],Concentraties!$B$22:$L$29,7,FALSE)="","",VLOOKUP(OW_Kalibratie5[[#This Row],[Component]],Concentraties!$B$22:$L$29,7,FALSE))</f>
        <v>31.913599999999999</v>
      </c>
      <c r="D68" s="38"/>
      <c r="E68" s="39"/>
      <c r="F68" s="40"/>
      <c r="G68" s="37"/>
      <c r="H68" s="20" t="str">
        <f t="shared" si="32"/>
        <v/>
      </c>
      <c r="I68" s="119" t="str">
        <f t="shared" si="33"/>
        <v/>
      </c>
    </row>
    <row r="69" spans="2:9" x14ac:dyDescent="0.2">
      <c r="B69" s="12" t="str">
        <f>$B$14</f>
        <v>Fosalon</v>
      </c>
      <c r="C69" s="20">
        <f>IF(VLOOKUP(OW_Kalibratie5[[#This Row],[Component]],Concentraties!$B$22:$L$29,7,FALSE)="","",VLOOKUP(OW_Kalibratie5[[#This Row],[Component]],Concentraties!$B$22:$L$29,7,FALSE))</f>
        <v>32.297600000000003</v>
      </c>
      <c r="D69" s="38"/>
      <c r="E69" s="39"/>
      <c r="F69" s="40"/>
      <c r="G69" s="37"/>
      <c r="H69" s="20" t="str">
        <f t="shared" si="32"/>
        <v/>
      </c>
      <c r="I69" s="119" t="str">
        <f t="shared" si="33"/>
        <v/>
      </c>
    </row>
    <row r="70" spans="2:9" x14ac:dyDescent="0.2">
      <c r="B70" s="12" t="str">
        <f>$B$15</f>
        <v>Penconazool</v>
      </c>
      <c r="C70" s="20">
        <f>IF(VLOOKUP(OW_Kalibratie5[[#This Row],[Component]],Concentraties!$B$22:$L$29,7,FALSE)="","",VLOOKUP(OW_Kalibratie5[[#This Row],[Component]],Concentraties!$B$22:$L$29,7,FALSE))</f>
        <v>32</v>
      </c>
      <c r="D70" s="38"/>
      <c r="E70" s="39"/>
      <c r="F70" s="40"/>
      <c r="G70" s="37"/>
      <c r="H70" s="20" t="str">
        <f t="shared" si="32"/>
        <v/>
      </c>
      <c r="I70" s="119" t="str">
        <f t="shared" si="33"/>
        <v/>
      </c>
    </row>
    <row r="71" spans="2:9" x14ac:dyDescent="0.2">
      <c r="B71" s="12" t="str">
        <f>$B$16</f>
        <v>Pyrimethanil</v>
      </c>
      <c r="C71" s="20">
        <f>IF(VLOOKUP(OW_Kalibratie5[[#This Row],[Component]],Concentraties!$B$22:$L$29,7,FALSE)="","",VLOOKUP(OW_Kalibratie5[[#This Row],[Component]],Concentraties!$B$22:$L$29,7,FALSE))</f>
        <v>32.249600000000001</v>
      </c>
      <c r="D71" s="38"/>
      <c r="E71" s="39"/>
      <c r="F71" s="40"/>
      <c r="G71" s="37"/>
      <c r="H71" s="20" t="str">
        <f t="shared" si="32"/>
        <v/>
      </c>
      <c r="I71" s="119" t="str">
        <f t="shared" si="33"/>
        <v/>
      </c>
    </row>
    <row r="72" spans="2:9" x14ac:dyDescent="0.2">
      <c r="B72" s="12" t="str">
        <f>$B$17</f>
        <v>Terbutylazine</v>
      </c>
      <c r="C72" s="20">
        <f>IF(VLOOKUP(OW_Kalibratie5[[#This Row],[Component]],Concentraties!$B$22:$L$29,7,FALSE)="","",VLOOKUP(OW_Kalibratie5[[#This Row],[Component]],Concentraties!$B$22:$L$29,7,FALSE))</f>
        <v>32.143999999999998</v>
      </c>
      <c r="D72" s="38"/>
      <c r="E72" s="39"/>
      <c r="F72" s="40"/>
      <c r="G72" s="37"/>
      <c r="H72" s="20" t="str">
        <f t="shared" si="32"/>
        <v/>
      </c>
      <c r="I72" s="119" t="str">
        <f t="shared" si="33"/>
        <v/>
      </c>
    </row>
    <row r="74" spans="2:9" ht="20.25" x14ac:dyDescent="0.3">
      <c r="B74" s="8" t="s">
        <v>141</v>
      </c>
    </row>
    <row r="75" spans="2:9" ht="39" thickBot="1" x14ac:dyDescent="0.25">
      <c r="B75" s="14" t="s">
        <v>2</v>
      </c>
      <c r="C75" s="15" t="s">
        <v>151</v>
      </c>
      <c r="D75" s="15" t="s">
        <v>3</v>
      </c>
      <c r="E75" s="15" t="s">
        <v>47</v>
      </c>
      <c r="F75" s="15" t="s">
        <v>48</v>
      </c>
      <c r="G75" s="15" t="s">
        <v>152</v>
      </c>
      <c r="H75" s="36" t="s">
        <v>4</v>
      </c>
      <c r="I75" s="117" t="s">
        <v>5</v>
      </c>
    </row>
    <row r="76" spans="2:9" ht="13.5" thickTop="1" x14ac:dyDescent="0.2">
      <c r="B76" s="13" t="str">
        <f>$B$10</f>
        <v>Alachloor</v>
      </c>
      <c r="C76" s="20" t="str">
        <f>IF(VLOOKUP(SpoelDCM_1[[#This Row],[Component]],Concentraties!$B$22:$L$29,2,FALSE)="","",VLOOKUP(SpoelDCM_1[[#This Row],[Component]],Concentraties!$B$22:$L$29,2,FALSE))</f>
        <v>-</v>
      </c>
      <c r="D76" s="37"/>
      <c r="E76" s="39"/>
      <c r="F76" s="39"/>
      <c r="G76" s="37"/>
      <c r="H76" s="20" t="str">
        <f t="shared" ref="H76:H83" si="34">IFERROR(IF(C76="-","N.v.t.",IF(G76="","",100*G76/C76)),"")</f>
        <v>N.v.t.</v>
      </c>
      <c r="I76" s="118" t="str">
        <f t="shared" ref="I76:I83" si="35">IFERROR(MIN(E76,F76)/MAX(E76,F76),"")</f>
        <v/>
      </c>
    </row>
    <row r="77" spans="2:9" x14ac:dyDescent="0.2">
      <c r="B77" s="12" t="str">
        <f>$B$11</f>
        <v>Atrazine</v>
      </c>
      <c r="C77" s="20" t="str">
        <f>IF(VLOOKUP(SpoelDCM_1[[#This Row],[Component]],Concentraties!$B$22:$L$29,2,FALSE)="","",VLOOKUP(SpoelDCM_1[[#This Row],[Component]],Concentraties!$B$22:$L$29,2,FALSE))</f>
        <v>-</v>
      </c>
      <c r="D77" s="38"/>
      <c r="E77" s="40"/>
      <c r="F77" s="40"/>
      <c r="G77" s="37"/>
      <c r="H77" s="20" t="str">
        <f t="shared" si="34"/>
        <v>N.v.t.</v>
      </c>
      <c r="I77" s="119" t="str">
        <f t="shared" si="35"/>
        <v/>
      </c>
    </row>
    <row r="78" spans="2:9" x14ac:dyDescent="0.2">
      <c r="B78" s="12" t="str">
        <f>$B$12</f>
        <v>Chloorpyrifos-ethyl</v>
      </c>
      <c r="C78" s="20" t="str">
        <f>IF(VLOOKUP(SpoelDCM_1[[#This Row],[Component]],Concentraties!$B$22:$L$29,2,FALSE)="","",VLOOKUP(SpoelDCM_1[[#This Row],[Component]],Concentraties!$B$22:$L$29,2,FALSE))</f>
        <v>-</v>
      </c>
      <c r="D78" s="38"/>
      <c r="E78" s="40"/>
      <c r="F78" s="40"/>
      <c r="G78" s="37"/>
      <c r="H78" s="20" t="str">
        <f t="shared" si="34"/>
        <v>N.v.t.</v>
      </c>
      <c r="I78" s="119" t="str">
        <f t="shared" si="35"/>
        <v/>
      </c>
    </row>
    <row r="79" spans="2:9" x14ac:dyDescent="0.2">
      <c r="B79" s="12" t="str">
        <f>$B$13</f>
        <v>Flutianil</v>
      </c>
      <c r="C79" s="20" t="str">
        <f>IF(VLOOKUP(SpoelDCM_1[[#This Row],[Component]],Concentraties!$B$22:$L$29,2,FALSE)="","",VLOOKUP(SpoelDCM_1[[#This Row],[Component]],Concentraties!$B$22:$L$29,2,FALSE))</f>
        <v>-</v>
      </c>
      <c r="D79" s="38"/>
      <c r="E79" s="40"/>
      <c r="F79" s="40"/>
      <c r="G79" s="37"/>
      <c r="H79" s="20" t="str">
        <f t="shared" si="34"/>
        <v>N.v.t.</v>
      </c>
      <c r="I79" s="119" t="str">
        <f t="shared" si="35"/>
        <v/>
      </c>
    </row>
    <row r="80" spans="2:9" x14ac:dyDescent="0.2">
      <c r="B80" s="12" t="str">
        <f>$B$14</f>
        <v>Fosalon</v>
      </c>
      <c r="C80" s="20" t="str">
        <f>IF(VLOOKUP(SpoelDCM_1[[#This Row],[Component]],Concentraties!$B$22:$L$29,2,FALSE)="","",VLOOKUP(SpoelDCM_1[[#This Row],[Component]],Concentraties!$B$22:$L$29,2,FALSE))</f>
        <v>-</v>
      </c>
      <c r="D80" s="38"/>
      <c r="E80" s="40"/>
      <c r="F80" s="40"/>
      <c r="G80" s="37"/>
      <c r="H80" s="20" t="str">
        <f t="shared" si="34"/>
        <v>N.v.t.</v>
      </c>
      <c r="I80" s="119" t="str">
        <f t="shared" si="35"/>
        <v/>
      </c>
    </row>
    <row r="81" spans="2:10" x14ac:dyDescent="0.2">
      <c r="B81" s="12" t="str">
        <f>$B$15</f>
        <v>Penconazool</v>
      </c>
      <c r="C81" s="20" t="str">
        <f>IF(VLOOKUP(SpoelDCM_1[[#This Row],[Component]],Concentraties!$B$22:$L$29,2,FALSE)="","",VLOOKUP(SpoelDCM_1[[#This Row],[Component]],Concentraties!$B$22:$L$29,2,FALSE))</f>
        <v>-</v>
      </c>
      <c r="D81" s="38"/>
      <c r="E81" s="40"/>
      <c r="F81" s="40"/>
      <c r="G81" s="37"/>
      <c r="H81" s="20" t="str">
        <f t="shared" si="34"/>
        <v>N.v.t.</v>
      </c>
      <c r="I81" s="119" t="str">
        <f t="shared" si="35"/>
        <v/>
      </c>
    </row>
    <row r="82" spans="2:10" x14ac:dyDescent="0.2">
      <c r="B82" s="12" t="str">
        <f>$B$16</f>
        <v>Pyrimethanil</v>
      </c>
      <c r="C82" s="20" t="str">
        <f>IF(VLOOKUP(SpoelDCM_1[[#This Row],[Component]],Concentraties!$B$22:$L$29,2,FALSE)="","",VLOOKUP(SpoelDCM_1[[#This Row],[Component]],Concentraties!$B$22:$L$29,2,FALSE))</f>
        <v>-</v>
      </c>
      <c r="D82" s="38"/>
      <c r="E82" s="40"/>
      <c r="F82" s="40"/>
      <c r="G82" s="37"/>
      <c r="H82" s="20" t="str">
        <f t="shared" si="34"/>
        <v>N.v.t.</v>
      </c>
      <c r="I82" s="119" t="str">
        <f t="shared" si="35"/>
        <v/>
      </c>
    </row>
    <row r="83" spans="2:10" x14ac:dyDescent="0.2">
      <c r="B83" s="12" t="str">
        <f>$B$17</f>
        <v>Terbutylazine</v>
      </c>
      <c r="C83" s="20" t="str">
        <f>IF(VLOOKUP(SpoelDCM_1[[#This Row],[Component]],Concentraties!$B$22:$L$29,2,FALSE)="","",VLOOKUP(SpoelDCM_1[[#This Row],[Component]],Concentraties!$B$22:$L$29,2,FALSE))</f>
        <v>-</v>
      </c>
      <c r="D83" s="38"/>
      <c r="E83" s="40"/>
      <c r="F83" s="40"/>
      <c r="G83" s="37"/>
      <c r="H83" s="20" t="str">
        <f t="shared" si="34"/>
        <v>N.v.t.</v>
      </c>
      <c r="I83" s="119" t="str">
        <f t="shared" si="35"/>
        <v/>
      </c>
    </row>
    <row r="85" spans="2:10" ht="20.25" x14ac:dyDescent="0.3">
      <c r="B85" s="8" t="s">
        <v>142</v>
      </c>
    </row>
    <row r="86" spans="2:10" ht="39" thickBot="1" x14ac:dyDescent="0.25">
      <c r="B86" s="14" t="s">
        <v>2</v>
      </c>
      <c r="C86" s="15" t="s">
        <v>151</v>
      </c>
      <c r="D86" s="15" t="s">
        <v>3</v>
      </c>
      <c r="E86" s="15" t="s">
        <v>47</v>
      </c>
      <c r="F86" s="15" t="s">
        <v>48</v>
      </c>
      <c r="G86" s="15" t="s">
        <v>152</v>
      </c>
      <c r="H86" s="36" t="s">
        <v>4</v>
      </c>
      <c r="I86" s="117" t="s">
        <v>5</v>
      </c>
    </row>
    <row r="87" spans="2:10" ht="13.5" thickTop="1" x14ac:dyDescent="0.2">
      <c r="B87" s="13" t="str">
        <f>$B$10</f>
        <v>Alachloor</v>
      </c>
      <c r="C87" s="20" t="str">
        <f>IF(VLOOKUP(BlancoDCM[[#This Row],[Component]],Concentraties!$B$22:$L$29,2,FALSE)="","",VLOOKUP(BlancoDCM[[#This Row],[Component]],Concentraties!$B$22:$L$29,2,FALSE))</f>
        <v>-</v>
      </c>
      <c r="D87" s="37"/>
      <c r="E87" s="39"/>
      <c r="F87" s="39"/>
      <c r="G87" s="37"/>
      <c r="H87" s="20" t="str">
        <f t="shared" ref="H87:H94" si="36">IFERROR(IF(C87="-","N.v.t.",IF(G87="","",100*G87/C87)),"")</f>
        <v>N.v.t.</v>
      </c>
      <c r="I87" s="118" t="str">
        <f t="shared" ref="I87:I94" si="37">IFERROR(MIN(E87,F87)/MAX(E87,F87),"")</f>
        <v/>
      </c>
    </row>
    <row r="88" spans="2:10" x14ac:dyDescent="0.2">
      <c r="B88" s="12" t="str">
        <f>$B$11</f>
        <v>Atrazine</v>
      </c>
      <c r="C88" s="20" t="str">
        <f>IF(VLOOKUP(BlancoDCM[[#This Row],[Component]],Concentraties!$B$22:$L$29,2,FALSE)="","",VLOOKUP(BlancoDCM[[#This Row],[Component]],Concentraties!$B$22:$L$29,2,FALSE))</f>
        <v>-</v>
      </c>
      <c r="D88" s="38"/>
      <c r="E88" s="40"/>
      <c r="F88" s="40"/>
      <c r="G88" s="37"/>
      <c r="H88" s="20" t="str">
        <f t="shared" si="36"/>
        <v>N.v.t.</v>
      </c>
      <c r="I88" s="119" t="str">
        <f t="shared" si="37"/>
        <v/>
      </c>
    </row>
    <row r="89" spans="2:10" x14ac:dyDescent="0.2">
      <c r="B89" s="12" t="str">
        <f>$B$12</f>
        <v>Chloorpyrifos-ethyl</v>
      </c>
      <c r="C89" s="20" t="str">
        <f>IF(VLOOKUP(BlancoDCM[[#This Row],[Component]],Concentraties!$B$22:$L$29,2,FALSE)="","",VLOOKUP(BlancoDCM[[#This Row],[Component]],Concentraties!$B$22:$L$29,2,FALSE))</f>
        <v>-</v>
      </c>
      <c r="D89" s="38"/>
      <c r="E89" s="40"/>
      <c r="F89" s="40"/>
      <c r="G89" s="37"/>
      <c r="H89" s="20" t="str">
        <f t="shared" si="36"/>
        <v>N.v.t.</v>
      </c>
      <c r="I89" s="119" t="str">
        <f t="shared" si="37"/>
        <v/>
      </c>
    </row>
    <row r="90" spans="2:10" x14ac:dyDescent="0.2">
      <c r="B90" s="12" t="str">
        <f>$B$13</f>
        <v>Flutianil</v>
      </c>
      <c r="C90" s="20" t="str">
        <f>IF(VLOOKUP(BlancoDCM[[#This Row],[Component]],Concentraties!$B$22:$L$29,2,FALSE)="","",VLOOKUP(BlancoDCM[[#This Row],[Component]],Concentraties!$B$22:$L$29,2,FALSE))</f>
        <v>-</v>
      </c>
      <c r="D90" s="38"/>
      <c r="E90" s="40"/>
      <c r="F90" s="40"/>
      <c r="G90" s="37"/>
      <c r="H90" s="20" t="str">
        <f t="shared" si="36"/>
        <v>N.v.t.</v>
      </c>
      <c r="I90" s="119" t="str">
        <f t="shared" si="37"/>
        <v/>
      </c>
    </row>
    <row r="91" spans="2:10" x14ac:dyDescent="0.2">
      <c r="B91" s="12" t="str">
        <f>$B$14</f>
        <v>Fosalon</v>
      </c>
      <c r="C91" s="20" t="str">
        <f>IF(VLOOKUP(BlancoDCM[[#This Row],[Component]],Concentraties!$B$22:$L$29,2,FALSE)="","",VLOOKUP(BlancoDCM[[#This Row],[Component]],Concentraties!$B$22:$L$29,2,FALSE))</f>
        <v>-</v>
      </c>
      <c r="D91" s="38"/>
      <c r="E91" s="40"/>
      <c r="F91" s="40"/>
      <c r="G91" s="37"/>
      <c r="H91" s="20" t="str">
        <f t="shared" si="36"/>
        <v>N.v.t.</v>
      </c>
      <c r="I91" s="119" t="str">
        <f t="shared" si="37"/>
        <v/>
      </c>
    </row>
    <row r="92" spans="2:10" x14ac:dyDescent="0.2">
      <c r="B92" s="12" t="str">
        <f>$B$15</f>
        <v>Penconazool</v>
      </c>
      <c r="C92" s="20" t="str">
        <f>IF(VLOOKUP(BlancoDCM[[#This Row],[Component]],Concentraties!$B$22:$L$29,2,FALSE)="","",VLOOKUP(BlancoDCM[[#This Row],[Component]],Concentraties!$B$22:$L$29,2,FALSE))</f>
        <v>-</v>
      </c>
      <c r="D92" s="38"/>
      <c r="E92" s="40"/>
      <c r="F92" s="40"/>
      <c r="G92" s="37"/>
      <c r="H92" s="20" t="str">
        <f t="shared" si="36"/>
        <v>N.v.t.</v>
      </c>
      <c r="I92" s="119" t="str">
        <f t="shared" si="37"/>
        <v/>
      </c>
    </row>
    <row r="93" spans="2:10" x14ac:dyDescent="0.2">
      <c r="B93" s="12" t="str">
        <f>$B$16</f>
        <v>Pyrimethanil</v>
      </c>
      <c r="C93" s="20" t="str">
        <f>IF(VLOOKUP(BlancoDCM[[#This Row],[Component]],Concentraties!$B$22:$L$29,2,FALSE)="","",VLOOKUP(BlancoDCM[[#This Row],[Component]],Concentraties!$B$22:$L$29,2,FALSE))</f>
        <v>-</v>
      </c>
      <c r="D93" s="38"/>
      <c r="E93" s="40"/>
      <c r="F93" s="40"/>
      <c r="G93" s="37"/>
      <c r="H93" s="20" t="str">
        <f t="shared" si="36"/>
        <v>N.v.t.</v>
      </c>
      <c r="I93" s="119" t="str">
        <f t="shared" si="37"/>
        <v/>
      </c>
    </row>
    <row r="94" spans="2:10" x14ac:dyDescent="0.2">
      <c r="B94" s="12" t="str">
        <f>$B$17</f>
        <v>Terbutylazine</v>
      </c>
      <c r="C94" s="20" t="str">
        <f>IF(VLOOKUP(BlancoDCM[[#This Row],[Component]],Concentraties!$B$22:$L$29,2,FALSE)="","",VLOOKUP(BlancoDCM[[#This Row],[Component]],Concentraties!$B$22:$L$29,2,FALSE))</f>
        <v>-</v>
      </c>
      <c r="D94" s="38"/>
      <c r="E94" s="40"/>
      <c r="F94" s="40"/>
      <c r="G94" s="37"/>
      <c r="H94" s="20" t="str">
        <f t="shared" si="36"/>
        <v>N.v.t.</v>
      </c>
      <c r="I94" s="119" t="str">
        <f t="shared" si="37"/>
        <v/>
      </c>
    </row>
    <row r="95" spans="2:10" x14ac:dyDescent="0.2">
      <c r="B95" s="10"/>
      <c r="C95" s="11"/>
      <c r="D95" s="11"/>
      <c r="E95" s="11"/>
      <c r="F95" s="11"/>
      <c r="G95" s="11"/>
      <c r="H95" s="68"/>
      <c r="I95" s="120"/>
      <c r="J95" s="65"/>
    </row>
    <row r="96" spans="2:10" ht="20.25" x14ac:dyDescent="0.3">
      <c r="B96" s="8" t="s">
        <v>98</v>
      </c>
    </row>
    <row r="97" spans="2:10" ht="39" thickBot="1" x14ac:dyDescent="0.25">
      <c r="B97" s="14" t="s">
        <v>2</v>
      </c>
      <c r="C97" s="15" t="s">
        <v>151</v>
      </c>
      <c r="D97" s="15" t="s">
        <v>3</v>
      </c>
      <c r="E97" s="15" t="s">
        <v>47</v>
      </c>
      <c r="F97" s="15" t="s">
        <v>48</v>
      </c>
      <c r="G97" s="15" t="s">
        <v>152</v>
      </c>
      <c r="H97" s="36" t="s">
        <v>4</v>
      </c>
      <c r="I97" s="117" t="s">
        <v>5</v>
      </c>
    </row>
    <row r="98" spans="2:10" ht="13.5" thickTop="1" x14ac:dyDescent="0.2">
      <c r="B98" s="13" t="str">
        <f>$B$10</f>
        <v>Alachloor</v>
      </c>
      <c r="C98" s="25" t="str">
        <f>IF(VLOOKUP(OW_BLM_1[[#This Row],[Component]],Concentraties!$B$22:$L$29,2,FALSE)="","",VLOOKUP(OW_BLM_1[[#This Row],[Component]],Concentraties!$B$22:$L$29,2,FALSE))</f>
        <v>-</v>
      </c>
      <c r="D98" s="37"/>
      <c r="E98" s="39"/>
      <c r="F98" s="39"/>
      <c r="G98" s="37"/>
      <c r="H98" s="20" t="str">
        <f t="shared" ref="H98:H105" si="38">IFERROR(IF(C98="-","N.v.t.",IF(G98="","",100*G98/C98)),"")</f>
        <v>N.v.t.</v>
      </c>
      <c r="I98" s="118" t="str">
        <f t="shared" ref="I98:I105" si="39">IFERROR(MIN(E98,F98)/MAX(E98,F98),"")</f>
        <v/>
      </c>
    </row>
    <row r="99" spans="2:10" x14ac:dyDescent="0.2">
      <c r="B99" s="12" t="str">
        <f>$B$11</f>
        <v>Atrazine</v>
      </c>
      <c r="C99" s="25" t="str">
        <f>IF(VLOOKUP(OW_BLM_1[[#This Row],[Component]],Concentraties!$B$22:$L$29,2,FALSE)="","",VLOOKUP(OW_BLM_1[[#This Row],[Component]],Concentraties!$B$22:$L$29,2,FALSE))</f>
        <v>-</v>
      </c>
      <c r="D99" s="38"/>
      <c r="E99" s="40"/>
      <c r="F99" s="40"/>
      <c r="G99" s="37"/>
      <c r="H99" s="20" t="str">
        <f t="shared" si="38"/>
        <v>N.v.t.</v>
      </c>
      <c r="I99" s="119" t="str">
        <f t="shared" si="39"/>
        <v/>
      </c>
    </row>
    <row r="100" spans="2:10" x14ac:dyDescent="0.2">
      <c r="B100" s="12" t="str">
        <f>$B$12</f>
        <v>Chloorpyrifos-ethyl</v>
      </c>
      <c r="C100" s="25" t="str">
        <f>IF(VLOOKUP(OW_BLM_1[[#This Row],[Component]],Concentraties!$B$22:$L$29,2,FALSE)="","",VLOOKUP(OW_BLM_1[[#This Row],[Component]],Concentraties!$B$22:$L$29,2,FALSE))</f>
        <v>-</v>
      </c>
      <c r="D100" s="38"/>
      <c r="E100" s="40"/>
      <c r="F100" s="40"/>
      <c r="G100" s="37"/>
      <c r="H100" s="20" t="str">
        <f t="shared" si="38"/>
        <v>N.v.t.</v>
      </c>
      <c r="I100" s="119" t="str">
        <f t="shared" si="39"/>
        <v/>
      </c>
    </row>
    <row r="101" spans="2:10" x14ac:dyDescent="0.2">
      <c r="B101" s="12" t="str">
        <f>$B$13</f>
        <v>Flutianil</v>
      </c>
      <c r="C101" s="25" t="str">
        <f>IF(VLOOKUP(OW_BLM_1[[#This Row],[Component]],Concentraties!$B$22:$L$29,2,FALSE)="","",VLOOKUP(OW_BLM_1[[#This Row],[Component]],Concentraties!$B$22:$L$29,2,FALSE))</f>
        <v>-</v>
      </c>
      <c r="D101" s="38"/>
      <c r="E101" s="40"/>
      <c r="F101" s="40"/>
      <c r="G101" s="37"/>
      <c r="H101" s="20" t="str">
        <f t="shared" si="38"/>
        <v>N.v.t.</v>
      </c>
      <c r="I101" s="119" t="str">
        <f t="shared" si="39"/>
        <v/>
      </c>
    </row>
    <row r="102" spans="2:10" x14ac:dyDescent="0.2">
      <c r="B102" s="12" t="str">
        <f>$B$14</f>
        <v>Fosalon</v>
      </c>
      <c r="C102" s="25" t="str">
        <f>IF(VLOOKUP(OW_BLM_1[[#This Row],[Component]],Concentraties!$B$22:$L$29,2,FALSE)="","",VLOOKUP(OW_BLM_1[[#This Row],[Component]],Concentraties!$B$22:$L$29,2,FALSE))</f>
        <v>-</v>
      </c>
      <c r="D102" s="38"/>
      <c r="E102" s="40"/>
      <c r="F102" s="40"/>
      <c r="G102" s="37"/>
      <c r="H102" s="20" t="str">
        <f t="shared" si="38"/>
        <v>N.v.t.</v>
      </c>
      <c r="I102" s="119" t="str">
        <f t="shared" si="39"/>
        <v/>
      </c>
    </row>
    <row r="103" spans="2:10" x14ac:dyDescent="0.2">
      <c r="B103" s="12" t="str">
        <f>$B$15</f>
        <v>Penconazool</v>
      </c>
      <c r="C103" s="25" t="str">
        <f>IF(VLOOKUP(OW_BLM_1[[#This Row],[Component]],Concentraties!$B$22:$L$29,2,FALSE)="","",VLOOKUP(OW_BLM_1[[#This Row],[Component]],Concentraties!$B$22:$L$29,2,FALSE))</f>
        <v>-</v>
      </c>
      <c r="D103" s="38"/>
      <c r="E103" s="40"/>
      <c r="F103" s="40"/>
      <c r="G103" s="37"/>
      <c r="H103" s="20" t="str">
        <f t="shared" si="38"/>
        <v>N.v.t.</v>
      </c>
      <c r="I103" s="119" t="str">
        <f t="shared" si="39"/>
        <v/>
      </c>
    </row>
    <row r="104" spans="2:10" x14ac:dyDescent="0.2">
      <c r="B104" s="12" t="str">
        <f>$B$16</f>
        <v>Pyrimethanil</v>
      </c>
      <c r="C104" s="25" t="str">
        <f>IF(VLOOKUP(OW_BLM_1[[#This Row],[Component]],Concentraties!$B$22:$L$29,2,FALSE)="","",VLOOKUP(OW_BLM_1[[#This Row],[Component]],Concentraties!$B$22:$L$29,2,FALSE))</f>
        <v>-</v>
      </c>
      <c r="D104" s="38"/>
      <c r="E104" s="40"/>
      <c r="F104" s="40"/>
      <c r="G104" s="37"/>
      <c r="H104" s="20" t="str">
        <f t="shared" si="38"/>
        <v>N.v.t.</v>
      </c>
      <c r="I104" s="119" t="str">
        <f t="shared" si="39"/>
        <v/>
      </c>
    </row>
    <row r="105" spans="2:10" x14ac:dyDescent="0.2">
      <c r="B105" s="12" t="str">
        <f>$B$17</f>
        <v>Terbutylazine</v>
      </c>
      <c r="C105" s="25" t="str">
        <f>IF(VLOOKUP(OW_BLM_1[[#This Row],[Component]],Concentraties!$B$22:$L$29,2,FALSE)="","",VLOOKUP(OW_BLM_1[[#This Row],[Component]],Concentraties!$B$22:$L$29,2,FALSE))</f>
        <v>-</v>
      </c>
      <c r="D105" s="38"/>
      <c r="E105" s="40"/>
      <c r="F105" s="40"/>
      <c r="G105" s="37"/>
      <c r="H105" s="20" t="str">
        <f t="shared" si="38"/>
        <v>N.v.t.</v>
      </c>
      <c r="I105" s="119" t="str">
        <f t="shared" si="39"/>
        <v/>
      </c>
    </row>
    <row r="106" spans="2:10" x14ac:dyDescent="0.2">
      <c r="B106" s="10"/>
      <c r="C106" s="11"/>
      <c r="D106" s="11"/>
      <c r="E106" s="11"/>
      <c r="F106" s="11"/>
      <c r="G106" s="11"/>
      <c r="H106" s="68"/>
      <c r="I106" s="120"/>
      <c r="J106" s="65"/>
    </row>
    <row r="107" spans="2:10" ht="20.25" x14ac:dyDescent="0.3">
      <c r="B107" s="8" t="s">
        <v>173</v>
      </c>
    </row>
    <row r="108" spans="2:10" ht="39" thickBot="1" x14ac:dyDescent="0.25">
      <c r="B108" s="14" t="s">
        <v>2</v>
      </c>
      <c r="C108" s="15" t="s">
        <v>151</v>
      </c>
      <c r="D108" s="15" t="s">
        <v>3</v>
      </c>
      <c r="E108" s="15" t="s">
        <v>47</v>
      </c>
      <c r="F108" s="15" t="s">
        <v>48</v>
      </c>
      <c r="G108" s="15" t="s">
        <v>152</v>
      </c>
      <c r="H108" s="36" t="s">
        <v>4</v>
      </c>
      <c r="I108" s="117" t="s">
        <v>5</v>
      </c>
    </row>
    <row r="109" spans="2:10" ht="13.5" thickTop="1" x14ac:dyDescent="0.2">
      <c r="B109" s="13" t="str">
        <f>$B$10</f>
        <v>Alachloor</v>
      </c>
      <c r="C109" s="20" t="str">
        <f>IF(VLOOKUP(OW_CM_1[[#This Row],[Component]],Concentraties!$B$22:$L$29,8,FALSE)="","",VLOOKUP(OW_CM_1[[#This Row],[Component]],Concentraties!$B$22:$L$29,8,FALSE))</f>
        <v/>
      </c>
      <c r="D109" s="37"/>
      <c r="E109" s="39"/>
      <c r="F109" s="39"/>
      <c r="G109" s="37"/>
      <c r="H109" s="20" t="str">
        <f t="shared" ref="H109:H116" si="40">IFERROR(IF(C109="-","N.v.t.",IF(G109="","",100*G109/C109)),"")</f>
        <v/>
      </c>
      <c r="I109" s="118" t="str">
        <f t="shared" ref="I109:I116" si="41">IFERROR(MIN(E109,F109)/MAX(E109,F109),"")</f>
        <v/>
      </c>
    </row>
    <row r="110" spans="2:10" x14ac:dyDescent="0.2">
      <c r="B110" s="12" t="str">
        <f>$B$11</f>
        <v>Atrazine</v>
      </c>
      <c r="C110" s="20" t="str">
        <f>IF(VLOOKUP(OW_CM_1[[#This Row],[Component]],Concentraties!$B$22:$L$29,8,FALSE)="","",VLOOKUP(OW_CM_1[[#This Row],[Component]],Concentraties!$B$22:$L$29,8,FALSE))</f>
        <v/>
      </c>
      <c r="D110" s="38"/>
      <c r="E110" s="40"/>
      <c r="F110" s="40"/>
      <c r="G110" s="37"/>
      <c r="H110" s="20" t="str">
        <f t="shared" si="40"/>
        <v/>
      </c>
      <c r="I110" s="119" t="str">
        <f t="shared" si="41"/>
        <v/>
      </c>
    </row>
    <row r="111" spans="2:10" x14ac:dyDescent="0.2">
      <c r="B111" s="12" t="str">
        <f>$B$12</f>
        <v>Chloorpyrifos-ethyl</v>
      </c>
      <c r="C111" s="20" t="str">
        <f>IF(VLOOKUP(OW_CM_1[[#This Row],[Component]],Concentraties!$B$22:$L$29,8,FALSE)="","",VLOOKUP(OW_CM_1[[#This Row],[Component]],Concentraties!$B$22:$L$29,8,FALSE))</f>
        <v/>
      </c>
      <c r="D111" s="38"/>
      <c r="E111" s="40"/>
      <c r="F111" s="40"/>
      <c r="G111" s="37"/>
      <c r="H111" s="20" t="str">
        <f t="shared" si="40"/>
        <v/>
      </c>
      <c r="I111" s="119" t="str">
        <f t="shared" si="41"/>
        <v/>
      </c>
    </row>
    <row r="112" spans="2:10" x14ac:dyDescent="0.2">
      <c r="B112" s="12" t="str">
        <f>$B$13</f>
        <v>Flutianil</v>
      </c>
      <c r="C112" s="20" t="str">
        <f>IF(VLOOKUP(OW_CM_1[[#This Row],[Component]],Concentraties!$B$22:$L$29,8,FALSE)="","",VLOOKUP(OW_CM_1[[#This Row],[Component]],Concentraties!$B$22:$L$29,8,FALSE))</f>
        <v/>
      </c>
      <c r="D112" s="38"/>
      <c r="E112" s="40"/>
      <c r="F112" s="40"/>
      <c r="G112" s="37"/>
      <c r="H112" s="20" t="str">
        <f t="shared" si="40"/>
        <v/>
      </c>
      <c r="I112" s="119" t="str">
        <f t="shared" si="41"/>
        <v/>
      </c>
    </row>
    <row r="113" spans="2:10" x14ac:dyDescent="0.2">
      <c r="B113" s="12" t="str">
        <f>$B$14</f>
        <v>Fosalon</v>
      </c>
      <c r="C113" s="20" t="str">
        <f>IF(VLOOKUP(OW_CM_1[[#This Row],[Component]],Concentraties!$B$22:$L$29,8,FALSE)="","",VLOOKUP(OW_CM_1[[#This Row],[Component]],Concentraties!$B$22:$L$29,8,FALSE))</f>
        <v/>
      </c>
      <c r="D113" s="38"/>
      <c r="E113" s="40"/>
      <c r="F113" s="40"/>
      <c r="G113" s="37"/>
      <c r="H113" s="20" t="str">
        <f t="shared" si="40"/>
        <v/>
      </c>
      <c r="I113" s="119" t="str">
        <f t="shared" si="41"/>
        <v/>
      </c>
    </row>
    <row r="114" spans="2:10" x14ac:dyDescent="0.2">
      <c r="B114" s="12" t="str">
        <f>$B$15</f>
        <v>Penconazool</v>
      </c>
      <c r="C114" s="20" t="str">
        <f>IF(VLOOKUP(OW_CM_1[[#This Row],[Component]],Concentraties!$B$22:$L$29,8,FALSE)="","",VLOOKUP(OW_CM_1[[#This Row],[Component]],Concentraties!$B$22:$L$29,8,FALSE))</f>
        <v/>
      </c>
      <c r="D114" s="38"/>
      <c r="E114" s="40"/>
      <c r="F114" s="40"/>
      <c r="G114" s="37"/>
      <c r="H114" s="20" t="str">
        <f t="shared" si="40"/>
        <v/>
      </c>
      <c r="I114" s="119" t="str">
        <f t="shared" si="41"/>
        <v/>
      </c>
    </row>
    <row r="115" spans="2:10" x14ac:dyDescent="0.2">
      <c r="B115" s="12" t="str">
        <f>$B$16</f>
        <v>Pyrimethanil</v>
      </c>
      <c r="C115" s="20" t="str">
        <f>IF(VLOOKUP(OW_CM_1[[#This Row],[Component]],Concentraties!$B$22:$L$29,8,FALSE)="","",VLOOKUP(OW_CM_1[[#This Row],[Component]],Concentraties!$B$22:$L$29,8,FALSE))</f>
        <v/>
      </c>
      <c r="D115" s="38"/>
      <c r="E115" s="40"/>
      <c r="F115" s="40"/>
      <c r="G115" s="37"/>
      <c r="H115" s="20" t="str">
        <f t="shared" si="40"/>
        <v/>
      </c>
      <c r="I115" s="119" t="str">
        <f t="shared" si="41"/>
        <v/>
      </c>
    </row>
    <row r="116" spans="2:10" x14ac:dyDescent="0.2">
      <c r="B116" s="12" t="str">
        <f>$B$17</f>
        <v>Terbutylazine</v>
      </c>
      <c r="C116" s="20" t="str">
        <f>IF(VLOOKUP(OW_CM_1[[#This Row],[Component]],Concentraties!$B$22:$L$29,8,FALSE)="","",VLOOKUP(OW_CM_1[[#This Row],[Component]],Concentraties!$B$22:$L$29,8,FALSE))</f>
        <v/>
      </c>
      <c r="D116" s="38"/>
      <c r="E116" s="40"/>
      <c r="F116" s="40"/>
      <c r="G116" s="37"/>
      <c r="H116" s="20" t="str">
        <f t="shared" si="40"/>
        <v/>
      </c>
      <c r="I116" s="119" t="str">
        <f t="shared" si="41"/>
        <v/>
      </c>
    </row>
    <row r="117" spans="2:10" x14ac:dyDescent="0.2">
      <c r="B117" s="10"/>
      <c r="C117" s="11"/>
      <c r="J117" s="65"/>
    </row>
    <row r="118" spans="2:10" ht="20.25" x14ac:dyDescent="0.3">
      <c r="B118" s="8" t="s">
        <v>174</v>
      </c>
    </row>
    <row r="119" spans="2:10" ht="39" thickBot="1" x14ac:dyDescent="0.25">
      <c r="B119" s="14" t="s">
        <v>2</v>
      </c>
      <c r="C119" s="15" t="s">
        <v>151</v>
      </c>
      <c r="D119" s="15" t="s">
        <v>3</v>
      </c>
      <c r="E119" s="15" t="s">
        <v>47</v>
      </c>
      <c r="F119" s="15" t="s">
        <v>48</v>
      </c>
      <c r="G119" s="15" t="s">
        <v>152</v>
      </c>
      <c r="H119" s="36" t="s">
        <v>4</v>
      </c>
      <c r="I119" s="117" t="s">
        <v>5</v>
      </c>
    </row>
    <row r="120" spans="2:10" ht="13.5" thickTop="1" x14ac:dyDescent="0.2">
      <c r="B120" s="13" t="str">
        <f>$B$10</f>
        <v>Alachloor</v>
      </c>
      <c r="C120" s="20" t="str">
        <f>IF(VLOOKUP(OW_CM_2[[#This Row],[Component]],Concentraties!$B$22:$L$29,8,FALSE)="","",VLOOKUP(OW_CM_2[[#This Row],[Component]],Concentraties!$B$22:$L$29,8,FALSE))</f>
        <v/>
      </c>
      <c r="D120" s="37"/>
      <c r="E120" s="39"/>
      <c r="F120" s="39"/>
      <c r="G120" s="37"/>
      <c r="H120" s="20" t="str">
        <f t="shared" ref="H120:H127" si="42">IFERROR(IF(C120="-","N.v.t.",IF(G120="","",100*G120/C120)),"")</f>
        <v/>
      </c>
      <c r="I120" s="118" t="str">
        <f t="shared" ref="I120:I127" si="43">IFERROR(MIN(E120,F120)/MAX(E120,F120),"")</f>
        <v/>
      </c>
    </row>
    <row r="121" spans="2:10" x14ac:dyDescent="0.2">
      <c r="B121" s="12" t="str">
        <f>$B$11</f>
        <v>Atrazine</v>
      </c>
      <c r="C121" s="20" t="str">
        <f>IF(VLOOKUP(OW_CM_2[[#This Row],[Component]],Concentraties!$B$22:$L$29,8,FALSE)="","",VLOOKUP(OW_CM_2[[#This Row],[Component]],Concentraties!$B$22:$L$29,8,FALSE))</f>
        <v/>
      </c>
      <c r="D121" s="38"/>
      <c r="E121" s="40"/>
      <c r="F121" s="40"/>
      <c r="G121" s="37"/>
      <c r="H121" s="20" t="str">
        <f t="shared" si="42"/>
        <v/>
      </c>
      <c r="I121" s="119" t="str">
        <f t="shared" si="43"/>
        <v/>
      </c>
    </row>
    <row r="122" spans="2:10" x14ac:dyDescent="0.2">
      <c r="B122" s="12" t="str">
        <f>$B$12</f>
        <v>Chloorpyrifos-ethyl</v>
      </c>
      <c r="C122" s="20" t="str">
        <f>IF(VLOOKUP(OW_CM_2[[#This Row],[Component]],Concentraties!$B$22:$L$29,8,FALSE)="","",VLOOKUP(OW_CM_2[[#This Row],[Component]],Concentraties!$B$22:$L$29,8,FALSE))</f>
        <v/>
      </c>
      <c r="D122" s="38"/>
      <c r="E122" s="40"/>
      <c r="F122" s="40"/>
      <c r="G122" s="37"/>
      <c r="H122" s="20" t="str">
        <f t="shared" si="42"/>
        <v/>
      </c>
      <c r="I122" s="119" t="str">
        <f t="shared" si="43"/>
        <v/>
      </c>
    </row>
    <row r="123" spans="2:10" x14ac:dyDescent="0.2">
      <c r="B123" s="12" t="str">
        <f>$B$13</f>
        <v>Flutianil</v>
      </c>
      <c r="C123" s="20" t="str">
        <f>IF(VLOOKUP(OW_CM_2[[#This Row],[Component]],Concentraties!$B$22:$L$29,8,FALSE)="","",VLOOKUP(OW_CM_2[[#This Row],[Component]],Concentraties!$B$22:$L$29,8,FALSE))</f>
        <v/>
      </c>
      <c r="D123" s="38"/>
      <c r="E123" s="40"/>
      <c r="F123" s="40"/>
      <c r="G123" s="37"/>
      <c r="H123" s="20" t="str">
        <f t="shared" si="42"/>
        <v/>
      </c>
      <c r="I123" s="119" t="str">
        <f t="shared" si="43"/>
        <v/>
      </c>
    </row>
    <row r="124" spans="2:10" x14ac:dyDescent="0.2">
      <c r="B124" s="12" t="str">
        <f>$B$14</f>
        <v>Fosalon</v>
      </c>
      <c r="C124" s="20" t="str">
        <f>IF(VLOOKUP(OW_CM_2[[#This Row],[Component]],Concentraties!$B$22:$L$29,8,FALSE)="","",VLOOKUP(OW_CM_2[[#This Row],[Component]],Concentraties!$B$22:$L$29,8,FALSE))</f>
        <v/>
      </c>
      <c r="D124" s="38"/>
      <c r="E124" s="40"/>
      <c r="F124" s="40"/>
      <c r="G124" s="37"/>
      <c r="H124" s="20" t="str">
        <f t="shared" si="42"/>
        <v/>
      </c>
      <c r="I124" s="119" t="str">
        <f t="shared" si="43"/>
        <v/>
      </c>
    </row>
    <row r="125" spans="2:10" x14ac:dyDescent="0.2">
      <c r="B125" s="12" t="str">
        <f>$B$15</f>
        <v>Penconazool</v>
      </c>
      <c r="C125" s="20" t="str">
        <f>IF(VLOOKUP(OW_CM_2[[#This Row],[Component]],Concentraties!$B$22:$L$29,8,FALSE)="","",VLOOKUP(OW_CM_2[[#This Row],[Component]],Concentraties!$B$22:$L$29,8,FALSE))</f>
        <v/>
      </c>
      <c r="D125" s="38"/>
      <c r="E125" s="40"/>
      <c r="F125" s="40"/>
      <c r="G125" s="37"/>
      <c r="H125" s="20" t="str">
        <f t="shared" si="42"/>
        <v/>
      </c>
      <c r="I125" s="119" t="str">
        <f t="shared" si="43"/>
        <v/>
      </c>
    </row>
    <row r="126" spans="2:10" x14ac:dyDescent="0.2">
      <c r="B126" s="12" t="str">
        <f>$B$16</f>
        <v>Pyrimethanil</v>
      </c>
      <c r="C126" s="20" t="str">
        <f>IF(VLOOKUP(OW_CM_2[[#This Row],[Component]],Concentraties!$B$22:$L$29,8,FALSE)="","",VLOOKUP(OW_CM_2[[#This Row],[Component]],Concentraties!$B$22:$L$29,8,FALSE))</f>
        <v/>
      </c>
      <c r="D126" s="38"/>
      <c r="E126" s="40"/>
      <c r="F126" s="40"/>
      <c r="G126" s="37"/>
      <c r="H126" s="20" t="str">
        <f t="shared" si="42"/>
        <v/>
      </c>
      <c r="I126" s="119" t="str">
        <f t="shared" si="43"/>
        <v/>
      </c>
    </row>
    <row r="127" spans="2:10" x14ac:dyDescent="0.2">
      <c r="B127" s="12" t="str">
        <f>$B$17</f>
        <v>Terbutylazine</v>
      </c>
      <c r="C127" s="20" t="str">
        <f>IF(VLOOKUP(OW_CM_2[[#This Row],[Component]],Concentraties!$B$22:$L$29,8,FALSE)="","",VLOOKUP(OW_CM_2[[#This Row],[Component]],Concentraties!$B$22:$L$29,8,FALSE))</f>
        <v/>
      </c>
      <c r="D127" s="38"/>
      <c r="E127" s="40"/>
      <c r="F127" s="40"/>
      <c r="G127" s="37"/>
      <c r="H127" s="20" t="str">
        <f t="shared" si="42"/>
        <v/>
      </c>
      <c r="I127" s="119" t="str">
        <f t="shared" si="43"/>
        <v/>
      </c>
    </row>
    <row r="128" spans="2:10" x14ac:dyDescent="0.2">
      <c r="J128" s="65"/>
    </row>
    <row r="129" spans="2:9" ht="20.25" x14ac:dyDescent="0.3">
      <c r="B129" s="8" t="s">
        <v>170</v>
      </c>
    </row>
    <row r="130" spans="2:9" ht="39" thickBot="1" x14ac:dyDescent="0.25">
      <c r="B130" s="14" t="s">
        <v>2</v>
      </c>
      <c r="C130" s="15" t="s">
        <v>151</v>
      </c>
      <c r="D130" s="15" t="s">
        <v>3</v>
      </c>
      <c r="E130" s="15" t="s">
        <v>47</v>
      </c>
      <c r="F130" s="15" t="s">
        <v>48</v>
      </c>
      <c r="G130" s="15" t="s">
        <v>152</v>
      </c>
      <c r="H130" s="36" t="s">
        <v>4</v>
      </c>
      <c r="I130" s="117" t="s">
        <v>5</v>
      </c>
    </row>
    <row r="131" spans="2:9" ht="13.5" thickTop="1" x14ac:dyDescent="0.2">
      <c r="B131" s="13" t="str">
        <f>$B$10</f>
        <v>Alachloor</v>
      </c>
      <c r="C131" s="20">
        <f>IF(VLOOKUP(OW_CheckSTD3_1[[#This Row],[Component]],Concentraties!$B$22:$L$29,5,FALSE)="","",VLOOKUP(OW_CheckSTD3_1[[#This Row],[Component]],Concentraties!$B$22:$L$29,5,FALSE))</f>
        <v>3.6699000000000002</v>
      </c>
      <c r="D131" s="37"/>
      <c r="E131" s="39"/>
      <c r="F131" s="39"/>
      <c r="G131" s="37"/>
      <c r="H131" s="20" t="str">
        <f t="shared" ref="H131:H138" si="44">IFERROR(IF(C131="-","N.v.t.",IF(G131="","",100*G131/C131)),"")</f>
        <v/>
      </c>
      <c r="I131" s="118" t="str">
        <f t="shared" ref="I131:I138" si="45">IFERROR(MIN(E131,F131)/MAX(E131,F131),"")</f>
        <v/>
      </c>
    </row>
    <row r="132" spans="2:9" x14ac:dyDescent="0.2">
      <c r="B132" s="12" t="str">
        <f>$B$11</f>
        <v>Atrazine</v>
      </c>
      <c r="C132" s="34">
        <f>IF(VLOOKUP(OW_CheckSTD3_1[[#This Row],[Component]],Concentraties!$B$22:$L$29,5,FALSE)="","",VLOOKUP(OW_CheckSTD3_1[[#This Row],[Component]],Concentraties!$B$22:$L$29,5,FALSE))</f>
        <v>3.6680999999999999</v>
      </c>
      <c r="D132" s="38"/>
      <c r="E132" s="40"/>
      <c r="F132" s="40"/>
      <c r="G132" s="37"/>
      <c r="H132" s="20" t="str">
        <f t="shared" si="44"/>
        <v/>
      </c>
      <c r="I132" s="119" t="str">
        <f t="shared" si="45"/>
        <v/>
      </c>
    </row>
    <row r="133" spans="2:9" x14ac:dyDescent="0.2">
      <c r="B133" s="12" t="str">
        <f>$B$12</f>
        <v>Chloorpyrifos-ethyl</v>
      </c>
      <c r="C133" s="34">
        <f>IF(VLOOKUP(OW_CheckSTD3_1[[#This Row],[Component]],Concentraties!$B$22:$L$29,5,FALSE)="","",VLOOKUP(OW_CheckSTD3_1[[#This Row],[Component]],Concentraties!$B$22:$L$29,5,FALSE))</f>
        <v>3.6619000000000002</v>
      </c>
      <c r="D133" s="38"/>
      <c r="E133" s="40"/>
      <c r="F133" s="40"/>
      <c r="G133" s="37"/>
      <c r="H133" s="20" t="str">
        <f t="shared" si="44"/>
        <v/>
      </c>
      <c r="I133" s="119" t="str">
        <f t="shared" si="45"/>
        <v/>
      </c>
    </row>
    <row r="134" spans="2:9" x14ac:dyDescent="0.2">
      <c r="B134" s="12" t="str">
        <f>$B$13</f>
        <v>Flutianil</v>
      </c>
      <c r="C134" s="34">
        <f>IF(VLOOKUP(OW_CheckSTD3_1[[#This Row],[Component]],Concentraties!$B$22:$L$29,5,FALSE)="","",VLOOKUP(OW_CheckSTD3_1[[#This Row],[Component]],Concentraties!$B$22:$L$29,5,FALSE))</f>
        <v>3.6473</v>
      </c>
      <c r="D134" s="38"/>
      <c r="E134" s="40"/>
      <c r="F134" s="40"/>
      <c r="G134" s="37"/>
      <c r="H134" s="20" t="str">
        <f t="shared" si="44"/>
        <v/>
      </c>
      <c r="I134" s="119" t="str">
        <f t="shared" si="45"/>
        <v/>
      </c>
    </row>
    <row r="135" spans="2:9" x14ac:dyDescent="0.2">
      <c r="B135" s="12" t="str">
        <f>$B$14</f>
        <v>Fosalon</v>
      </c>
      <c r="C135" s="34">
        <f>IF(VLOOKUP(OW_CheckSTD3_1[[#This Row],[Component]],Concentraties!$B$22:$L$29,5,FALSE)="","",VLOOKUP(OW_CheckSTD3_1[[#This Row],[Component]],Concentraties!$B$22:$L$29,5,FALSE))</f>
        <v>3.6911999999999998</v>
      </c>
      <c r="D135" s="38"/>
      <c r="E135" s="40"/>
      <c r="F135" s="40"/>
      <c r="G135" s="37"/>
      <c r="H135" s="20" t="str">
        <f t="shared" si="44"/>
        <v/>
      </c>
      <c r="I135" s="119" t="str">
        <f t="shared" si="45"/>
        <v/>
      </c>
    </row>
    <row r="136" spans="2:9" x14ac:dyDescent="0.2">
      <c r="B136" s="12" t="str">
        <f>$B$15</f>
        <v>Penconazool</v>
      </c>
      <c r="C136" s="34">
        <f>IF(VLOOKUP(OW_CheckSTD3_1[[#This Row],[Component]],Concentraties!$B$22:$L$29,5,FALSE)="","",VLOOKUP(OW_CheckSTD3_1[[#This Row],[Component]],Concentraties!$B$22:$L$29,5,FALSE))</f>
        <v>3.6570999999999998</v>
      </c>
      <c r="D136" s="38"/>
      <c r="E136" s="40"/>
      <c r="F136" s="40"/>
      <c r="G136" s="37"/>
      <c r="H136" s="20" t="str">
        <f t="shared" si="44"/>
        <v/>
      </c>
      <c r="I136" s="119" t="str">
        <f t="shared" si="45"/>
        <v/>
      </c>
    </row>
    <row r="137" spans="2:9" x14ac:dyDescent="0.2">
      <c r="B137" s="12" t="str">
        <f>$B$16</f>
        <v>Pyrimethanil</v>
      </c>
      <c r="C137" s="34">
        <f>IF(VLOOKUP(OW_CheckSTD3_1[[#This Row],[Component]],Concentraties!$B$22:$L$29,5,FALSE)="","",VLOOKUP(OW_CheckSTD3_1[[#This Row],[Component]],Concentraties!$B$22:$L$29,5,FALSE))</f>
        <v>3.6857000000000002</v>
      </c>
      <c r="D137" s="38"/>
      <c r="E137" s="40"/>
      <c r="F137" s="40"/>
      <c r="G137" s="37"/>
      <c r="H137" s="20" t="str">
        <f t="shared" si="44"/>
        <v/>
      </c>
      <c r="I137" s="119" t="str">
        <f t="shared" si="45"/>
        <v/>
      </c>
    </row>
    <row r="138" spans="2:9" x14ac:dyDescent="0.2">
      <c r="B138" s="12" t="str">
        <f>$B$17</f>
        <v>Terbutylazine</v>
      </c>
      <c r="C138" s="34">
        <f>IF(VLOOKUP(OW_CheckSTD3_1[[#This Row],[Component]],Concentraties!$B$22:$L$29,5,FALSE)="","",VLOOKUP(OW_CheckSTD3_1[[#This Row],[Component]],Concentraties!$B$22:$L$29,5,FALSE))</f>
        <v>3.6736</v>
      </c>
      <c r="D138" s="38"/>
      <c r="E138" s="40"/>
      <c r="F138" s="40"/>
      <c r="G138" s="37"/>
      <c r="H138" s="20" t="str">
        <f t="shared" si="44"/>
        <v/>
      </c>
      <c r="I138" s="119" t="str">
        <f t="shared" si="45"/>
        <v/>
      </c>
    </row>
    <row r="139" spans="2:9" x14ac:dyDescent="0.2">
      <c r="C139" s="35"/>
    </row>
    <row r="140" spans="2:9" ht="20.25" x14ac:dyDescent="0.3">
      <c r="B140" s="8" t="s">
        <v>141</v>
      </c>
      <c r="C140" s="35"/>
    </row>
    <row r="141" spans="2:9" ht="39" thickBot="1" x14ac:dyDescent="0.25">
      <c r="B141" s="14" t="s">
        <v>2</v>
      </c>
      <c r="C141" s="15" t="s">
        <v>151</v>
      </c>
      <c r="D141" s="15" t="s">
        <v>3</v>
      </c>
      <c r="E141" s="15" t="s">
        <v>47</v>
      </c>
      <c r="F141" s="15" t="s">
        <v>48</v>
      </c>
      <c r="G141" s="15" t="s">
        <v>152</v>
      </c>
      <c r="H141" s="36" t="s">
        <v>4</v>
      </c>
      <c r="I141" s="117" t="s">
        <v>5</v>
      </c>
    </row>
    <row r="142" spans="2:9" ht="13.5" thickTop="1" x14ac:dyDescent="0.2">
      <c r="B142" s="13" t="str">
        <f>$B$10</f>
        <v>Alachloor</v>
      </c>
      <c r="C142" s="20" t="str">
        <f>IF(VLOOKUP(SpoelDCM_2[[#This Row],[Component]],Concentraties!$B$22:$L$29,2,FALSE)="","",VLOOKUP(SpoelDCM_2[[#This Row],[Component]],Concentraties!$B$22:$L$29,2,FALSE))</f>
        <v>-</v>
      </c>
      <c r="D142" s="37"/>
      <c r="E142" s="39"/>
      <c r="F142" s="39"/>
      <c r="G142" s="37"/>
      <c r="H142" s="20" t="str">
        <f t="shared" ref="H142:H149" si="46">IFERROR(IF(C142="-","N.v.t.",IF(G142="","",100*G142/C142)),"")</f>
        <v>N.v.t.</v>
      </c>
      <c r="I142" s="118" t="str">
        <f t="shared" ref="I142:I149" si="47">IFERROR(MIN(E142,F142)/MAX(E142,F142),"")</f>
        <v/>
      </c>
    </row>
    <row r="143" spans="2:9" x14ac:dyDescent="0.2">
      <c r="B143" s="12" t="str">
        <f>$B$11</f>
        <v>Atrazine</v>
      </c>
      <c r="C143" s="20" t="str">
        <f>IF(VLOOKUP(SpoelDCM_2[[#This Row],[Component]],Concentraties!$B$22:$L$29,2,FALSE)="","",VLOOKUP(SpoelDCM_2[[#This Row],[Component]],Concentraties!$B$22:$L$29,2,FALSE))</f>
        <v>-</v>
      </c>
      <c r="D143" s="38"/>
      <c r="E143" s="40"/>
      <c r="F143" s="40"/>
      <c r="G143" s="37"/>
      <c r="H143" s="20" t="str">
        <f t="shared" si="46"/>
        <v>N.v.t.</v>
      </c>
      <c r="I143" s="119" t="str">
        <f t="shared" si="47"/>
        <v/>
      </c>
    </row>
    <row r="144" spans="2:9" x14ac:dyDescent="0.2">
      <c r="B144" s="12" t="str">
        <f>$B$12</f>
        <v>Chloorpyrifos-ethyl</v>
      </c>
      <c r="C144" s="20" t="str">
        <f>IF(VLOOKUP(SpoelDCM_2[[#This Row],[Component]],Concentraties!$B$22:$L$29,2,FALSE)="","",VLOOKUP(SpoelDCM_2[[#This Row],[Component]],Concentraties!$B$22:$L$29,2,FALSE))</f>
        <v>-</v>
      </c>
      <c r="D144" s="38"/>
      <c r="E144" s="40"/>
      <c r="F144" s="40"/>
      <c r="G144" s="37"/>
      <c r="H144" s="20" t="str">
        <f t="shared" si="46"/>
        <v>N.v.t.</v>
      </c>
      <c r="I144" s="119" t="str">
        <f t="shared" si="47"/>
        <v/>
      </c>
    </row>
    <row r="145" spans="2:9" x14ac:dyDescent="0.2">
      <c r="B145" s="12" t="str">
        <f>$B$13</f>
        <v>Flutianil</v>
      </c>
      <c r="C145" s="20" t="str">
        <f>IF(VLOOKUP(SpoelDCM_2[[#This Row],[Component]],Concentraties!$B$22:$L$29,2,FALSE)="","",VLOOKUP(SpoelDCM_2[[#This Row],[Component]],Concentraties!$B$22:$L$29,2,FALSE))</f>
        <v>-</v>
      </c>
      <c r="D145" s="38"/>
      <c r="E145" s="40"/>
      <c r="F145" s="40"/>
      <c r="G145" s="37"/>
      <c r="H145" s="20" t="str">
        <f t="shared" si="46"/>
        <v>N.v.t.</v>
      </c>
      <c r="I145" s="119" t="str">
        <f t="shared" si="47"/>
        <v/>
      </c>
    </row>
    <row r="146" spans="2:9" x14ac:dyDescent="0.2">
      <c r="B146" s="12" t="str">
        <f>$B$14</f>
        <v>Fosalon</v>
      </c>
      <c r="C146" s="20" t="str">
        <f>IF(VLOOKUP(SpoelDCM_2[[#This Row],[Component]],Concentraties!$B$22:$L$29,2,FALSE)="","",VLOOKUP(SpoelDCM_2[[#This Row],[Component]],Concentraties!$B$22:$L$29,2,FALSE))</f>
        <v>-</v>
      </c>
      <c r="D146" s="38"/>
      <c r="E146" s="40"/>
      <c r="F146" s="40"/>
      <c r="G146" s="37"/>
      <c r="H146" s="20" t="str">
        <f t="shared" si="46"/>
        <v>N.v.t.</v>
      </c>
      <c r="I146" s="119" t="str">
        <f t="shared" si="47"/>
        <v/>
      </c>
    </row>
    <row r="147" spans="2:9" x14ac:dyDescent="0.2">
      <c r="B147" s="12" t="str">
        <f>$B$15</f>
        <v>Penconazool</v>
      </c>
      <c r="C147" s="20" t="str">
        <f>IF(VLOOKUP(SpoelDCM_2[[#This Row],[Component]],Concentraties!$B$22:$L$29,2,FALSE)="","",VLOOKUP(SpoelDCM_2[[#This Row],[Component]],Concentraties!$B$22:$L$29,2,FALSE))</f>
        <v>-</v>
      </c>
      <c r="D147" s="38"/>
      <c r="E147" s="40"/>
      <c r="F147" s="40"/>
      <c r="G147" s="37"/>
      <c r="H147" s="20" t="str">
        <f t="shared" si="46"/>
        <v>N.v.t.</v>
      </c>
      <c r="I147" s="119" t="str">
        <f t="shared" si="47"/>
        <v/>
      </c>
    </row>
    <row r="148" spans="2:9" x14ac:dyDescent="0.2">
      <c r="B148" s="12" t="str">
        <f>$B$16</f>
        <v>Pyrimethanil</v>
      </c>
      <c r="C148" s="20" t="str">
        <f>IF(VLOOKUP(SpoelDCM_2[[#This Row],[Component]],Concentraties!$B$22:$L$29,2,FALSE)="","",VLOOKUP(SpoelDCM_2[[#This Row],[Component]],Concentraties!$B$22:$L$29,2,FALSE))</f>
        <v>-</v>
      </c>
      <c r="D148" s="38"/>
      <c r="E148" s="40"/>
      <c r="F148" s="40"/>
      <c r="G148" s="37"/>
      <c r="H148" s="20" t="str">
        <f t="shared" si="46"/>
        <v>N.v.t.</v>
      </c>
      <c r="I148" s="119" t="str">
        <f t="shared" si="47"/>
        <v/>
      </c>
    </row>
    <row r="149" spans="2:9" x14ac:dyDescent="0.2">
      <c r="B149" s="12" t="str">
        <f>$B$17</f>
        <v>Terbutylazine</v>
      </c>
      <c r="C149" s="20" t="str">
        <f>IF(VLOOKUP(SpoelDCM_2[[#This Row],[Component]],Concentraties!$B$22:$L$29,2,FALSE)="","",VLOOKUP(SpoelDCM_2[[#This Row],[Component]],Concentraties!$B$22:$L$29,2,FALSE))</f>
        <v>-</v>
      </c>
      <c r="D149" s="38"/>
      <c r="E149" s="40"/>
      <c r="F149" s="40"/>
      <c r="G149" s="37"/>
      <c r="H149" s="20" t="str">
        <f t="shared" si="46"/>
        <v>N.v.t.</v>
      </c>
      <c r="I149" s="119" t="str">
        <f t="shared" si="47"/>
        <v/>
      </c>
    </row>
    <row r="150" spans="2:9" x14ac:dyDescent="0.2">
      <c r="C150" s="35"/>
    </row>
    <row r="151" spans="2:9" ht="20.25" x14ac:dyDescent="0.3">
      <c r="B151" s="8" t="s">
        <v>97</v>
      </c>
      <c r="C151" s="35"/>
    </row>
    <row r="152" spans="2:9" ht="39" thickBot="1" x14ac:dyDescent="0.25">
      <c r="B152" s="14" t="s">
        <v>2</v>
      </c>
      <c r="C152" s="15" t="s">
        <v>151</v>
      </c>
      <c r="D152" s="15" t="s">
        <v>3</v>
      </c>
      <c r="E152" s="15" t="s">
        <v>47</v>
      </c>
      <c r="F152" s="15" t="s">
        <v>48</v>
      </c>
      <c r="G152" s="15" t="s">
        <v>152</v>
      </c>
      <c r="H152" s="36" t="s">
        <v>4</v>
      </c>
      <c r="I152" s="117" t="s">
        <v>5</v>
      </c>
    </row>
    <row r="153" spans="2:9" ht="13.5" thickTop="1" x14ac:dyDescent="0.2">
      <c r="B153" s="13" t="str">
        <f>$B$10</f>
        <v>Alachloor</v>
      </c>
      <c r="C153" s="20" t="str">
        <f>IF(VLOOKUP(OW_BLM_2[[#This Row],[Component]],Concentraties!$B$22:$L$29,2,FALSE)="","",VLOOKUP(OW_BLM_2[[#This Row],[Component]],Concentraties!$B$22:$L$29,2,FALSE))</f>
        <v>-</v>
      </c>
      <c r="D153" s="37"/>
      <c r="E153" s="39"/>
      <c r="F153" s="39"/>
      <c r="G153" s="37"/>
      <c r="H153" s="20" t="str">
        <f t="shared" ref="H153:H160" si="48">IFERROR(IF(C153="-","N.v.t.",IF(G153="","",100*G153/C153)),"")</f>
        <v>N.v.t.</v>
      </c>
      <c r="I153" s="118" t="str">
        <f t="shared" ref="I153:I160" si="49">IFERROR(MIN(E153,F153)/MAX(E153,F153),"")</f>
        <v/>
      </c>
    </row>
    <row r="154" spans="2:9" x14ac:dyDescent="0.2">
      <c r="B154" s="12" t="str">
        <f>$B$11</f>
        <v>Atrazine</v>
      </c>
      <c r="C154" s="34" t="str">
        <f>IF(VLOOKUP(OW_BLM_2[[#This Row],[Component]],Concentraties!$B$22:$L$29,2,FALSE)="","",VLOOKUP(OW_BLM_2[[#This Row],[Component]],Concentraties!$B$22:$L$29,2,FALSE))</f>
        <v>-</v>
      </c>
      <c r="D154" s="38"/>
      <c r="E154" s="40"/>
      <c r="F154" s="40"/>
      <c r="G154" s="37"/>
      <c r="H154" s="20" t="str">
        <f t="shared" si="48"/>
        <v>N.v.t.</v>
      </c>
      <c r="I154" s="119" t="str">
        <f t="shared" si="49"/>
        <v/>
      </c>
    </row>
    <row r="155" spans="2:9" x14ac:dyDescent="0.2">
      <c r="B155" s="12" t="str">
        <f>$B$12</f>
        <v>Chloorpyrifos-ethyl</v>
      </c>
      <c r="C155" s="34" t="str">
        <f>IF(VLOOKUP(OW_BLM_2[[#This Row],[Component]],Concentraties!$B$22:$L$29,2,FALSE)="","",VLOOKUP(OW_BLM_2[[#This Row],[Component]],Concentraties!$B$22:$L$29,2,FALSE))</f>
        <v>-</v>
      </c>
      <c r="D155" s="38"/>
      <c r="E155" s="40"/>
      <c r="F155" s="40"/>
      <c r="G155" s="37"/>
      <c r="H155" s="20" t="str">
        <f t="shared" si="48"/>
        <v>N.v.t.</v>
      </c>
      <c r="I155" s="119" t="str">
        <f t="shared" si="49"/>
        <v/>
      </c>
    </row>
    <row r="156" spans="2:9" x14ac:dyDescent="0.2">
      <c r="B156" s="12" t="str">
        <f>$B$13</f>
        <v>Flutianil</v>
      </c>
      <c r="C156" s="34" t="str">
        <f>IF(VLOOKUP(OW_BLM_2[[#This Row],[Component]],Concentraties!$B$22:$L$29,2,FALSE)="","",VLOOKUP(OW_BLM_2[[#This Row],[Component]],Concentraties!$B$22:$L$29,2,FALSE))</f>
        <v>-</v>
      </c>
      <c r="D156" s="38"/>
      <c r="E156" s="40"/>
      <c r="F156" s="40"/>
      <c r="G156" s="37"/>
      <c r="H156" s="20" t="str">
        <f t="shared" si="48"/>
        <v>N.v.t.</v>
      </c>
      <c r="I156" s="119" t="str">
        <f t="shared" si="49"/>
        <v/>
      </c>
    </row>
    <row r="157" spans="2:9" x14ac:dyDescent="0.2">
      <c r="B157" s="12" t="str">
        <f>$B$14</f>
        <v>Fosalon</v>
      </c>
      <c r="C157" s="34" t="str">
        <f>IF(VLOOKUP(OW_BLM_2[[#This Row],[Component]],Concentraties!$B$22:$L$29,2,FALSE)="","",VLOOKUP(OW_BLM_2[[#This Row],[Component]],Concentraties!$B$22:$L$29,2,FALSE))</f>
        <v>-</v>
      </c>
      <c r="D157" s="38"/>
      <c r="E157" s="40"/>
      <c r="F157" s="40"/>
      <c r="G157" s="37"/>
      <c r="H157" s="20" t="str">
        <f t="shared" si="48"/>
        <v>N.v.t.</v>
      </c>
      <c r="I157" s="119" t="str">
        <f t="shared" si="49"/>
        <v/>
      </c>
    </row>
    <row r="158" spans="2:9" x14ac:dyDescent="0.2">
      <c r="B158" s="12" t="str">
        <f>$B$15</f>
        <v>Penconazool</v>
      </c>
      <c r="C158" s="34" t="str">
        <f>IF(VLOOKUP(OW_BLM_2[[#This Row],[Component]],Concentraties!$B$22:$L$29,2,FALSE)="","",VLOOKUP(OW_BLM_2[[#This Row],[Component]],Concentraties!$B$22:$L$29,2,FALSE))</f>
        <v>-</v>
      </c>
      <c r="D158" s="38"/>
      <c r="E158" s="40"/>
      <c r="F158" s="40"/>
      <c r="G158" s="37"/>
      <c r="H158" s="20" t="str">
        <f t="shared" si="48"/>
        <v>N.v.t.</v>
      </c>
      <c r="I158" s="119" t="str">
        <f t="shared" si="49"/>
        <v/>
      </c>
    </row>
    <row r="159" spans="2:9" x14ac:dyDescent="0.2">
      <c r="B159" s="12" t="str">
        <f>$B$16</f>
        <v>Pyrimethanil</v>
      </c>
      <c r="C159" s="34" t="str">
        <f>IF(VLOOKUP(OW_BLM_2[[#This Row],[Component]],Concentraties!$B$22:$L$29,2,FALSE)="","",VLOOKUP(OW_BLM_2[[#This Row],[Component]],Concentraties!$B$22:$L$29,2,FALSE))</f>
        <v>-</v>
      </c>
      <c r="D159" s="38"/>
      <c r="E159" s="40"/>
      <c r="F159" s="40"/>
      <c r="G159" s="37"/>
      <c r="H159" s="20" t="str">
        <f t="shared" si="48"/>
        <v>N.v.t.</v>
      </c>
      <c r="I159" s="119" t="str">
        <f t="shared" si="49"/>
        <v/>
      </c>
    </row>
    <row r="160" spans="2:9" x14ac:dyDescent="0.2">
      <c r="B160" s="12" t="str">
        <f>$B$17</f>
        <v>Terbutylazine</v>
      </c>
      <c r="C160" s="34" t="str">
        <f>IF(VLOOKUP(OW_BLM_2[[#This Row],[Component]],Concentraties!$B$22:$L$29,2,FALSE)="","",VLOOKUP(OW_BLM_2[[#This Row],[Component]],Concentraties!$B$22:$L$29,2,FALSE))</f>
        <v>-</v>
      </c>
      <c r="D160" s="38"/>
      <c r="E160" s="40"/>
      <c r="F160" s="40"/>
      <c r="G160" s="37"/>
      <c r="H160" s="20" t="str">
        <f t="shared" si="48"/>
        <v>N.v.t.</v>
      </c>
      <c r="I160" s="119" t="str">
        <f t="shared" si="49"/>
        <v/>
      </c>
    </row>
    <row r="161" spans="2:9" x14ac:dyDescent="0.2">
      <c r="C161" s="35"/>
    </row>
    <row r="162" spans="2:9" ht="20.25" x14ac:dyDescent="0.3">
      <c r="B162" s="8" t="s">
        <v>74</v>
      </c>
      <c r="C162" s="35"/>
    </row>
    <row r="163" spans="2:9" ht="39" thickBot="1" x14ac:dyDescent="0.25">
      <c r="B163" s="14" t="s">
        <v>2</v>
      </c>
      <c r="C163" s="15" t="s">
        <v>151</v>
      </c>
      <c r="D163" s="15" t="s">
        <v>3</v>
      </c>
      <c r="E163" s="15" t="s">
        <v>47</v>
      </c>
      <c r="F163" s="15" t="s">
        <v>48</v>
      </c>
      <c r="G163" s="15" t="s">
        <v>152</v>
      </c>
      <c r="H163" s="36" t="s">
        <v>4</v>
      </c>
      <c r="I163" s="117" t="s">
        <v>5</v>
      </c>
    </row>
    <row r="164" spans="2:9" ht="13.5" thickTop="1" x14ac:dyDescent="0.2">
      <c r="B164" s="13" t="str">
        <f>$B$10</f>
        <v>Alachloor</v>
      </c>
      <c r="C164" s="20" t="str">
        <f>IF(VLOOKUP(OW_RG_1[[#This Row],[Component]],Concentraties!$B$22:$L$29,10,FALSE)="","",VLOOKUP(OW_RG_1[[#This Row],[Component]],Concentraties!$B$22:$L$29,10,FALSE))</f>
        <v/>
      </c>
      <c r="D164" s="37"/>
      <c r="E164" s="39"/>
      <c r="F164" s="39"/>
      <c r="G164" s="37"/>
      <c r="H164" s="20" t="str">
        <f t="shared" ref="H164:H171" si="50">IFERROR(IF(C164="-","N.v.t.",IF(G164="","",100*G164/C164)),"")</f>
        <v/>
      </c>
      <c r="I164" s="118" t="str">
        <f t="shared" ref="I164:I171" si="51">IFERROR(MIN(E164,F164)/MAX(E164,F164),"")</f>
        <v/>
      </c>
    </row>
    <row r="165" spans="2:9" x14ac:dyDescent="0.2">
      <c r="B165" s="12" t="str">
        <f>$B$11</f>
        <v>Atrazine</v>
      </c>
      <c r="C165" s="34" t="str">
        <f>IF(VLOOKUP(OW_RG_1[[#This Row],[Component]],Concentraties!$B$22:$L$29,10,FALSE)="","",VLOOKUP(OW_RG_1[[#This Row],[Component]],Concentraties!$B$22:$L$29,10,FALSE))</f>
        <v/>
      </c>
      <c r="D165" s="38"/>
      <c r="E165" s="40"/>
      <c r="F165" s="40"/>
      <c r="G165" s="37"/>
      <c r="H165" s="20" t="str">
        <f t="shared" si="50"/>
        <v/>
      </c>
      <c r="I165" s="119" t="str">
        <f t="shared" si="51"/>
        <v/>
      </c>
    </row>
    <row r="166" spans="2:9" x14ac:dyDescent="0.2">
      <c r="B166" s="12" t="str">
        <f>$B$12</f>
        <v>Chloorpyrifos-ethyl</v>
      </c>
      <c r="C166" s="34" t="str">
        <f>IF(VLOOKUP(OW_RG_1[[#This Row],[Component]],Concentraties!$B$22:$L$29,10,FALSE)="","",VLOOKUP(OW_RG_1[[#This Row],[Component]],Concentraties!$B$22:$L$29,10,FALSE))</f>
        <v/>
      </c>
      <c r="D166" s="38"/>
      <c r="E166" s="40"/>
      <c r="F166" s="40"/>
      <c r="G166" s="37"/>
      <c r="H166" s="20" t="str">
        <f t="shared" si="50"/>
        <v/>
      </c>
      <c r="I166" s="119" t="str">
        <f t="shared" si="51"/>
        <v/>
      </c>
    </row>
    <row r="167" spans="2:9" x14ac:dyDescent="0.2">
      <c r="B167" s="12" t="str">
        <f>$B$13</f>
        <v>Flutianil</v>
      </c>
      <c r="C167" s="34" t="str">
        <f>IF(VLOOKUP(OW_RG_1[[#This Row],[Component]],Concentraties!$B$22:$L$29,10,FALSE)="","",VLOOKUP(OW_RG_1[[#This Row],[Component]],Concentraties!$B$22:$L$29,10,FALSE))</f>
        <v/>
      </c>
      <c r="D167" s="38"/>
      <c r="E167" s="40"/>
      <c r="F167" s="40"/>
      <c r="G167" s="37"/>
      <c r="H167" s="20" t="str">
        <f t="shared" si="50"/>
        <v/>
      </c>
      <c r="I167" s="119" t="str">
        <f t="shared" si="51"/>
        <v/>
      </c>
    </row>
    <row r="168" spans="2:9" x14ac:dyDescent="0.2">
      <c r="B168" s="12" t="str">
        <f>$B$14</f>
        <v>Fosalon</v>
      </c>
      <c r="C168" s="34" t="str">
        <f>IF(VLOOKUP(OW_RG_1[[#This Row],[Component]],Concentraties!$B$22:$L$29,10,FALSE)="","",VLOOKUP(OW_RG_1[[#This Row],[Component]],Concentraties!$B$22:$L$29,10,FALSE))</f>
        <v/>
      </c>
      <c r="D168" s="38"/>
      <c r="E168" s="40"/>
      <c r="F168" s="40"/>
      <c r="G168" s="37"/>
      <c r="H168" s="20" t="str">
        <f t="shared" si="50"/>
        <v/>
      </c>
      <c r="I168" s="119" t="str">
        <f t="shared" si="51"/>
        <v/>
      </c>
    </row>
    <row r="169" spans="2:9" x14ac:dyDescent="0.2">
      <c r="B169" s="12" t="str">
        <f>$B$15</f>
        <v>Penconazool</v>
      </c>
      <c r="C169" s="34" t="str">
        <f>IF(VLOOKUP(OW_RG_1[[#This Row],[Component]],Concentraties!$B$22:$L$29,10,FALSE)="","",VLOOKUP(OW_RG_1[[#This Row],[Component]],Concentraties!$B$22:$L$29,10,FALSE))</f>
        <v/>
      </c>
      <c r="D169" s="38"/>
      <c r="E169" s="40"/>
      <c r="F169" s="40"/>
      <c r="G169" s="37"/>
      <c r="H169" s="20" t="str">
        <f t="shared" si="50"/>
        <v/>
      </c>
      <c r="I169" s="119" t="str">
        <f t="shared" si="51"/>
        <v/>
      </c>
    </row>
    <row r="170" spans="2:9" x14ac:dyDescent="0.2">
      <c r="B170" s="12" t="str">
        <f>$B$16</f>
        <v>Pyrimethanil</v>
      </c>
      <c r="C170" s="34" t="str">
        <f>IF(VLOOKUP(OW_RG_1[[#This Row],[Component]],Concentraties!$B$22:$L$29,10,FALSE)="","",VLOOKUP(OW_RG_1[[#This Row],[Component]],Concentraties!$B$22:$L$29,10,FALSE))</f>
        <v/>
      </c>
      <c r="D170" s="38"/>
      <c r="E170" s="40"/>
      <c r="F170" s="40"/>
      <c r="G170" s="37"/>
      <c r="H170" s="20" t="str">
        <f t="shared" si="50"/>
        <v/>
      </c>
      <c r="I170" s="119" t="str">
        <f t="shared" si="51"/>
        <v/>
      </c>
    </row>
    <row r="171" spans="2:9" x14ac:dyDescent="0.2">
      <c r="B171" s="12" t="str">
        <f>$B$17</f>
        <v>Terbutylazine</v>
      </c>
      <c r="C171" s="34" t="str">
        <f>IF(VLOOKUP(OW_RG_1[[#This Row],[Component]],Concentraties!$B$22:$L$29,10,FALSE)="","",VLOOKUP(OW_RG_1[[#This Row],[Component]],Concentraties!$B$22:$L$29,10,FALSE))</f>
        <v/>
      </c>
      <c r="D171" s="38"/>
      <c r="E171" s="40"/>
      <c r="F171" s="40"/>
      <c r="G171" s="37"/>
      <c r="H171" s="20" t="str">
        <f t="shared" si="50"/>
        <v/>
      </c>
      <c r="I171" s="119" t="str">
        <f t="shared" si="51"/>
        <v/>
      </c>
    </row>
    <row r="172" spans="2:9" x14ac:dyDescent="0.2">
      <c r="C172" s="35"/>
    </row>
    <row r="173" spans="2:9" ht="20.25" x14ac:dyDescent="0.3">
      <c r="B173" s="8" t="s">
        <v>75</v>
      </c>
      <c r="C173" s="35"/>
    </row>
    <row r="174" spans="2:9" ht="39" thickBot="1" x14ac:dyDescent="0.25">
      <c r="B174" s="14" t="s">
        <v>2</v>
      </c>
      <c r="C174" s="15" t="s">
        <v>151</v>
      </c>
      <c r="D174" s="15" t="s">
        <v>3</v>
      </c>
      <c r="E174" s="15" t="s">
        <v>47</v>
      </c>
      <c r="F174" s="15" t="s">
        <v>48</v>
      </c>
      <c r="G174" s="15" t="s">
        <v>152</v>
      </c>
      <c r="H174" s="36" t="s">
        <v>4</v>
      </c>
      <c r="I174" s="117" t="s">
        <v>5</v>
      </c>
    </row>
    <row r="175" spans="2:9" ht="13.5" thickTop="1" x14ac:dyDescent="0.2">
      <c r="B175" s="13" t="str">
        <f>$B$10</f>
        <v>Alachloor</v>
      </c>
      <c r="C175" s="20" t="str">
        <f>IF(VLOOKUP(OW_RG_2[[#This Row],[Component]],Concentraties!$B$22:$L$29,10,FALSE)="","",VLOOKUP(OW_RG_2[[#This Row],[Component]],Concentraties!$B$22:$L$29,10,FALSE))</f>
        <v/>
      </c>
      <c r="D175" s="37"/>
      <c r="E175" s="39"/>
      <c r="F175" s="39"/>
      <c r="G175" s="37"/>
      <c r="H175" s="20" t="str">
        <f t="shared" ref="H175:H182" si="52">IFERROR(IF(C175="-","N.v.t.",IF(G175="","",100*G175/C175)),"")</f>
        <v/>
      </c>
      <c r="I175" s="118" t="str">
        <f t="shared" ref="I175:I182" si="53">IFERROR(MIN(E175,F175)/MAX(E175,F175),"")</f>
        <v/>
      </c>
    </row>
    <row r="176" spans="2:9" x14ac:dyDescent="0.2">
      <c r="B176" s="12" t="str">
        <f>$B$11</f>
        <v>Atrazine</v>
      </c>
      <c r="C176" s="34" t="str">
        <f>IF(VLOOKUP(OW_RG_2[[#This Row],[Component]],Concentraties!$B$22:$L$29,10,FALSE)="","",VLOOKUP(OW_RG_2[[#This Row],[Component]],Concentraties!$B$22:$L$29,10,FALSE))</f>
        <v/>
      </c>
      <c r="D176" s="38"/>
      <c r="E176" s="40"/>
      <c r="F176" s="40"/>
      <c r="G176" s="37"/>
      <c r="H176" s="20" t="str">
        <f t="shared" si="52"/>
        <v/>
      </c>
      <c r="I176" s="119" t="str">
        <f t="shared" si="53"/>
        <v/>
      </c>
    </row>
    <row r="177" spans="2:9" x14ac:dyDescent="0.2">
      <c r="B177" s="12" t="str">
        <f>$B$12</f>
        <v>Chloorpyrifos-ethyl</v>
      </c>
      <c r="C177" s="34" t="str">
        <f>IF(VLOOKUP(OW_RG_2[[#This Row],[Component]],Concentraties!$B$22:$L$29,10,FALSE)="","",VLOOKUP(OW_RG_2[[#This Row],[Component]],Concentraties!$B$22:$L$29,10,FALSE))</f>
        <v/>
      </c>
      <c r="D177" s="38"/>
      <c r="E177" s="40"/>
      <c r="F177" s="40"/>
      <c r="G177" s="37"/>
      <c r="H177" s="20" t="str">
        <f t="shared" si="52"/>
        <v/>
      </c>
      <c r="I177" s="119" t="str">
        <f t="shared" si="53"/>
        <v/>
      </c>
    </row>
    <row r="178" spans="2:9" x14ac:dyDescent="0.2">
      <c r="B178" s="12" t="str">
        <f>$B$13</f>
        <v>Flutianil</v>
      </c>
      <c r="C178" s="34" t="str">
        <f>IF(VLOOKUP(OW_RG_2[[#This Row],[Component]],Concentraties!$B$22:$L$29,10,FALSE)="","",VLOOKUP(OW_RG_2[[#This Row],[Component]],Concentraties!$B$22:$L$29,10,FALSE))</f>
        <v/>
      </c>
      <c r="D178" s="38"/>
      <c r="E178" s="40"/>
      <c r="F178" s="40"/>
      <c r="G178" s="37"/>
      <c r="H178" s="20" t="str">
        <f t="shared" si="52"/>
        <v/>
      </c>
      <c r="I178" s="119" t="str">
        <f t="shared" si="53"/>
        <v/>
      </c>
    </row>
    <row r="179" spans="2:9" x14ac:dyDescent="0.2">
      <c r="B179" s="12" t="str">
        <f>$B$14</f>
        <v>Fosalon</v>
      </c>
      <c r="C179" s="34" t="str">
        <f>IF(VLOOKUP(OW_RG_2[[#This Row],[Component]],Concentraties!$B$22:$L$29,10,FALSE)="","",VLOOKUP(OW_RG_2[[#This Row],[Component]],Concentraties!$B$22:$L$29,10,FALSE))</f>
        <v/>
      </c>
      <c r="D179" s="38"/>
      <c r="E179" s="40"/>
      <c r="F179" s="40"/>
      <c r="G179" s="37"/>
      <c r="H179" s="20" t="str">
        <f t="shared" si="52"/>
        <v/>
      </c>
      <c r="I179" s="119" t="str">
        <f t="shared" si="53"/>
        <v/>
      </c>
    </row>
    <row r="180" spans="2:9" x14ac:dyDescent="0.2">
      <c r="B180" s="12" t="str">
        <f>$B$15</f>
        <v>Penconazool</v>
      </c>
      <c r="C180" s="34" t="str">
        <f>IF(VLOOKUP(OW_RG_2[[#This Row],[Component]],Concentraties!$B$22:$L$29,10,FALSE)="","",VLOOKUP(OW_RG_2[[#This Row],[Component]],Concentraties!$B$22:$L$29,10,FALSE))</f>
        <v/>
      </c>
      <c r="D180" s="38"/>
      <c r="E180" s="40"/>
      <c r="F180" s="40"/>
      <c r="G180" s="37"/>
      <c r="H180" s="20" t="str">
        <f t="shared" si="52"/>
        <v/>
      </c>
      <c r="I180" s="119" t="str">
        <f t="shared" si="53"/>
        <v/>
      </c>
    </row>
    <row r="181" spans="2:9" x14ac:dyDescent="0.2">
      <c r="B181" s="12" t="str">
        <f>$B$16</f>
        <v>Pyrimethanil</v>
      </c>
      <c r="C181" s="34" t="str">
        <f>IF(VLOOKUP(OW_RG_2[[#This Row],[Component]],Concentraties!$B$22:$L$29,10,FALSE)="","",VLOOKUP(OW_RG_2[[#This Row],[Component]],Concentraties!$B$22:$L$29,10,FALSE))</f>
        <v/>
      </c>
      <c r="D181" s="38"/>
      <c r="E181" s="40"/>
      <c r="F181" s="40"/>
      <c r="G181" s="37"/>
      <c r="H181" s="20" t="str">
        <f t="shared" si="52"/>
        <v/>
      </c>
      <c r="I181" s="119" t="str">
        <f t="shared" si="53"/>
        <v/>
      </c>
    </row>
    <row r="182" spans="2:9" x14ac:dyDescent="0.2">
      <c r="B182" s="12" t="str">
        <f>$B$17</f>
        <v>Terbutylazine</v>
      </c>
      <c r="C182" s="34" t="str">
        <f>IF(VLOOKUP(OW_RG_2[[#This Row],[Component]],Concentraties!$B$22:$L$29,10,FALSE)="","",VLOOKUP(OW_RG_2[[#This Row],[Component]],Concentraties!$B$22:$L$29,10,FALSE))</f>
        <v/>
      </c>
      <c r="D182" s="38"/>
      <c r="E182" s="40"/>
      <c r="F182" s="40"/>
      <c r="G182" s="37"/>
      <c r="H182" s="20" t="str">
        <f t="shared" si="52"/>
        <v/>
      </c>
      <c r="I182" s="119" t="str">
        <f t="shared" si="53"/>
        <v/>
      </c>
    </row>
    <row r="183" spans="2:9" x14ac:dyDescent="0.2">
      <c r="C183" s="35"/>
    </row>
    <row r="184" spans="2:9" ht="20.25" x14ac:dyDescent="0.3">
      <c r="B184" s="8" t="s">
        <v>76</v>
      </c>
      <c r="C184" s="35"/>
    </row>
    <row r="185" spans="2:9" ht="39" thickBot="1" x14ac:dyDescent="0.25">
      <c r="B185" s="14" t="s">
        <v>2</v>
      </c>
      <c r="C185" s="15" t="s">
        <v>151</v>
      </c>
      <c r="D185" s="15" t="s">
        <v>3</v>
      </c>
      <c r="E185" s="15" t="s">
        <v>47</v>
      </c>
      <c r="F185" s="15" t="s">
        <v>48</v>
      </c>
      <c r="G185" s="15" t="s">
        <v>152</v>
      </c>
      <c r="H185" s="36" t="s">
        <v>4</v>
      </c>
      <c r="I185" s="117" t="s">
        <v>5</v>
      </c>
    </row>
    <row r="186" spans="2:9" ht="13.5" thickTop="1" x14ac:dyDescent="0.2">
      <c r="B186" s="13" t="str">
        <f>$B$10</f>
        <v>Alachloor</v>
      </c>
      <c r="C186" s="20" t="str">
        <f>IF(VLOOKUP(OW_RG_3[[#This Row],[Component]],Concentraties!$B$22:$L$29,10,FALSE)="","",VLOOKUP(OW_RG_3[[#This Row],[Component]],Concentraties!$B$22:$L$29,10,FALSE))</f>
        <v/>
      </c>
      <c r="D186" s="37"/>
      <c r="E186" s="39"/>
      <c r="F186" s="39"/>
      <c r="G186" s="37"/>
      <c r="H186" s="20" t="str">
        <f t="shared" ref="H186:H193" si="54">IFERROR(IF(C186="-","N.v.t.",IF(G186="","",100*G186/C186)),"")</f>
        <v/>
      </c>
      <c r="I186" s="118" t="str">
        <f t="shared" ref="I186:I193" si="55">IFERROR(MIN(E186,F186)/MAX(E186,F186),"")</f>
        <v/>
      </c>
    </row>
    <row r="187" spans="2:9" x14ac:dyDescent="0.2">
      <c r="B187" s="12" t="str">
        <f>$B$11</f>
        <v>Atrazine</v>
      </c>
      <c r="C187" s="34" t="str">
        <f>IF(VLOOKUP(OW_RG_3[[#This Row],[Component]],Concentraties!$B$22:$L$29,10,FALSE)="","",VLOOKUP(OW_RG_3[[#This Row],[Component]],Concentraties!$B$22:$L$29,10,FALSE))</f>
        <v/>
      </c>
      <c r="D187" s="38"/>
      <c r="E187" s="40"/>
      <c r="F187" s="40"/>
      <c r="G187" s="37"/>
      <c r="H187" s="20" t="str">
        <f t="shared" si="54"/>
        <v/>
      </c>
      <c r="I187" s="119" t="str">
        <f t="shared" si="55"/>
        <v/>
      </c>
    </row>
    <row r="188" spans="2:9" x14ac:dyDescent="0.2">
      <c r="B188" s="12" t="str">
        <f>$B$12</f>
        <v>Chloorpyrifos-ethyl</v>
      </c>
      <c r="C188" s="34" t="str">
        <f>IF(VLOOKUP(OW_RG_3[[#This Row],[Component]],Concentraties!$B$22:$L$29,10,FALSE)="","",VLOOKUP(OW_RG_3[[#This Row],[Component]],Concentraties!$B$22:$L$29,10,FALSE))</f>
        <v/>
      </c>
      <c r="D188" s="38"/>
      <c r="E188" s="40"/>
      <c r="F188" s="40"/>
      <c r="G188" s="37"/>
      <c r="H188" s="20" t="str">
        <f t="shared" si="54"/>
        <v/>
      </c>
      <c r="I188" s="119" t="str">
        <f t="shared" si="55"/>
        <v/>
      </c>
    </row>
    <row r="189" spans="2:9" x14ac:dyDescent="0.2">
      <c r="B189" s="12" t="str">
        <f>$B$13</f>
        <v>Flutianil</v>
      </c>
      <c r="C189" s="34" t="str">
        <f>IF(VLOOKUP(OW_RG_3[[#This Row],[Component]],Concentraties!$B$22:$L$29,10,FALSE)="","",VLOOKUP(OW_RG_3[[#This Row],[Component]],Concentraties!$B$22:$L$29,10,FALSE))</f>
        <v/>
      </c>
      <c r="D189" s="38"/>
      <c r="E189" s="40"/>
      <c r="F189" s="40"/>
      <c r="G189" s="37"/>
      <c r="H189" s="20" t="str">
        <f t="shared" si="54"/>
        <v/>
      </c>
      <c r="I189" s="119" t="str">
        <f t="shared" si="55"/>
        <v/>
      </c>
    </row>
    <row r="190" spans="2:9" x14ac:dyDescent="0.2">
      <c r="B190" s="12" t="str">
        <f>$B$14</f>
        <v>Fosalon</v>
      </c>
      <c r="C190" s="34" t="str">
        <f>IF(VLOOKUP(OW_RG_3[[#This Row],[Component]],Concentraties!$B$22:$L$29,10,FALSE)="","",VLOOKUP(OW_RG_3[[#This Row],[Component]],Concentraties!$B$22:$L$29,10,FALSE))</f>
        <v/>
      </c>
      <c r="D190" s="38"/>
      <c r="E190" s="40"/>
      <c r="F190" s="40"/>
      <c r="G190" s="37"/>
      <c r="H190" s="20" t="str">
        <f t="shared" si="54"/>
        <v/>
      </c>
      <c r="I190" s="119" t="str">
        <f t="shared" si="55"/>
        <v/>
      </c>
    </row>
    <row r="191" spans="2:9" x14ac:dyDescent="0.2">
      <c r="B191" s="12" t="str">
        <f>$B$15</f>
        <v>Penconazool</v>
      </c>
      <c r="C191" s="34" t="str">
        <f>IF(VLOOKUP(OW_RG_3[[#This Row],[Component]],Concentraties!$B$22:$L$29,10,FALSE)="","",VLOOKUP(OW_RG_3[[#This Row],[Component]],Concentraties!$B$22:$L$29,10,FALSE))</f>
        <v/>
      </c>
      <c r="D191" s="38"/>
      <c r="E191" s="40"/>
      <c r="F191" s="40"/>
      <c r="G191" s="37"/>
      <c r="H191" s="20" t="str">
        <f t="shared" si="54"/>
        <v/>
      </c>
      <c r="I191" s="119" t="str">
        <f t="shared" si="55"/>
        <v/>
      </c>
    </row>
    <row r="192" spans="2:9" x14ac:dyDescent="0.2">
      <c r="B192" s="12" t="str">
        <f>$B$16</f>
        <v>Pyrimethanil</v>
      </c>
      <c r="C192" s="34" t="str">
        <f>IF(VLOOKUP(OW_RG_3[[#This Row],[Component]],Concentraties!$B$22:$L$29,10,FALSE)="","",VLOOKUP(OW_RG_3[[#This Row],[Component]],Concentraties!$B$22:$L$29,10,FALSE))</f>
        <v/>
      </c>
      <c r="D192" s="38"/>
      <c r="E192" s="40"/>
      <c r="F192" s="40"/>
      <c r="G192" s="37"/>
      <c r="H192" s="20" t="str">
        <f t="shared" si="54"/>
        <v/>
      </c>
      <c r="I192" s="119" t="str">
        <f t="shared" si="55"/>
        <v/>
      </c>
    </row>
    <row r="193" spans="2:9" x14ac:dyDescent="0.2">
      <c r="B193" s="12" t="str">
        <f>$B$17</f>
        <v>Terbutylazine</v>
      </c>
      <c r="C193" s="34" t="str">
        <f>IF(VLOOKUP(OW_RG_3[[#This Row],[Component]],Concentraties!$B$22:$L$29,10,FALSE)="","",VLOOKUP(OW_RG_3[[#This Row],[Component]],Concentraties!$B$22:$L$29,10,FALSE))</f>
        <v/>
      </c>
      <c r="D193" s="38"/>
      <c r="E193" s="40"/>
      <c r="F193" s="40"/>
      <c r="G193" s="37"/>
      <c r="H193" s="20" t="str">
        <f t="shared" si="54"/>
        <v/>
      </c>
      <c r="I193" s="119" t="str">
        <f t="shared" si="55"/>
        <v/>
      </c>
    </row>
    <row r="194" spans="2:9" x14ac:dyDescent="0.2">
      <c r="C194" s="35"/>
    </row>
    <row r="195" spans="2:9" ht="20.25" x14ac:dyDescent="0.3">
      <c r="B195" s="8" t="s">
        <v>77</v>
      </c>
      <c r="C195" s="35"/>
    </row>
    <row r="196" spans="2:9" ht="39" thickBot="1" x14ac:dyDescent="0.25">
      <c r="B196" s="14" t="s">
        <v>2</v>
      </c>
      <c r="C196" s="15" t="s">
        <v>151</v>
      </c>
      <c r="D196" s="15" t="s">
        <v>3</v>
      </c>
      <c r="E196" s="15" t="s">
        <v>47</v>
      </c>
      <c r="F196" s="15" t="s">
        <v>48</v>
      </c>
      <c r="G196" s="15" t="s">
        <v>152</v>
      </c>
      <c r="H196" s="36" t="s">
        <v>4</v>
      </c>
      <c r="I196" s="117" t="s">
        <v>5</v>
      </c>
    </row>
    <row r="197" spans="2:9" ht="13.5" thickTop="1" x14ac:dyDescent="0.2">
      <c r="B197" s="13" t="str">
        <f>$B$10</f>
        <v>Alachloor</v>
      </c>
      <c r="C197" s="20" t="str">
        <f>IF(VLOOKUP(OW_RG_4[[#This Row],[Component]],Concentraties!$B$22:$L$29,10,FALSE)="","",VLOOKUP(OW_RG_4[[#This Row],[Component]],Concentraties!$B$22:$L$29,10,FALSE))</f>
        <v/>
      </c>
      <c r="D197" s="37"/>
      <c r="E197" s="39"/>
      <c r="F197" s="39"/>
      <c r="G197" s="37"/>
      <c r="H197" s="20" t="str">
        <f t="shared" ref="H197:H204" si="56">IFERROR(IF(C197="-","N.v.t.",IF(G197="","",100*G197/C197)),"")</f>
        <v/>
      </c>
      <c r="I197" s="118" t="str">
        <f t="shared" ref="I197:I204" si="57">IFERROR(MIN(E197,F197)/MAX(E197,F197),"")</f>
        <v/>
      </c>
    </row>
    <row r="198" spans="2:9" x14ac:dyDescent="0.2">
      <c r="B198" s="12" t="str">
        <f>$B$11</f>
        <v>Atrazine</v>
      </c>
      <c r="C198" s="34" t="str">
        <f>IF(VLOOKUP(OW_RG_4[[#This Row],[Component]],Concentraties!$B$22:$L$29,10,FALSE)="","",VLOOKUP(OW_RG_4[[#This Row],[Component]],Concentraties!$B$22:$L$29,10,FALSE))</f>
        <v/>
      </c>
      <c r="D198" s="38"/>
      <c r="E198" s="40"/>
      <c r="F198" s="40"/>
      <c r="G198" s="37"/>
      <c r="H198" s="20" t="str">
        <f t="shared" si="56"/>
        <v/>
      </c>
      <c r="I198" s="119" t="str">
        <f t="shared" si="57"/>
        <v/>
      </c>
    </row>
    <row r="199" spans="2:9" x14ac:dyDescent="0.2">
      <c r="B199" s="12" t="str">
        <f>$B$12</f>
        <v>Chloorpyrifos-ethyl</v>
      </c>
      <c r="C199" s="34" t="str">
        <f>IF(VLOOKUP(OW_RG_4[[#This Row],[Component]],Concentraties!$B$22:$L$29,10,FALSE)="","",VLOOKUP(OW_RG_4[[#This Row],[Component]],Concentraties!$B$22:$L$29,10,FALSE))</f>
        <v/>
      </c>
      <c r="D199" s="38"/>
      <c r="E199" s="40"/>
      <c r="F199" s="40"/>
      <c r="G199" s="37"/>
      <c r="H199" s="20" t="str">
        <f t="shared" si="56"/>
        <v/>
      </c>
      <c r="I199" s="119" t="str">
        <f t="shared" si="57"/>
        <v/>
      </c>
    </row>
    <row r="200" spans="2:9" x14ac:dyDescent="0.2">
      <c r="B200" s="12" t="str">
        <f>$B$13</f>
        <v>Flutianil</v>
      </c>
      <c r="C200" s="34" t="str">
        <f>IF(VLOOKUP(OW_RG_4[[#This Row],[Component]],Concentraties!$B$22:$L$29,10,FALSE)="","",VLOOKUP(OW_RG_4[[#This Row],[Component]],Concentraties!$B$22:$L$29,10,FALSE))</f>
        <v/>
      </c>
      <c r="D200" s="38"/>
      <c r="E200" s="40"/>
      <c r="F200" s="40"/>
      <c r="G200" s="37"/>
      <c r="H200" s="20" t="str">
        <f t="shared" si="56"/>
        <v/>
      </c>
      <c r="I200" s="119" t="str">
        <f t="shared" si="57"/>
        <v/>
      </c>
    </row>
    <row r="201" spans="2:9" x14ac:dyDescent="0.2">
      <c r="B201" s="12" t="str">
        <f>$B$14</f>
        <v>Fosalon</v>
      </c>
      <c r="C201" s="34" t="str">
        <f>IF(VLOOKUP(OW_RG_4[[#This Row],[Component]],Concentraties!$B$22:$L$29,10,FALSE)="","",VLOOKUP(OW_RG_4[[#This Row],[Component]],Concentraties!$B$22:$L$29,10,FALSE))</f>
        <v/>
      </c>
      <c r="D201" s="38"/>
      <c r="E201" s="40"/>
      <c r="F201" s="40"/>
      <c r="G201" s="37"/>
      <c r="H201" s="20" t="str">
        <f t="shared" si="56"/>
        <v/>
      </c>
      <c r="I201" s="119" t="str">
        <f t="shared" si="57"/>
        <v/>
      </c>
    </row>
    <row r="202" spans="2:9" x14ac:dyDescent="0.2">
      <c r="B202" s="12" t="str">
        <f>$B$15</f>
        <v>Penconazool</v>
      </c>
      <c r="C202" s="34" t="str">
        <f>IF(VLOOKUP(OW_RG_4[[#This Row],[Component]],Concentraties!$B$22:$L$29,10,FALSE)="","",VLOOKUP(OW_RG_4[[#This Row],[Component]],Concentraties!$B$22:$L$29,10,FALSE))</f>
        <v/>
      </c>
      <c r="D202" s="38"/>
      <c r="E202" s="40"/>
      <c r="F202" s="40"/>
      <c r="G202" s="37"/>
      <c r="H202" s="20" t="str">
        <f t="shared" si="56"/>
        <v/>
      </c>
      <c r="I202" s="119" t="str">
        <f t="shared" si="57"/>
        <v/>
      </c>
    </row>
    <row r="203" spans="2:9" x14ac:dyDescent="0.2">
      <c r="B203" s="12" t="str">
        <f>$B$16</f>
        <v>Pyrimethanil</v>
      </c>
      <c r="C203" s="34" t="str">
        <f>IF(VLOOKUP(OW_RG_4[[#This Row],[Component]],Concentraties!$B$22:$L$29,10,FALSE)="","",VLOOKUP(OW_RG_4[[#This Row],[Component]],Concentraties!$B$22:$L$29,10,FALSE))</f>
        <v/>
      </c>
      <c r="D203" s="38"/>
      <c r="E203" s="40"/>
      <c r="F203" s="40"/>
      <c r="G203" s="37"/>
      <c r="H203" s="20" t="str">
        <f t="shared" si="56"/>
        <v/>
      </c>
      <c r="I203" s="119" t="str">
        <f t="shared" si="57"/>
        <v/>
      </c>
    </row>
    <row r="204" spans="2:9" x14ac:dyDescent="0.2">
      <c r="B204" s="12" t="str">
        <f>$B$17</f>
        <v>Terbutylazine</v>
      </c>
      <c r="C204" s="34" t="str">
        <f>IF(VLOOKUP(OW_RG_4[[#This Row],[Component]],Concentraties!$B$22:$L$29,10,FALSE)="","",VLOOKUP(OW_RG_4[[#This Row],[Component]],Concentraties!$B$22:$L$29,10,FALSE))</f>
        <v/>
      </c>
      <c r="D204" s="38"/>
      <c r="E204" s="40"/>
      <c r="F204" s="40"/>
      <c r="G204" s="37"/>
      <c r="H204" s="20" t="str">
        <f t="shared" si="56"/>
        <v/>
      </c>
      <c r="I204" s="119" t="str">
        <f t="shared" si="57"/>
        <v/>
      </c>
    </row>
    <row r="206" spans="2:9" ht="20.25" x14ac:dyDescent="0.3">
      <c r="B206" s="8" t="s">
        <v>78</v>
      </c>
    </row>
    <row r="207" spans="2:9" ht="39" thickBot="1" x14ac:dyDescent="0.25">
      <c r="B207" s="14" t="s">
        <v>2</v>
      </c>
      <c r="C207" s="15" t="s">
        <v>151</v>
      </c>
      <c r="D207" s="15" t="s">
        <v>3</v>
      </c>
      <c r="E207" s="15" t="s">
        <v>47</v>
      </c>
      <c r="F207" s="15" t="s">
        <v>48</v>
      </c>
      <c r="G207" s="15" t="s">
        <v>152</v>
      </c>
      <c r="H207" s="36" t="s">
        <v>4</v>
      </c>
      <c r="I207" s="117" t="s">
        <v>5</v>
      </c>
    </row>
    <row r="208" spans="2:9" ht="13.5" thickTop="1" x14ac:dyDescent="0.2">
      <c r="B208" s="13" t="str">
        <f>$B$10</f>
        <v>Alachloor</v>
      </c>
      <c r="C208" s="20" t="str">
        <f>IF(VLOOKUP(OW_RG_5[[#This Row],[Component]],Concentraties!$B$22:$L$29,10,FALSE)="","",VLOOKUP(OW_RG_5[[#This Row],[Component]],Concentraties!$B$22:$L$29,10,FALSE))</f>
        <v/>
      </c>
      <c r="D208" s="37"/>
      <c r="E208" s="39"/>
      <c r="F208" s="39"/>
      <c r="G208" s="37"/>
      <c r="H208" s="20" t="str">
        <f t="shared" ref="H208:H215" si="58">IFERROR(IF(C208="-","N.v.t.",IF(G208="","",100*G208/C208)),"")</f>
        <v/>
      </c>
      <c r="I208" s="118" t="str">
        <f t="shared" ref="I208:I215" si="59">IFERROR(MIN(E208,F208)/MAX(E208,F208),"")</f>
        <v/>
      </c>
    </row>
    <row r="209" spans="2:9" x14ac:dyDescent="0.2">
      <c r="B209" s="12" t="str">
        <f>$B$11</f>
        <v>Atrazine</v>
      </c>
      <c r="C209" s="34" t="str">
        <f>IF(VLOOKUP(OW_RG_5[[#This Row],[Component]],Concentraties!$B$22:$L$29,10,FALSE)="","",VLOOKUP(OW_RG_5[[#This Row],[Component]],Concentraties!$B$22:$L$29,10,FALSE))</f>
        <v/>
      </c>
      <c r="D209" s="38"/>
      <c r="E209" s="40"/>
      <c r="F209" s="40"/>
      <c r="G209" s="37"/>
      <c r="H209" s="20" t="str">
        <f t="shared" si="58"/>
        <v/>
      </c>
      <c r="I209" s="119" t="str">
        <f t="shared" si="59"/>
        <v/>
      </c>
    </row>
    <row r="210" spans="2:9" x14ac:dyDescent="0.2">
      <c r="B210" s="12" t="str">
        <f>$B$12</f>
        <v>Chloorpyrifos-ethyl</v>
      </c>
      <c r="C210" s="34" t="str">
        <f>IF(VLOOKUP(OW_RG_5[[#This Row],[Component]],Concentraties!$B$22:$L$29,10,FALSE)="","",VLOOKUP(OW_RG_5[[#This Row],[Component]],Concentraties!$B$22:$L$29,10,FALSE))</f>
        <v/>
      </c>
      <c r="D210" s="38"/>
      <c r="E210" s="40"/>
      <c r="F210" s="40"/>
      <c r="G210" s="37"/>
      <c r="H210" s="20" t="str">
        <f t="shared" si="58"/>
        <v/>
      </c>
      <c r="I210" s="119" t="str">
        <f t="shared" si="59"/>
        <v/>
      </c>
    </row>
    <row r="211" spans="2:9" x14ac:dyDescent="0.2">
      <c r="B211" s="12" t="str">
        <f>$B$13</f>
        <v>Flutianil</v>
      </c>
      <c r="C211" s="34" t="str">
        <f>IF(VLOOKUP(OW_RG_5[[#This Row],[Component]],Concentraties!$B$22:$L$29,10,FALSE)="","",VLOOKUP(OW_RG_5[[#This Row],[Component]],Concentraties!$B$22:$L$29,10,FALSE))</f>
        <v/>
      </c>
      <c r="D211" s="38"/>
      <c r="E211" s="40"/>
      <c r="F211" s="40"/>
      <c r="G211" s="37"/>
      <c r="H211" s="20" t="str">
        <f t="shared" si="58"/>
        <v/>
      </c>
      <c r="I211" s="119" t="str">
        <f t="shared" si="59"/>
        <v/>
      </c>
    </row>
    <row r="212" spans="2:9" x14ac:dyDescent="0.2">
      <c r="B212" s="12" t="str">
        <f>$B$14</f>
        <v>Fosalon</v>
      </c>
      <c r="C212" s="34" t="str">
        <f>IF(VLOOKUP(OW_RG_5[[#This Row],[Component]],Concentraties!$B$22:$L$29,10,FALSE)="","",VLOOKUP(OW_RG_5[[#This Row],[Component]],Concentraties!$B$22:$L$29,10,FALSE))</f>
        <v/>
      </c>
      <c r="D212" s="38"/>
      <c r="E212" s="40"/>
      <c r="F212" s="40"/>
      <c r="G212" s="37"/>
      <c r="H212" s="20" t="str">
        <f t="shared" si="58"/>
        <v/>
      </c>
      <c r="I212" s="119" t="str">
        <f t="shared" si="59"/>
        <v/>
      </c>
    </row>
    <row r="213" spans="2:9" x14ac:dyDescent="0.2">
      <c r="B213" s="12" t="str">
        <f>$B$15</f>
        <v>Penconazool</v>
      </c>
      <c r="C213" s="34" t="str">
        <f>IF(VLOOKUP(OW_RG_5[[#This Row],[Component]],Concentraties!$B$22:$L$29,10,FALSE)="","",VLOOKUP(OW_RG_5[[#This Row],[Component]],Concentraties!$B$22:$L$29,10,FALSE))</f>
        <v/>
      </c>
      <c r="D213" s="38"/>
      <c r="E213" s="40"/>
      <c r="F213" s="40"/>
      <c r="G213" s="37"/>
      <c r="H213" s="20" t="str">
        <f t="shared" si="58"/>
        <v/>
      </c>
      <c r="I213" s="119" t="str">
        <f t="shared" si="59"/>
        <v/>
      </c>
    </row>
    <row r="214" spans="2:9" x14ac:dyDescent="0.2">
      <c r="B214" s="12" t="str">
        <f>$B$16</f>
        <v>Pyrimethanil</v>
      </c>
      <c r="C214" s="34" t="str">
        <f>IF(VLOOKUP(OW_RG_5[[#This Row],[Component]],Concentraties!$B$22:$L$29,10,FALSE)="","",VLOOKUP(OW_RG_5[[#This Row],[Component]],Concentraties!$B$22:$L$29,10,FALSE))</f>
        <v/>
      </c>
      <c r="D214" s="38"/>
      <c r="E214" s="40"/>
      <c r="F214" s="40"/>
      <c r="G214" s="37"/>
      <c r="H214" s="20" t="str">
        <f t="shared" si="58"/>
        <v/>
      </c>
      <c r="I214" s="119" t="str">
        <f t="shared" si="59"/>
        <v/>
      </c>
    </row>
    <row r="215" spans="2:9" x14ac:dyDescent="0.2">
      <c r="B215" s="12" t="str">
        <f>$B$17</f>
        <v>Terbutylazine</v>
      </c>
      <c r="C215" s="34" t="str">
        <f>IF(VLOOKUP(OW_RG_5[[#This Row],[Component]],Concentraties!$B$22:$L$29,10,FALSE)="","",VLOOKUP(OW_RG_5[[#This Row],[Component]],Concentraties!$B$22:$L$29,10,FALSE))</f>
        <v/>
      </c>
      <c r="D215" s="38"/>
      <c r="E215" s="40"/>
      <c r="F215" s="40"/>
      <c r="G215" s="37"/>
      <c r="H215" s="20" t="str">
        <f t="shared" si="58"/>
        <v/>
      </c>
      <c r="I215" s="119" t="str">
        <f t="shared" si="59"/>
        <v/>
      </c>
    </row>
    <row r="217" spans="2:9" ht="20.25" x14ac:dyDescent="0.3">
      <c r="B217" s="8" t="s">
        <v>79</v>
      </c>
    </row>
    <row r="218" spans="2:9" ht="39" thickBot="1" x14ac:dyDescent="0.25">
      <c r="B218" s="14" t="s">
        <v>2</v>
      </c>
      <c r="C218" s="15" t="s">
        <v>151</v>
      </c>
      <c r="D218" s="15" t="s">
        <v>3</v>
      </c>
      <c r="E218" s="15" t="s">
        <v>47</v>
      </c>
      <c r="F218" s="15" t="s">
        <v>48</v>
      </c>
      <c r="G218" s="15" t="s">
        <v>152</v>
      </c>
      <c r="H218" s="36" t="s">
        <v>4</v>
      </c>
      <c r="I218" s="117" t="s">
        <v>5</v>
      </c>
    </row>
    <row r="219" spans="2:9" ht="13.5" thickTop="1" x14ac:dyDescent="0.2">
      <c r="B219" s="13" t="str">
        <f>$B$10</f>
        <v>Alachloor</v>
      </c>
      <c r="C219" s="20" t="str">
        <f>IF(VLOOKUP(OW_RG_6[[#This Row],[Component]],Concentraties!$B$22:$L$29,10,FALSE)="","",VLOOKUP(OW_RG_6[[#This Row],[Component]],Concentraties!$B$22:$L$29,10,FALSE))</f>
        <v/>
      </c>
      <c r="D219" s="37"/>
      <c r="E219" s="39"/>
      <c r="F219" s="39"/>
      <c r="G219" s="37"/>
      <c r="H219" s="20" t="str">
        <f t="shared" ref="H219:H226" si="60">IFERROR(IF(C219="-","N.v.t.",IF(G219="","",100*G219/C219)),"")</f>
        <v/>
      </c>
      <c r="I219" s="118" t="str">
        <f t="shared" ref="I219:I226" si="61">IFERROR(MIN(E219,F219)/MAX(E219,F219),"")</f>
        <v/>
      </c>
    </row>
    <row r="220" spans="2:9" x14ac:dyDescent="0.2">
      <c r="B220" s="12" t="str">
        <f>$B$11</f>
        <v>Atrazine</v>
      </c>
      <c r="C220" s="20" t="str">
        <f>IF(VLOOKUP(OW_RG_6[[#This Row],[Component]],Concentraties!$B$22:$L$29,10,FALSE)="","",VLOOKUP(OW_RG_6[[#This Row],[Component]],Concentraties!$B$22:$L$29,10,FALSE))</f>
        <v/>
      </c>
      <c r="D220" s="38"/>
      <c r="E220" s="40"/>
      <c r="F220" s="40"/>
      <c r="G220" s="37"/>
      <c r="H220" s="20" t="str">
        <f t="shared" si="60"/>
        <v/>
      </c>
      <c r="I220" s="119" t="str">
        <f t="shared" si="61"/>
        <v/>
      </c>
    </row>
    <row r="221" spans="2:9" x14ac:dyDescent="0.2">
      <c r="B221" s="12" t="str">
        <f>$B$12</f>
        <v>Chloorpyrifos-ethyl</v>
      </c>
      <c r="C221" s="20" t="str">
        <f>IF(VLOOKUP(OW_RG_6[[#This Row],[Component]],Concentraties!$B$22:$L$29,10,FALSE)="","",VLOOKUP(OW_RG_6[[#This Row],[Component]],Concentraties!$B$22:$L$29,10,FALSE))</f>
        <v/>
      </c>
      <c r="D221" s="38"/>
      <c r="E221" s="40"/>
      <c r="F221" s="40"/>
      <c r="G221" s="37"/>
      <c r="H221" s="20" t="str">
        <f t="shared" si="60"/>
        <v/>
      </c>
      <c r="I221" s="119" t="str">
        <f t="shared" si="61"/>
        <v/>
      </c>
    </row>
    <row r="222" spans="2:9" x14ac:dyDescent="0.2">
      <c r="B222" s="12" t="str">
        <f>$B$13</f>
        <v>Flutianil</v>
      </c>
      <c r="C222" s="20" t="str">
        <f>IF(VLOOKUP(OW_RG_6[[#This Row],[Component]],Concentraties!$B$22:$L$29,10,FALSE)="","",VLOOKUP(OW_RG_6[[#This Row],[Component]],Concentraties!$B$22:$L$29,10,FALSE))</f>
        <v/>
      </c>
      <c r="D222" s="38"/>
      <c r="E222" s="40"/>
      <c r="F222" s="40"/>
      <c r="G222" s="37"/>
      <c r="H222" s="20" t="str">
        <f t="shared" si="60"/>
        <v/>
      </c>
      <c r="I222" s="119" t="str">
        <f t="shared" si="61"/>
        <v/>
      </c>
    </row>
    <row r="223" spans="2:9" x14ac:dyDescent="0.2">
      <c r="B223" s="12" t="str">
        <f>$B$14</f>
        <v>Fosalon</v>
      </c>
      <c r="C223" s="20" t="str">
        <f>IF(VLOOKUP(OW_RG_6[[#This Row],[Component]],Concentraties!$B$22:$L$29,10,FALSE)="","",VLOOKUP(OW_RG_6[[#This Row],[Component]],Concentraties!$B$22:$L$29,10,FALSE))</f>
        <v/>
      </c>
      <c r="D223" s="38"/>
      <c r="E223" s="40"/>
      <c r="F223" s="40"/>
      <c r="G223" s="37"/>
      <c r="H223" s="20" t="str">
        <f t="shared" si="60"/>
        <v/>
      </c>
      <c r="I223" s="119" t="str">
        <f t="shared" si="61"/>
        <v/>
      </c>
    </row>
    <row r="224" spans="2:9" x14ac:dyDescent="0.2">
      <c r="B224" s="12" t="str">
        <f>$B$15</f>
        <v>Penconazool</v>
      </c>
      <c r="C224" s="20" t="str">
        <f>IF(VLOOKUP(OW_RG_6[[#This Row],[Component]],Concentraties!$B$22:$L$29,10,FALSE)="","",VLOOKUP(OW_RG_6[[#This Row],[Component]],Concentraties!$B$22:$L$29,10,FALSE))</f>
        <v/>
      </c>
      <c r="D224" s="38"/>
      <c r="E224" s="40"/>
      <c r="F224" s="40"/>
      <c r="G224" s="37"/>
      <c r="H224" s="20" t="str">
        <f t="shared" si="60"/>
        <v/>
      </c>
      <c r="I224" s="119" t="str">
        <f t="shared" si="61"/>
        <v/>
      </c>
    </row>
    <row r="225" spans="2:10" x14ac:dyDescent="0.2">
      <c r="B225" s="12" t="str">
        <f>$B$16</f>
        <v>Pyrimethanil</v>
      </c>
      <c r="C225" s="20" t="str">
        <f>IF(VLOOKUP(OW_RG_6[[#This Row],[Component]],Concentraties!$B$22:$L$29,10,FALSE)="","",VLOOKUP(OW_RG_6[[#This Row],[Component]],Concentraties!$B$22:$L$29,10,FALSE))</f>
        <v/>
      </c>
      <c r="D225" s="38"/>
      <c r="E225" s="40"/>
      <c r="F225" s="40"/>
      <c r="G225" s="37"/>
      <c r="H225" s="20" t="str">
        <f t="shared" si="60"/>
        <v/>
      </c>
      <c r="I225" s="119" t="str">
        <f t="shared" si="61"/>
        <v/>
      </c>
    </row>
    <row r="226" spans="2:10" x14ac:dyDescent="0.2">
      <c r="B226" s="12" t="str">
        <f>$B$17</f>
        <v>Terbutylazine</v>
      </c>
      <c r="C226" s="20" t="str">
        <f>IF(VLOOKUP(OW_RG_6[[#This Row],[Component]],Concentraties!$B$22:$L$29,10,FALSE)="","",VLOOKUP(OW_RG_6[[#This Row],[Component]],Concentraties!$B$22:$L$29,10,FALSE))</f>
        <v/>
      </c>
      <c r="D226" s="38"/>
      <c r="E226" s="40"/>
      <c r="F226" s="40"/>
      <c r="G226" s="37"/>
      <c r="H226" s="20" t="str">
        <f t="shared" si="60"/>
        <v/>
      </c>
      <c r="I226" s="119" t="str">
        <f t="shared" si="61"/>
        <v/>
      </c>
    </row>
    <row r="227" spans="2:10" x14ac:dyDescent="0.2">
      <c r="B227" s="10"/>
      <c r="C227" s="11"/>
    </row>
    <row r="228" spans="2:10" ht="20.25" x14ac:dyDescent="0.3">
      <c r="B228" s="8" t="s">
        <v>80</v>
      </c>
    </row>
    <row r="229" spans="2:10" ht="39" thickBot="1" x14ac:dyDescent="0.25">
      <c r="B229" s="14" t="s">
        <v>2</v>
      </c>
      <c r="C229" s="15" t="s">
        <v>151</v>
      </c>
      <c r="D229" s="15" t="s">
        <v>3</v>
      </c>
      <c r="E229" s="15" t="s">
        <v>47</v>
      </c>
      <c r="F229" s="15" t="s">
        <v>48</v>
      </c>
      <c r="G229" s="15" t="s">
        <v>152</v>
      </c>
      <c r="H229" s="36" t="s">
        <v>4</v>
      </c>
      <c r="I229" s="117" t="s">
        <v>5</v>
      </c>
    </row>
    <row r="230" spans="2:10" ht="13.5" thickTop="1" x14ac:dyDescent="0.2">
      <c r="B230" s="13" t="str">
        <f>$B$10</f>
        <v>Alachloor</v>
      </c>
      <c r="C230" s="20" t="str">
        <f>IF(VLOOKUP(OW_RG_7[[#This Row],[Component]],Concentraties!$B$22:$L$29,10,FALSE)="","",VLOOKUP(OW_RG_7[[#This Row],[Component]],Concentraties!$B$22:$L$29,10,FALSE))</f>
        <v/>
      </c>
      <c r="D230" s="37"/>
      <c r="E230" s="39"/>
      <c r="F230" s="39"/>
      <c r="G230" s="37"/>
      <c r="H230" s="20" t="str">
        <f t="shared" ref="H230:H237" si="62">IFERROR(IF(C230="-","N.v.t.",IF(G230="","",100*G230/C230)),"")</f>
        <v/>
      </c>
      <c r="I230" s="118" t="str">
        <f t="shared" ref="I230:I237" si="63">IFERROR(MIN(E230,F230)/MAX(E230,F230),"")</f>
        <v/>
      </c>
    </row>
    <row r="231" spans="2:10" x14ac:dyDescent="0.2">
      <c r="B231" s="12" t="str">
        <f>$B$11</f>
        <v>Atrazine</v>
      </c>
      <c r="C231" s="20" t="str">
        <f>IF(VLOOKUP(OW_RG_7[[#This Row],[Component]],Concentraties!$B$22:$L$29,10,FALSE)="","",VLOOKUP(OW_RG_7[[#This Row],[Component]],Concentraties!$B$22:$L$29,10,FALSE))</f>
        <v/>
      </c>
      <c r="D231" s="38"/>
      <c r="E231" s="40"/>
      <c r="F231" s="40"/>
      <c r="G231" s="37"/>
      <c r="H231" s="20" t="str">
        <f t="shared" si="62"/>
        <v/>
      </c>
      <c r="I231" s="119" t="str">
        <f t="shared" si="63"/>
        <v/>
      </c>
    </row>
    <row r="232" spans="2:10" x14ac:dyDescent="0.2">
      <c r="B232" s="12" t="str">
        <f>$B$12</f>
        <v>Chloorpyrifos-ethyl</v>
      </c>
      <c r="C232" s="20" t="str">
        <f>IF(VLOOKUP(OW_RG_7[[#This Row],[Component]],Concentraties!$B$22:$L$29,10,FALSE)="","",VLOOKUP(OW_RG_7[[#This Row],[Component]],Concentraties!$B$22:$L$29,10,FALSE))</f>
        <v/>
      </c>
      <c r="D232" s="38"/>
      <c r="E232" s="40"/>
      <c r="F232" s="40"/>
      <c r="G232" s="37"/>
      <c r="H232" s="20" t="str">
        <f t="shared" si="62"/>
        <v/>
      </c>
      <c r="I232" s="119" t="str">
        <f t="shared" si="63"/>
        <v/>
      </c>
    </row>
    <row r="233" spans="2:10" x14ac:dyDescent="0.2">
      <c r="B233" s="12" t="str">
        <f>$B$13</f>
        <v>Flutianil</v>
      </c>
      <c r="C233" s="20" t="str">
        <f>IF(VLOOKUP(OW_RG_7[[#This Row],[Component]],Concentraties!$B$22:$L$29,10,FALSE)="","",VLOOKUP(OW_RG_7[[#This Row],[Component]],Concentraties!$B$22:$L$29,10,FALSE))</f>
        <v/>
      </c>
      <c r="D233" s="38"/>
      <c r="E233" s="40"/>
      <c r="F233" s="40"/>
      <c r="G233" s="37"/>
      <c r="H233" s="20" t="str">
        <f t="shared" si="62"/>
        <v/>
      </c>
      <c r="I233" s="119" t="str">
        <f t="shared" si="63"/>
        <v/>
      </c>
    </row>
    <row r="234" spans="2:10" x14ac:dyDescent="0.2">
      <c r="B234" s="12" t="str">
        <f>$B$14</f>
        <v>Fosalon</v>
      </c>
      <c r="C234" s="20" t="str">
        <f>IF(VLOOKUP(OW_RG_7[[#This Row],[Component]],Concentraties!$B$22:$L$29,10,FALSE)="","",VLOOKUP(OW_RG_7[[#This Row],[Component]],Concentraties!$B$22:$L$29,10,FALSE))</f>
        <v/>
      </c>
      <c r="D234" s="38"/>
      <c r="E234" s="40"/>
      <c r="F234" s="40"/>
      <c r="G234" s="37"/>
      <c r="H234" s="20" t="str">
        <f t="shared" si="62"/>
        <v/>
      </c>
      <c r="I234" s="119" t="str">
        <f t="shared" si="63"/>
        <v/>
      </c>
    </row>
    <row r="235" spans="2:10" x14ac:dyDescent="0.2">
      <c r="B235" s="12" t="str">
        <f>$B$15</f>
        <v>Penconazool</v>
      </c>
      <c r="C235" s="20" t="str">
        <f>IF(VLOOKUP(OW_RG_7[[#This Row],[Component]],Concentraties!$B$22:$L$29,10,FALSE)="","",VLOOKUP(OW_RG_7[[#This Row],[Component]],Concentraties!$B$22:$L$29,10,FALSE))</f>
        <v/>
      </c>
      <c r="D235" s="38"/>
      <c r="E235" s="40"/>
      <c r="F235" s="40"/>
      <c r="G235" s="37"/>
      <c r="H235" s="20" t="str">
        <f t="shared" si="62"/>
        <v/>
      </c>
      <c r="I235" s="119" t="str">
        <f t="shared" si="63"/>
        <v/>
      </c>
    </row>
    <row r="236" spans="2:10" x14ac:dyDescent="0.2">
      <c r="B236" s="12" t="str">
        <f>$B$16</f>
        <v>Pyrimethanil</v>
      </c>
      <c r="C236" s="20" t="str">
        <f>IF(VLOOKUP(OW_RG_7[[#This Row],[Component]],Concentraties!$B$22:$L$29,10,FALSE)="","",VLOOKUP(OW_RG_7[[#This Row],[Component]],Concentraties!$B$22:$L$29,10,FALSE))</f>
        <v/>
      </c>
      <c r="D236" s="38"/>
      <c r="E236" s="40"/>
      <c r="F236" s="40"/>
      <c r="G236" s="37"/>
      <c r="H236" s="20" t="str">
        <f t="shared" si="62"/>
        <v/>
      </c>
      <c r="I236" s="119" t="str">
        <f t="shared" si="63"/>
        <v/>
      </c>
    </row>
    <row r="237" spans="2:10" x14ac:dyDescent="0.2">
      <c r="B237" s="12" t="str">
        <f>$B$17</f>
        <v>Terbutylazine</v>
      </c>
      <c r="C237" s="20" t="str">
        <f>IF(VLOOKUP(OW_RG_7[[#This Row],[Component]],Concentraties!$B$22:$L$29,10,FALSE)="","",VLOOKUP(OW_RG_7[[#This Row],[Component]],Concentraties!$B$22:$L$29,10,FALSE))</f>
        <v/>
      </c>
      <c r="D237" s="38"/>
      <c r="E237" s="40"/>
      <c r="F237" s="40"/>
      <c r="G237" s="37"/>
      <c r="H237" s="20" t="str">
        <f t="shared" si="62"/>
        <v/>
      </c>
      <c r="I237" s="119" t="str">
        <f t="shared" si="63"/>
        <v/>
      </c>
    </row>
    <row r="238" spans="2:10" x14ac:dyDescent="0.2">
      <c r="J238" s="65"/>
    </row>
    <row r="239" spans="2:10" ht="20.25" x14ac:dyDescent="0.3">
      <c r="B239" s="8" t="s">
        <v>81</v>
      </c>
    </row>
    <row r="240" spans="2:10" ht="39" thickBot="1" x14ac:dyDescent="0.25">
      <c r="B240" s="14" t="s">
        <v>2</v>
      </c>
      <c r="C240" s="15" t="s">
        <v>151</v>
      </c>
      <c r="D240" s="15" t="s">
        <v>3</v>
      </c>
      <c r="E240" s="15" t="s">
        <v>47</v>
      </c>
      <c r="F240" s="15" t="s">
        <v>48</v>
      </c>
      <c r="G240" s="15" t="s">
        <v>152</v>
      </c>
      <c r="H240" s="36" t="s">
        <v>4</v>
      </c>
      <c r="I240" s="117" t="s">
        <v>5</v>
      </c>
    </row>
    <row r="241" spans="2:9" ht="13.5" thickTop="1" x14ac:dyDescent="0.2">
      <c r="B241" s="13" t="str">
        <f>$B$10</f>
        <v>Alachloor</v>
      </c>
      <c r="C241" s="20" t="str">
        <f>IF(VLOOKUP(OW_RG_8[[#This Row],[Component]],Concentraties!$B$22:$L$29,10,FALSE)="","",VLOOKUP(OW_RG_8[[#This Row],[Component]],Concentraties!$B$22:$L$29,10,FALSE))</f>
        <v/>
      </c>
      <c r="D241" s="37"/>
      <c r="E241" s="39"/>
      <c r="F241" s="39"/>
      <c r="G241" s="37"/>
      <c r="H241" s="20" t="str">
        <f t="shared" ref="H241:H248" si="64">IFERROR(IF(C241="-","N.v.t.",IF(G241="","",100*G241/C241)),"")</f>
        <v/>
      </c>
      <c r="I241" s="118" t="str">
        <f t="shared" ref="I241:I248" si="65">IFERROR(MIN(E241,F241)/MAX(E241,F241),"")</f>
        <v/>
      </c>
    </row>
    <row r="242" spans="2:9" x14ac:dyDescent="0.2">
      <c r="B242" s="12" t="str">
        <f>$B$11</f>
        <v>Atrazine</v>
      </c>
      <c r="C242" s="20" t="str">
        <f>IF(VLOOKUP(OW_RG_8[[#This Row],[Component]],Concentraties!$B$22:$L$29,10,FALSE)="","",VLOOKUP(OW_RG_8[[#This Row],[Component]],Concentraties!$B$22:$L$29,10,FALSE))</f>
        <v/>
      </c>
      <c r="D242" s="38"/>
      <c r="E242" s="40"/>
      <c r="F242" s="40"/>
      <c r="G242" s="37"/>
      <c r="H242" s="20" t="str">
        <f t="shared" si="64"/>
        <v/>
      </c>
      <c r="I242" s="119" t="str">
        <f t="shared" si="65"/>
        <v/>
      </c>
    </row>
    <row r="243" spans="2:9" x14ac:dyDescent="0.2">
      <c r="B243" s="12" t="str">
        <f>$B$12</f>
        <v>Chloorpyrifos-ethyl</v>
      </c>
      <c r="C243" s="20" t="str">
        <f>IF(VLOOKUP(OW_RG_8[[#This Row],[Component]],Concentraties!$B$22:$L$29,10,FALSE)="","",VLOOKUP(OW_RG_8[[#This Row],[Component]],Concentraties!$B$22:$L$29,10,FALSE))</f>
        <v/>
      </c>
      <c r="D243" s="38"/>
      <c r="E243" s="40"/>
      <c r="F243" s="40"/>
      <c r="G243" s="37"/>
      <c r="H243" s="20" t="str">
        <f t="shared" si="64"/>
        <v/>
      </c>
      <c r="I243" s="119" t="str">
        <f t="shared" si="65"/>
        <v/>
      </c>
    </row>
    <row r="244" spans="2:9" x14ac:dyDescent="0.2">
      <c r="B244" s="12" t="str">
        <f>$B$13</f>
        <v>Flutianil</v>
      </c>
      <c r="C244" s="20" t="str">
        <f>IF(VLOOKUP(OW_RG_8[[#This Row],[Component]],Concentraties!$B$22:$L$29,10,FALSE)="","",VLOOKUP(OW_RG_8[[#This Row],[Component]],Concentraties!$B$22:$L$29,10,FALSE))</f>
        <v/>
      </c>
      <c r="D244" s="38"/>
      <c r="E244" s="40"/>
      <c r="F244" s="40"/>
      <c r="G244" s="37"/>
      <c r="H244" s="20" t="str">
        <f t="shared" si="64"/>
        <v/>
      </c>
      <c r="I244" s="119" t="str">
        <f t="shared" si="65"/>
        <v/>
      </c>
    </row>
    <row r="245" spans="2:9" x14ac:dyDescent="0.2">
      <c r="B245" s="12" t="str">
        <f>$B$14</f>
        <v>Fosalon</v>
      </c>
      <c r="C245" s="20" t="str">
        <f>IF(VLOOKUP(OW_RG_8[[#This Row],[Component]],Concentraties!$B$22:$L$29,10,FALSE)="","",VLOOKUP(OW_RG_8[[#This Row],[Component]],Concentraties!$B$22:$L$29,10,FALSE))</f>
        <v/>
      </c>
      <c r="D245" s="38"/>
      <c r="E245" s="40"/>
      <c r="F245" s="40"/>
      <c r="G245" s="37"/>
      <c r="H245" s="20" t="str">
        <f t="shared" si="64"/>
        <v/>
      </c>
      <c r="I245" s="119" t="str">
        <f t="shared" si="65"/>
        <v/>
      </c>
    </row>
    <row r="246" spans="2:9" x14ac:dyDescent="0.2">
      <c r="B246" s="12" t="str">
        <f>$B$15</f>
        <v>Penconazool</v>
      </c>
      <c r="C246" s="20" t="str">
        <f>IF(VLOOKUP(OW_RG_8[[#This Row],[Component]],Concentraties!$B$22:$L$29,10,FALSE)="","",VLOOKUP(OW_RG_8[[#This Row],[Component]],Concentraties!$B$22:$L$29,10,FALSE))</f>
        <v/>
      </c>
      <c r="D246" s="38"/>
      <c r="E246" s="40"/>
      <c r="F246" s="40"/>
      <c r="G246" s="37"/>
      <c r="H246" s="20" t="str">
        <f t="shared" si="64"/>
        <v/>
      </c>
      <c r="I246" s="119" t="str">
        <f t="shared" si="65"/>
        <v/>
      </c>
    </row>
    <row r="247" spans="2:9" x14ac:dyDescent="0.2">
      <c r="B247" s="12" t="str">
        <f>$B$16</f>
        <v>Pyrimethanil</v>
      </c>
      <c r="C247" s="20" t="str">
        <f>IF(VLOOKUP(OW_RG_8[[#This Row],[Component]],Concentraties!$B$22:$L$29,10,FALSE)="","",VLOOKUP(OW_RG_8[[#This Row],[Component]],Concentraties!$B$22:$L$29,10,FALSE))</f>
        <v/>
      </c>
      <c r="D247" s="38"/>
      <c r="E247" s="40"/>
      <c r="F247" s="40"/>
      <c r="G247" s="37"/>
      <c r="H247" s="20" t="str">
        <f t="shared" si="64"/>
        <v/>
      </c>
      <c r="I247" s="119" t="str">
        <f t="shared" si="65"/>
        <v/>
      </c>
    </row>
    <row r="248" spans="2:9" x14ac:dyDescent="0.2">
      <c r="B248" s="12" t="str">
        <f>$B$17</f>
        <v>Terbutylazine</v>
      </c>
      <c r="C248" s="20" t="str">
        <f>IF(VLOOKUP(OW_RG_8[[#This Row],[Component]],Concentraties!$B$22:$L$29,10,FALSE)="","",VLOOKUP(OW_RG_8[[#This Row],[Component]],Concentraties!$B$22:$L$29,10,FALSE))</f>
        <v/>
      </c>
      <c r="D248" s="38"/>
      <c r="E248" s="40"/>
      <c r="F248" s="40"/>
      <c r="G248" s="37"/>
      <c r="H248" s="20" t="str">
        <f t="shared" si="64"/>
        <v/>
      </c>
      <c r="I248" s="119" t="str">
        <f t="shared" si="65"/>
        <v/>
      </c>
    </row>
    <row r="250" spans="2:9" ht="20.25" x14ac:dyDescent="0.3">
      <c r="B250" s="8" t="s">
        <v>171</v>
      </c>
    </row>
    <row r="251" spans="2:9" ht="39" thickBot="1" x14ac:dyDescent="0.25">
      <c r="B251" s="14" t="s">
        <v>2</v>
      </c>
      <c r="C251" s="15" t="s">
        <v>151</v>
      </c>
      <c r="D251" s="15" t="s">
        <v>3</v>
      </c>
      <c r="E251" s="15" t="s">
        <v>47</v>
      </c>
      <c r="F251" s="15" t="s">
        <v>48</v>
      </c>
      <c r="G251" s="15" t="s">
        <v>152</v>
      </c>
      <c r="H251" s="36" t="s">
        <v>4</v>
      </c>
      <c r="I251" s="117" t="s">
        <v>5</v>
      </c>
    </row>
    <row r="252" spans="2:9" ht="13.5" thickTop="1" x14ac:dyDescent="0.2">
      <c r="B252" s="13" t="str">
        <f>$B$10</f>
        <v>Alachloor</v>
      </c>
      <c r="C252" s="20">
        <f>IF(VLOOKUP(OW_CheckSTD3_2[[#This Row],[Component]],Concentraties!$B$22:$L$29,5,FALSE)="","",VLOOKUP(OW_CheckSTD3_2[[#This Row],[Component]],Concentraties!$B$22:$L$29,5,FALSE))</f>
        <v>3.6699000000000002</v>
      </c>
      <c r="D252" s="37"/>
      <c r="E252" s="39"/>
      <c r="F252" s="39"/>
      <c r="G252" s="37"/>
      <c r="H252" s="20" t="str">
        <f t="shared" ref="H252:H259" si="66">IFERROR(IF(C252="-","N.v.t.",IF(G252="","",100*G252/C252)),"")</f>
        <v/>
      </c>
      <c r="I252" s="118" t="str">
        <f t="shared" ref="I252:I259" si="67">IFERROR(MIN(E252,F252)/MAX(E252,F252),"")</f>
        <v/>
      </c>
    </row>
    <row r="253" spans="2:9" x14ac:dyDescent="0.2">
      <c r="B253" s="12" t="str">
        <f>$B$11</f>
        <v>Atrazine</v>
      </c>
      <c r="C253" s="34">
        <f>IF(VLOOKUP(OW_CheckSTD3_2[[#This Row],[Component]],Concentraties!$B$22:$L$29,5,FALSE)="","",VLOOKUP(OW_CheckSTD3_2[[#This Row],[Component]],Concentraties!$B$22:$L$29,5,FALSE))</f>
        <v>3.6680999999999999</v>
      </c>
      <c r="D253" s="38"/>
      <c r="E253" s="40"/>
      <c r="F253" s="40"/>
      <c r="G253" s="37"/>
      <c r="H253" s="20" t="str">
        <f t="shared" si="66"/>
        <v/>
      </c>
      <c r="I253" s="119" t="str">
        <f t="shared" si="67"/>
        <v/>
      </c>
    </row>
    <row r="254" spans="2:9" x14ac:dyDescent="0.2">
      <c r="B254" s="12" t="str">
        <f>$B$12</f>
        <v>Chloorpyrifos-ethyl</v>
      </c>
      <c r="C254" s="34">
        <f>IF(VLOOKUP(OW_CheckSTD3_2[[#This Row],[Component]],Concentraties!$B$22:$L$29,5,FALSE)="","",VLOOKUP(OW_CheckSTD3_2[[#This Row],[Component]],Concentraties!$B$22:$L$29,5,FALSE))</f>
        <v>3.6619000000000002</v>
      </c>
      <c r="D254" s="38"/>
      <c r="E254" s="40"/>
      <c r="F254" s="40"/>
      <c r="G254" s="37"/>
      <c r="H254" s="20" t="str">
        <f t="shared" si="66"/>
        <v/>
      </c>
      <c r="I254" s="119" t="str">
        <f t="shared" si="67"/>
        <v/>
      </c>
    </row>
    <row r="255" spans="2:9" x14ac:dyDescent="0.2">
      <c r="B255" s="12" t="str">
        <f>$B$13</f>
        <v>Flutianil</v>
      </c>
      <c r="C255" s="34">
        <f>IF(VLOOKUP(OW_CheckSTD3_2[[#This Row],[Component]],Concentraties!$B$22:$L$29,5,FALSE)="","",VLOOKUP(OW_CheckSTD3_2[[#This Row],[Component]],Concentraties!$B$22:$L$29,5,FALSE))</f>
        <v>3.6473</v>
      </c>
      <c r="D255" s="38"/>
      <c r="E255" s="40"/>
      <c r="F255" s="40"/>
      <c r="G255" s="37"/>
      <c r="H255" s="20" t="str">
        <f t="shared" si="66"/>
        <v/>
      </c>
      <c r="I255" s="119" t="str">
        <f t="shared" si="67"/>
        <v/>
      </c>
    </row>
    <row r="256" spans="2:9" x14ac:dyDescent="0.2">
      <c r="B256" s="12" t="str">
        <f>$B$14</f>
        <v>Fosalon</v>
      </c>
      <c r="C256" s="34">
        <f>IF(VLOOKUP(OW_CheckSTD3_2[[#This Row],[Component]],Concentraties!$B$22:$L$29,5,FALSE)="","",VLOOKUP(OW_CheckSTD3_2[[#This Row],[Component]],Concentraties!$B$22:$L$29,5,FALSE))</f>
        <v>3.6911999999999998</v>
      </c>
      <c r="D256" s="38"/>
      <c r="E256" s="40"/>
      <c r="F256" s="40"/>
      <c r="G256" s="37"/>
      <c r="H256" s="20" t="str">
        <f t="shared" si="66"/>
        <v/>
      </c>
      <c r="I256" s="119" t="str">
        <f t="shared" si="67"/>
        <v/>
      </c>
    </row>
    <row r="257" spans="2:9" x14ac:dyDescent="0.2">
      <c r="B257" s="12" t="str">
        <f>$B$15</f>
        <v>Penconazool</v>
      </c>
      <c r="C257" s="34">
        <f>IF(VLOOKUP(OW_CheckSTD3_2[[#This Row],[Component]],Concentraties!$B$22:$L$29,5,FALSE)="","",VLOOKUP(OW_CheckSTD3_2[[#This Row],[Component]],Concentraties!$B$22:$L$29,5,FALSE))</f>
        <v>3.6570999999999998</v>
      </c>
      <c r="D257" s="38"/>
      <c r="E257" s="40"/>
      <c r="F257" s="40"/>
      <c r="G257" s="37"/>
      <c r="H257" s="20" t="str">
        <f t="shared" si="66"/>
        <v/>
      </c>
      <c r="I257" s="119" t="str">
        <f t="shared" si="67"/>
        <v/>
      </c>
    </row>
    <row r="258" spans="2:9" x14ac:dyDescent="0.2">
      <c r="B258" s="12" t="str">
        <f>$B$16</f>
        <v>Pyrimethanil</v>
      </c>
      <c r="C258" s="34">
        <f>IF(VLOOKUP(OW_CheckSTD3_2[[#This Row],[Component]],Concentraties!$B$22:$L$29,5,FALSE)="","",VLOOKUP(OW_CheckSTD3_2[[#This Row],[Component]],Concentraties!$B$22:$L$29,5,FALSE))</f>
        <v>3.6857000000000002</v>
      </c>
      <c r="D258" s="38"/>
      <c r="E258" s="40"/>
      <c r="F258" s="40"/>
      <c r="G258" s="37"/>
      <c r="H258" s="20" t="str">
        <f t="shared" si="66"/>
        <v/>
      </c>
      <c r="I258" s="119" t="str">
        <f t="shared" si="67"/>
        <v/>
      </c>
    </row>
    <row r="259" spans="2:9" x14ac:dyDescent="0.2">
      <c r="B259" s="12" t="str">
        <f>$B$17</f>
        <v>Terbutylazine</v>
      </c>
      <c r="C259" s="34">
        <f>IF(VLOOKUP(OW_CheckSTD3_2[[#This Row],[Component]],Concentraties!$B$22:$L$29,5,FALSE)="","",VLOOKUP(OW_CheckSTD3_2[[#This Row],[Component]],Concentraties!$B$22:$L$29,5,FALSE))</f>
        <v>3.6736</v>
      </c>
      <c r="D259" s="38"/>
      <c r="E259" s="40"/>
      <c r="F259" s="40"/>
      <c r="G259" s="37"/>
      <c r="H259" s="20" t="str">
        <f t="shared" si="66"/>
        <v/>
      </c>
      <c r="I259" s="119" t="str">
        <f t="shared" si="67"/>
        <v/>
      </c>
    </row>
    <row r="260" spans="2:9" x14ac:dyDescent="0.2">
      <c r="C260" s="35"/>
    </row>
    <row r="261" spans="2:9" ht="20.25" x14ac:dyDescent="0.3">
      <c r="B261" s="8" t="s">
        <v>82</v>
      </c>
      <c r="C261" s="35"/>
    </row>
    <row r="262" spans="2:9" ht="39" thickBot="1" x14ac:dyDescent="0.25">
      <c r="B262" s="14" t="s">
        <v>2</v>
      </c>
      <c r="C262" s="15" t="s">
        <v>151</v>
      </c>
      <c r="D262" s="15" t="s">
        <v>3</v>
      </c>
      <c r="E262" s="15" t="s">
        <v>47</v>
      </c>
      <c r="F262" s="15" t="s">
        <v>48</v>
      </c>
      <c r="G262" s="15" t="s">
        <v>152</v>
      </c>
      <c r="H262" s="36" t="s">
        <v>4</v>
      </c>
      <c r="I262" s="117" t="s">
        <v>5</v>
      </c>
    </row>
    <row r="263" spans="2:9" ht="13.5" thickTop="1" x14ac:dyDescent="0.2">
      <c r="B263" s="13" t="str">
        <f>$B$10</f>
        <v>Alachloor</v>
      </c>
      <c r="C263" s="20" t="str">
        <f>IF(VLOOKUP(OW_Standaard_Hoog[[#This Row],[Component]],Concentraties!$B$22:$L$29,11,FALSE)="","",VLOOKUP(OW_Standaard_Hoog[[#This Row],[Component]],Concentraties!$B$22:$L$29,11,FALSE))</f>
        <v/>
      </c>
      <c r="D263" s="37"/>
      <c r="E263" s="39"/>
      <c r="F263" s="39"/>
      <c r="G263" s="37"/>
      <c r="H263" s="20" t="str">
        <f t="shared" ref="H263:H270" si="68">IFERROR(IF(C263="-","N.v.t.",IF(G263="","",100*G263/C263)),"")</f>
        <v/>
      </c>
      <c r="I263" s="118" t="str">
        <f t="shared" ref="I263:I270" si="69">IFERROR(MIN(E263,F263)/MAX(E263,F263),"")</f>
        <v/>
      </c>
    </row>
    <row r="264" spans="2:9" x14ac:dyDescent="0.2">
      <c r="B264" s="12" t="str">
        <f>$B$11</f>
        <v>Atrazine</v>
      </c>
      <c r="C264" s="34" t="str">
        <f>IF(VLOOKUP(OW_Standaard_Hoog[[#This Row],[Component]],Concentraties!$B$22:$L$29,11,FALSE)="","",VLOOKUP(OW_Standaard_Hoog[[#This Row],[Component]],Concentraties!$B$22:$L$29,11,FALSE))</f>
        <v/>
      </c>
      <c r="D264" s="38"/>
      <c r="E264" s="40"/>
      <c r="F264" s="40"/>
      <c r="G264" s="37"/>
      <c r="H264" s="20" t="str">
        <f t="shared" si="68"/>
        <v/>
      </c>
      <c r="I264" s="119" t="str">
        <f t="shared" si="69"/>
        <v/>
      </c>
    </row>
    <row r="265" spans="2:9" x14ac:dyDescent="0.2">
      <c r="B265" s="12" t="str">
        <f>$B$12</f>
        <v>Chloorpyrifos-ethyl</v>
      </c>
      <c r="C265" s="34" t="str">
        <f>IF(VLOOKUP(OW_Standaard_Hoog[[#This Row],[Component]],Concentraties!$B$22:$L$29,11,FALSE)="","",VLOOKUP(OW_Standaard_Hoog[[#This Row],[Component]],Concentraties!$B$22:$L$29,11,FALSE))</f>
        <v/>
      </c>
      <c r="D265" s="38"/>
      <c r="E265" s="40"/>
      <c r="F265" s="40"/>
      <c r="G265" s="37"/>
      <c r="H265" s="20" t="str">
        <f t="shared" si="68"/>
        <v/>
      </c>
      <c r="I265" s="119" t="str">
        <f t="shared" si="69"/>
        <v/>
      </c>
    </row>
    <row r="266" spans="2:9" x14ac:dyDescent="0.2">
      <c r="B266" s="12" t="str">
        <f>$B$13</f>
        <v>Flutianil</v>
      </c>
      <c r="C266" s="34" t="str">
        <f>IF(VLOOKUP(OW_Standaard_Hoog[[#This Row],[Component]],Concentraties!$B$22:$L$29,11,FALSE)="","",VLOOKUP(OW_Standaard_Hoog[[#This Row],[Component]],Concentraties!$B$22:$L$29,11,FALSE))</f>
        <v/>
      </c>
      <c r="D266" s="38"/>
      <c r="E266" s="40"/>
      <c r="F266" s="40"/>
      <c r="G266" s="37"/>
      <c r="H266" s="20" t="str">
        <f t="shared" si="68"/>
        <v/>
      </c>
      <c r="I266" s="119" t="str">
        <f t="shared" si="69"/>
        <v/>
      </c>
    </row>
    <row r="267" spans="2:9" x14ac:dyDescent="0.2">
      <c r="B267" s="12" t="str">
        <f>$B$14</f>
        <v>Fosalon</v>
      </c>
      <c r="C267" s="34" t="str">
        <f>IF(VLOOKUP(OW_Standaard_Hoog[[#This Row],[Component]],Concentraties!$B$22:$L$29,11,FALSE)="","",VLOOKUP(OW_Standaard_Hoog[[#This Row],[Component]],Concentraties!$B$22:$L$29,11,FALSE))</f>
        <v/>
      </c>
      <c r="D267" s="38"/>
      <c r="E267" s="40"/>
      <c r="F267" s="40"/>
      <c r="G267" s="37"/>
      <c r="H267" s="20" t="str">
        <f t="shared" si="68"/>
        <v/>
      </c>
      <c r="I267" s="119" t="str">
        <f t="shared" si="69"/>
        <v/>
      </c>
    </row>
    <row r="268" spans="2:9" x14ac:dyDescent="0.2">
      <c r="B268" s="12" t="str">
        <f>$B$15</f>
        <v>Penconazool</v>
      </c>
      <c r="C268" s="34" t="str">
        <f>IF(VLOOKUP(OW_Standaard_Hoog[[#This Row],[Component]],Concentraties!$B$22:$L$29,11,FALSE)="","",VLOOKUP(OW_Standaard_Hoog[[#This Row],[Component]],Concentraties!$B$22:$L$29,11,FALSE))</f>
        <v/>
      </c>
      <c r="D268" s="38"/>
      <c r="E268" s="40"/>
      <c r="F268" s="40"/>
      <c r="G268" s="37"/>
      <c r="H268" s="20" t="str">
        <f t="shared" si="68"/>
        <v/>
      </c>
      <c r="I268" s="119" t="str">
        <f t="shared" si="69"/>
        <v/>
      </c>
    </row>
    <row r="269" spans="2:9" x14ac:dyDescent="0.2">
      <c r="B269" s="12" t="str">
        <f>$B$16</f>
        <v>Pyrimethanil</v>
      </c>
      <c r="C269" s="34" t="str">
        <f>IF(VLOOKUP(OW_Standaard_Hoog[[#This Row],[Component]],Concentraties!$B$22:$L$29,11,FALSE)="","",VLOOKUP(OW_Standaard_Hoog[[#This Row],[Component]],Concentraties!$B$22:$L$29,11,FALSE))</f>
        <v/>
      </c>
      <c r="D269" s="38"/>
      <c r="E269" s="40"/>
      <c r="F269" s="40"/>
      <c r="G269" s="37"/>
      <c r="H269" s="20" t="str">
        <f t="shared" si="68"/>
        <v/>
      </c>
      <c r="I269" s="119" t="str">
        <f t="shared" si="69"/>
        <v/>
      </c>
    </row>
    <row r="270" spans="2:9" x14ac:dyDescent="0.2">
      <c r="B270" s="12" t="str">
        <f>$B$17</f>
        <v>Terbutylazine</v>
      </c>
      <c r="C270" s="34" t="str">
        <f>IF(VLOOKUP(OW_Standaard_Hoog[[#This Row],[Component]],Concentraties!$B$22:$L$29,11,FALSE)="","",VLOOKUP(OW_Standaard_Hoog[[#This Row],[Component]],Concentraties!$B$22:$L$29,11,FALSE))</f>
        <v/>
      </c>
      <c r="D270" s="38"/>
      <c r="E270" s="40"/>
      <c r="F270" s="40"/>
      <c r="G270" s="37"/>
      <c r="H270" s="20" t="str">
        <f t="shared" si="68"/>
        <v/>
      </c>
      <c r="I270" s="119" t="str">
        <f t="shared" si="69"/>
        <v/>
      </c>
    </row>
    <row r="271" spans="2:9" x14ac:dyDescent="0.2">
      <c r="C271" s="35"/>
    </row>
  </sheetData>
  <sheetProtection algorithmName="SHA-512" hashValue="AXkF1zxWhWjJ6KbGcuqGipi7Q0vD0l6bZ3Bn1HwDei+G7EXq6FQvFDNPkmPZNC9KSrG8HGD5whRlpftSi0S2Pw==" saltValue="tfKSdxaoK76jkh7dV4pDVA==" spinCount="100000" sheet="1" objects="1" scenarios="1"/>
  <mergeCells count="5">
    <mergeCell ref="H4:I4"/>
    <mergeCell ref="H5:I5"/>
    <mergeCell ref="B6:I6"/>
    <mergeCell ref="L6:Y6"/>
    <mergeCell ref="B7:I7"/>
  </mergeCells>
  <pageMargins left="0.7" right="0.7" top="0.75" bottom="0.75" header="0.3" footer="0.3"/>
  <pageSetup paperSize="9" orientation="landscape" r:id="rId1"/>
  <drawing r:id="rId2"/>
  <tableParts count="24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E880-53B9-4A76-B367-A4CA3018FA74}">
  <sheetPr>
    <tabColor rgb="FF00B050"/>
  </sheetPr>
  <dimension ref="B8:E11"/>
  <sheetViews>
    <sheetView workbookViewId="0">
      <selection activeCell="H14" sqref="H14"/>
    </sheetView>
  </sheetViews>
  <sheetFormatPr defaultRowHeight="12.75" x14ac:dyDescent="0.2"/>
  <cols>
    <col min="1" max="1" width="9.140625" style="3"/>
    <col min="2" max="2" width="45" style="3" bestFit="1" customWidth="1"/>
    <col min="3" max="3" width="8.7109375" style="3" customWidth="1"/>
    <col min="4" max="5" width="9.140625" style="3"/>
    <col min="6" max="6" width="9.140625" style="3" customWidth="1"/>
    <col min="7" max="16384" width="9.140625" style="3"/>
  </cols>
  <sheetData>
    <row r="8" spans="2:5" ht="21" thickBot="1" x14ac:dyDescent="0.35">
      <c r="B8" s="128" t="s">
        <v>203</v>
      </c>
      <c r="C8" s="129" t="s">
        <v>204</v>
      </c>
    </row>
    <row r="9" spans="2:5" ht="21" thickTop="1" x14ac:dyDescent="0.3">
      <c r="B9" s="130" t="s">
        <v>197</v>
      </c>
      <c r="C9" s="131">
        <f>'Rapportage formulier WB'!I3</f>
        <v>0</v>
      </c>
      <c r="E9" s="10"/>
    </row>
    <row r="10" spans="2:5" ht="20.25" x14ac:dyDescent="0.3">
      <c r="B10" s="132" t="s">
        <v>206</v>
      </c>
      <c r="C10" s="133">
        <f>'Rapportage formulier OW'!I3</f>
        <v>0</v>
      </c>
    </row>
    <row r="11" spans="2:5" ht="23.25" x14ac:dyDescent="0.35">
      <c r="B11" s="134" t="s">
        <v>205</v>
      </c>
      <c r="C11" s="135">
        <f>AVERAGE(C9:C10)</f>
        <v>0</v>
      </c>
    </row>
  </sheetData>
  <sheetProtection algorithmName="SHA-512" hashValue="fbV7XZhqEvHZrGVfZbqsklatSE2UoK+0ATRWUvLW6SYzc0IQk3QZmHG8YFKRRf6tzZrDc6YUBRWhwr6DmSEiRg==" saltValue="F5V4/coLmLI+gy04DxZeV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4DA9-FB1D-42CF-90B6-16B48914704D}">
  <dimension ref="B1:AE33"/>
  <sheetViews>
    <sheetView topLeftCell="A7" zoomScaleNormal="100" workbookViewId="0">
      <selection activeCell="R20" sqref="R20"/>
    </sheetView>
  </sheetViews>
  <sheetFormatPr defaultRowHeight="12.75" customHeight="1" x14ac:dyDescent="0.35"/>
  <cols>
    <col min="1" max="1" width="9.140625" style="73"/>
    <col min="2" max="2" width="20.85546875" style="73" bestFit="1" customWidth="1"/>
    <col min="3" max="12" width="9.5703125" style="73" customWidth="1"/>
    <col min="13" max="13" width="23.42578125" style="73" customWidth="1"/>
    <col min="14" max="18" width="9.140625" style="73"/>
    <col min="19" max="19" width="25.42578125" style="73" customWidth="1"/>
    <col min="20" max="27" width="9.140625" style="73"/>
    <col min="28" max="28" width="9.5703125" style="73" bestFit="1" customWidth="1"/>
    <col min="29" max="16384" width="9.140625" style="73"/>
  </cols>
  <sheetData>
    <row r="1" spans="2:18" ht="12.75" customHeight="1" x14ac:dyDescent="0.35">
      <c r="B1" s="138" t="s">
        <v>202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2:18" ht="12.75" customHeight="1" x14ac:dyDescent="0.3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18" ht="12.75" customHeight="1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2:18" ht="23.25" x14ac:dyDescent="0.35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N4" s="88"/>
      <c r="O4" s="122"/>
    </row>
    <row r="5" spans="2:18" ht="12.75" customHeight="1" x14ac:dyDescent="0.35"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03"/>
      <c r="N5" s="88"/>
      <c r="O5" s="122"/>
    </row>
    <row r="6" spans="2:18" ht="23.25" x14ac:dyDescent="0.35">
      <c r="B6" s="143" t="s">
        <v>90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03"/>
      <c r="N6" s="88"/>
      <c r="O6" s="122"/>
    </row>
    <row r="7" spans="2:18" ht="83.25" x14ac:dyDescent="0.35">
      <c r="B7" s="58" t="s">
        <v>84</v>
      </c>
      <c r="C7" s="95" t="s">
        <v>160</v>
      </c>
      <c r="D7" s="95" t="s">
        <v>161</v>
      </c>
      <c r="E7" s="95" t="s">
        <v>162</v>
      </c>
      <c r="F7" s="95" t="s">
        <v>163</v>
      </c>
      <c r="G7" s="95" t="s">
        <v>164</v>
      </c>
      <c r="H7" s="95" t="s">
        <v>165</v>
      </c>
      <c r="I7" s="95" t="s">
        <v>158</v>
      </c>
      <c r="J7" s="95" t="s">
        <v>166</v>
      </c>
      <c r="K7" s="95" t="s">
        <v>159</v>
      </c>
      <c r="L7" s="95" t="s">
        <v>66</v>
      </c>
      <c r="N7" s="88"/>
      <c r="O7" s="122"/>
    </row>
    <row r="8" spans="2:18" ht="12.75" customHeight="1" x14ac:dyDescent="0.35">
      <c r="B8" s="84" t="str">
        <f>'Sequence + methode WB'!I10</f>
        <v>44-DDD</v>
      </c>
      <c r="C8" s="77" t="s">
        <v>6</v>
      </c>
      <c r="D8" s="99">
        <v>0.23832</v>
      </c>
      <c r="E8" s="99">
        <v>0.5958</v>
      </c>
      <c r="F8" s="99">
        <v>1.1916</v>
      </c>
      <c r="G8" s="99">
        <v>2.3832</v>
      </c>
      <c r="H8" s="99">
        <v>4.7664</v>
      </c>
      <c r="I8" s="124"/>
      <c r="J8" s="77" t="s">
        <v>6</v>
      </c>
      <c r="K8" s="124"/>
      <c r="L8" s="124"/>
      <c r="N8" s="88"/>
      <c r="O8" s="122"/>
    </row>
    <row r="9" spans="2:18" ht="12.75" customHeight="1" x14ac:dyDescent="0.35">
      <c r="B9" s="75" t="str">
        <f>'Sequence + methode WB'!I11</f>
        <v>Antraceen</v>
      </c>
      <c r="C9" s="77" t="s">
        <v>6</v>
      </c>
      <c r="D9" s="99">
        <v>1.9997999999999998</v>
      </c>
      <c r="E9" s="99">
        <v>3.9995999999999996</v>
      </c>
      <c r="F9" s="99">
        <v>7.9991999999999992</v>
      </c>
      <c r="G9" s="99">
        <v>15.998399999999998</v>
      </c>
      <c r="H9" s="99">
        <v>31.996799999999997</v>
      </c>
      <c r="I9" s="124"/>
      <c r="J9" s="77" t="s">
        <v>6</v>
      </c>
      <c r="K9" s="124"/>
      <c r="L9" s="124"/>
      <c r="N9" s="88"/>
      <c r="O9" s="122"/>
    </row>
    <row r="10" spans="2:18" ht="12.75" customHeight="1" x14ac:dyDescent="0.35">
      <c r="B10" s="75" t="str">
        <f>'Sequence + methode WB'!I12</f>
        <v>Benzo(a)pyreen</v>
      </c>
      <c r="C10" s="77" t="s">
        <v>6</v>
      </c>
      <c r="D10" s="99">
        <v>2</v>
      </c>
      <c r="E10" s="99">
        <v>4</v>
      </c>
      <c r="F10" s="99">
        <v>8</v>
      </c>
      <c r="G10" s="99">
        <v>16</v>
      </c>
      <c r="H10" s="99">
        <v>32</v>
      </c>
      <c r="I10" s="125"/>
      <c r="J10" s="77" t="s">
        <v>6</v>
      </c>
      <c r="K10" s="125"/>
      <c r="L10" s="125"/>
      <c r="N10" s="88"/>
      <c r="O10" s="122"/>
    </row>
    <row r="11" spans="2:18" ht="12.75" customHeight="1" x14ac:dyDescent="0.35">
      <c r="B11" s="75" t="str">
        <f>'Sequence + methode WB'!I13</f>
        <v>Benzo(ghi)peryleen</v>
      </c>
      <c r="C11" s="77" t="s">
        <v>6</v>
      </c>
      <c r="D11" s="99">
        <v>2</v>
      </c>
      <c r="E11" s="99">
        <v>4</v>
      </c>
      <c r="F11" s="99">
        <v>8</v>
      </c>
      <c r="G11" s="99">
        <v>16</v>
      </c>
      <c r="H11" s="99">
        <v>32</v>
      </c>
      <c r="I11" s="125"/>
      <c r="J11" s="77" t="s">
        <v>6</v>
      </c>
      <c r="K11" s="125"/>
      <c r="L11" s="125"/>
      <c r="N11" s="88"/>
      <c r="O11" s="122"/>
    </row>
    <row r="12" spans="2:18" ht="12.75" customHeight="1" x14ac:dyDescent="0.35">
      <c r="B12" s="75" t="str">
        <f>'Sequence + methode WB'!I14</f>
        <v>Cis-chloordaan</v>
      </c>
      <c r="C12" s="77" t="s">
        <v>6</v>
      </c>
      <c r="D12" s="99">
        <v>0.24292799999999998</v>
      </c>
      <c r="E12" s="99">
        <v>0.60731999999999997</v>
      </c>
      <c r="F12" s="99">
        <v>1.2146399999999999</v>
      </c>
      <c r="G12" s="99">
        <v>2.4292799999999999</v>
      </c>
      <c r="H12" s="99">
        <v>4.8585599999999998</v>
      </c>
      <c r="I12" s="124"/>
      <c r="J12" s="77" t="s">
        <v>6</v>
      </c>
      <c r="K12" s="124"/>
      <c r="L12" s="124"/>
      <c r="N12" s="88"/>
      <c r="O12" s="122"/>
    </row>
    <row r="13" spans="2:18" ht="16.5" customHeight="1" x14ac:dyDescent="0.35">
      <c r="B13" s="75" t="str">
        <f>'Sequence + methode WB'!I15</f>
        <v>Endrin</v>
      </c>
      <c r="C13" s="77" t="s">
        <v>6</v>
      </c>
      <c r="D13" s="99">
        <v>0.24028800000000003</v>
      </c>
      <c r="E13" s="99">
        <v>0.60072000000000003</v>
      </c>
      <c r="F13" s="99">
        <v>1.2014400000000001</v>
      </c>
      <c r="G13" s="99">
        <v>2.4028800000000001</v>
      </c>
      <c r="H13" s="99">
        <v>4.8057600000000003</v>
      </c>
      <c r="I13" s="124"/>
      <c r="J13" s="77" t="s">
        <v>6</v>
      </c>
      <c r="K13" s="124"/>
      <c r="L13" s="124"/>
      <c r="N13" s="88"/>
      <c r="O13" s="122"/>
    </row>
    <row r="14" spans="2:18" ht="12.75" customHeight="1" x14ac:dyDescent="0.35">
      <c r="B14" s="75" t="str">
        <f>'Sequence + methode WB'!I16</f>
        <v>Hexachloorbutadieen</v>
      </c>
      <c r="C14" s="77" t="s">
        <v>6</v>
      </c>
      <c r="D14" s="99">
        <v>0.24035999999999999</v>
      </c>
      <c r="E14" s="99">
        <v>0.60089999999999999</v>
      </c>
      <c r="F14" s="99">
        <v>1.2018</v>
      </c>
      <c r="G14" s="99">
        <v>2.4036</v>
      </c>
      <c r="H14" s="99">
        <v>4.8071999999999999</v>
      </c>
      <c r="I14" s="124"/>
      <c r="J14" s="77" t="s">
        <v>6</v>
      </c>
      <c r="K14" s="124"/>
      <c r="L14" s="124"/>
      <c r="O14" s="122"/>
    </row>
    <row r="15" spans="2:18" ht="12.75" customHeight="1" x14ac:dyDescent="0.35">
      <c r="B15" s="75" t="str">
        <f>'Sequence + methode WB'!I17</f>
        <v>Naftaleen</v>
      </c>
      <c r="C15" s="77" t="s">
        <v>6</v>
      </c>
      <c r="D15" s="99">
        <v>2</v>
      </c>
      <c r="E15" s="99">
        <v>4</v>
      </c>
      <c r="F15" s="99">
        <v>8</v>
      </c>
      <c r="G15" s="99">
        <v>16</v>
      </c>
      <c r="H15" s="99">
        <v>32</v>
      </c>
      <c r="I15" s="125"/>
      <c r="J15" s="77" t="s">
        <v>6</v>
      </c>
      <c r="K15" s="125"/>
      <c r="L15" s="125"/>
      <c r="O15" s="122"/>
    </row>
    <row r="16" spans="2:18" ht="12.75" customHeight="1" x14ac:dyDescent="0.35">
      <c r="B16" s="75" t="str">
        <f>'Sequence + methode WB'!I18</f>
        <v>Pentachloorbenzeen</v>
      </c>
      <c r="C16" s="77" t="s">
        <v>6</v>
      </c>
      <c r="D16" s="99">
        <v>0.240456</v>
      </c>
      <c r="E16" s="99">
        <v>0.60114000000000001</v>
      </c>
      <c r="F16" s="99">
        <v>1.20228</v>
      </c>
      <c r="G16" s="99">
        <v>2.40456</v>
      </c>
      <c r="H16" s="99">
        <v>4.8091200000000001</v>
      </c>
      <c r="I16" s="123"/>
      <c r="J16" s="77" t="s">
        <v>6</v>
      </c>
      <c r="K16" s="123"/>
      <c r="L16" s="123"/>
      <c r="O16" s="122"/>
      <c r="R16" s="97"/>
    </row>
    <row r="17" spans="2:31" ht="12.75" customHeight="1" x14ac:dyDescent="0.35">
      <c r="B17" s="75" t="str">
        <f>'Sequence + methode WB'!I19</f>
        <v>PCB 28</v>
      </c>
      <c r="C17" s="77" t="s">
        <v>6</v>
      </c>
      <c r="D17" s="99">
        <v>0.24091199999999999</v>
      </c>
      <c r="E17" s="99">
        <v>0.60228000000000004</v>
      </c>
      <c r="F17" s="99">
        <v>1.2045600000000001</v>
      </c>
      <c r="G17" s="99">
        <v>2.4091200000000002</v>
      </c>
      <c r="H17" s="99">
        <v>4.8182400000000003</v>
      </c>
      <c r="I17" s="123"/>
      <c r="J17" s="77" t="s">
        <v>6</v>
      </c>
      <c r="K17" s="123"/>
      <c r="L17" s="123"/>
      <c r="O17" s="122"/>
      <c r="R17" s="98"/>
      <c r="AD17" s="76"/>
      <c r="AE17" s="76"/>
    </row>
    <row r="18" spans="2:31" ht="12.75" customHeight="1" x14ac:dyDescent="0.35">
      <c r="O18" s="122"/>
      <c r="R18" s="98"/>
      <c r="AD18" s="76"/>
      <c r="AE18" s="76"/>
    </row>
    <row r="19" spans="2:31" ht="12.75" customHeight="1" x14ac:dyDescent="0.35">
      <c r="O19" s="122"/>
      <c r="R19" s="98"/>
      <c r="AD19" s="76"/>
      <c r="AE19" s="76"/>
    </row>
    <row r="20" spans="2:31" ht="23.25" x14ac:dyDescent="0.35">
      <c r="B20" s="143" t="s">
        <v>149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N20" s="122"/>
      <c r="O20" s="122"/>
      <c r="P20" s="122"/>
      <c r="R20" s="98"/>
      <c r="S20" s="98"/>
      <c r="T20" s="98"/>
      <c r="U20" s="98"/>
      <c r="V20" s="98"/>
      <c r="W20" s="98"/>
      <c r="X20" s="76"/>
      <c r="Y20" s="76"/>
      <c r="Z20" s="76"/>
      <c r="AA20" s="76"/>
      <c r="AB20" s="76"/>
      <c r="AC20" s="76"/>
      <c r="AD20" s="76"/>
      <c r="AE20" s="76"/>
    </row>
    <row r="21" spans="2:31" ht="83.25" x14ac:dyDescent="0.35">
      <c r="B21" s="58" t="s">
        <v>143</v>
      </c>
      <c r="C21" s="95" t="s">
        <v>160</v>
      </c>
      <c r="D21" s="95" t="s">
        <v>161</v>
      </c>
      <c r="E21" s="95" t="s">
        <v>162</v>
      </c>
      <c r="F21" s="95" t="s">
        <v>163</v>
      </c>
      <c r="G21" s="95" t="s">
        <v>164</v>
      </c>
      <c r="H21" s="95" t="s">
        <v>165</v>
      </c>
      <c r="I21" s="102" t="s">
        <v>158</v>
      </c>
      <c r="J21" s="95" t="s">
        <v>166</v>
      </c>
      <c r="K21" s="95" t="s">
        <v>159</v>
      </c>
      <c r="L21" s="95" t="s">
        <v>66</v>
      </c>
      <c r="N21" s="122"/>
      <c r="O21" s="122"/>
      <c r="P21" s="122"/>
      <c r="R21" s="98"/>
      <c r="S21" s="98"/>
      <c r="T21" s="98"/>
      <c r="U21" s="98"/>
      <c r="V21" s="98"/>
      <c r="W21" s="98"/>
      <c r="X21" s="76"/>
      <c r="Y21" s="76"/>
      <c r="Z21" s="76"/>
      <c r="AA21" s="76"/>
      <c r="AB21" s="76"/>
      <c r="AC21" s="76"/>
      <c r="AD21" s="76"/>
      <c r="AE21" s="76"/>
    </row>
    <row r="22" spans="2:31" ht="12.75" customHeight="1" x14ac:dyDescent="0.35">
      <c r="B22" s="84" t="str">
        <f>'Sequence + methode OW'!I10</f>
        <v>Alachloor</v>
      </c>
      <c r="C22" s="77" t="s">
        <v>6</v>
      </c>
      <c r="D22" s="99">
        <v>0.91749999999999998</v>
      </c>
      <c r="E22" s="99">
        <v>1.835</v>
      </c>
      <c r="F22" s="99">
        <v>3.6699000000000002</v>
      </c>
      <c r="G22" s="99">
        <v>13.7623</v>
      </c>
      <c r="H22" s="99">
        <v>32.112000000000002</v>
      </c>
      <c r="I22" s="125"/>
      <c r="J22" s="101" t="s">
        <v>6</v>
      </c>
      <c r="K22" s="125"/>
      <c r="L22" s="125"/>
      <c r="N22" s="122"/>
      <c r="O22" s="122"/>
      <c r="P22" s="122"/>
      <c r="R22" s="98"/>
      <c r="S22" s="98"/>
      <c r="T22" s="98"/>
      <c r="U22" s="98"/>
      <c r="V22" s="98"/>
      <c r="W22" s="98"/>
      <c r="X22" s="76"/>
      <c r="Y22" s="76"/>
      <c r="Z22" s="76"/>
      <c r="AA22" s="76"/>
      <c r="AB22" s="76"/>
      <c r="AC22" s="76"/>
      <c r="AD22" s="76"/>
      <c r="AE22" s="76"/>
    </row>
    <row r="23" spans="2:31" ht="12.75" customHeight="1" x14ac:dyDescent="0.35">
      <c r="B23" s="84" t="str">
        <f>'Sequence + methode OW'!I11</f>
        <v>Atrazine</v>
      </c>
      <c r="C23" s="77" t="s">
        <v>6</v>
      </c>
      <c r="D23" s="99">
        <v>0.91700000000000004</v>
      </c>
      <c r="E23" s="99">
        <v>1.8341000000000001</v>
      </c>
      <c r="F23" s="99">
        <v>3.6680999999999999</v>
      </c>
      <c r="G23" s="99">
        <v>13.7554</v>
      </c>
      <c r="H23" s="99">
        <v>32.095999999999997</v>
      </c>
      <c r="I23" s="125"/>
      <c r="J23" s="101" t="s">
        <v>6</v>
      </c>
      <c r="K23" s="125"/>
      <c r="L23" s="125"/>
      <c r="N23" s="122"/>
      <c r="O23" s="122"/>
      <c r="P23" s="122"/>
      <c r="R23" s="98"/>
      <c r="S23" s="98"/>
      <c r="T23" s="98"/>
      <c r="U23" s="98"/>
      <c r="V23" s="98"/>
      <c r="W23" s="98"/>
      <c r="X23" s="76"/>
      <c r="Y23" s="76"/>
      <c r="Z23" s="76"/>
      <c r="AA23" s="76"/>
      <c r="AB23" s="76"/>
      <c r="AC23" s="76"/>
      <c r="AD23" s="76"/>
      <c r="AE23" s="76"/>
    </row>
    <row r="24" spans="2:31" ht="12.75" customHeight="1" x14ac:dyDescent="0.35">
      <c r="B24" s="84" t="str">
        <f>'Sequence + methode OW'!I12</f>
        <v>Chloorpyrifos-ethyl</v>
      </c>
      <c r="C24" s="77" t="s">
        <v>6</v>
      </c>
      <c r="D24" s="99">
        <v>0.91549999999999998</v>
      </c>
      <c r="E24" s="99">
        <v>1.8309</v>
      </c>
      <c r="F24" s="99">
        <v>3.6619000000000002</v>
      </c>
      <c r="G24" s="99">
        <v>13.732100000000001</v>
      </c>
      <c r="H24" s="99">
        <v>32.041600000000003</v>
      </c>
      <c r="I24" s="125"/>
      <c r="J24" s="101" t="s">
        <v>6</v>
      </c>
      <c r="K24" s="125"/>
      <c r="L24" s="125"/>
      <c r="N24" s="122"/>
      <c r="O24" s="122"/>
      <c r="P24" s="122"/>
      <c r="R24" s="98"/>
      <c r="S24" s="98"/>
      <c r="T24" s="98"/>
      <c r="U24" s="98"/>
      <c r="V24" s="98"/>
      <c r="W24" s="98"/>
      <c r="X24" s="76"/>
      <c r="Y24" s="76"/>
      <c r="Z24" s="76"/>
      <c r="AA24" s="76"/>
      <c r="AB24" s="76"/>
      <c r="AC24" s="76"/>
      <c r="AD24" s="76"/>
      <c r="AE24" s="76"/>
    </row>
    <row r="25" spans="2:31" ht="12.75" customHeight="1" x14ac:dyDescent="0.35">
      <c r="B25" s="84" t="str">
        <f>'Sequence + methode OW'!I13</f>
        <v>Flutianil</v>
      </c>
      <c r="C25" s="77" t="s">
        <v>6</v>
      </c>
      <c r="D25" s="99">
        <v>0.91180000000000005</v>
      </c>
      <c r="E25" s="99">
        <v>1.8236000000000001</v>
      </c>
      <c r="F25" s="99">
        <v>3.6473</v>
      </c>
      <c r="G25" s="99">
        <v>13.677300000000001</v>
      </c>
      <c r="H25" s="99">
        <v>31.913599999999999</v>
      </c>
      <c r="I25" s="125"/>
      <c r="J25" s="101" t="s">
        <v>6</v>
      </c>
      <c r="K25" s="125"/>
      <c r="L25" s="125"/>
      <c r="O25" s="122"/>
      <c r="R25" s="97"/>
      <c r="S25" s="97"/>
      <c r="T25" s="97"/>
      <c r="U25" s="97"/>
      <c r="V25" s="97"/>
      <c r="W25" s="97"/>
    </row>
    <row r="26" spans="2:31" ht="12.75" customHeight="1" x14ac:dyDescent="0.35">
      <c r="B26" s="84" t="str">
        <f>'Sequence + methode OW'!I14</f>
        <v>Fosalon</v>
      </c>
      <c r="C26" s="77" t="s">
        <v>6</v>
      </c>
      <c r="D26" s="99">
        <v>0.92279999999999995</v>
      </c>
      <c r="E26" s="99">
        <v>1.8455999999999999</v>
      </c>
      <c r="F26" s="99">
        <v>3.6911999999999998</v>
      </c>
      <c r="G26" s="99">
        <v>13.841799999999999</v>
      </c>
      <c r="H26" s="99">
        <v>32.297600000000003</v>
      </c>
      <c r="I26" s="125"/>
      <c r="J26" s="101" t="s">
        <v>6</v>
      </c>
      <c r="K26" s="125"/>
      <c r="L26" s="125"/>
      <c r="O26" s="122"/>
      <c r="R26" s="97"/>
      <c r="S26" s="97"/>
      <c r="T26" s="97"/>
      <c r="U26" s="97"/>
      <c r="V26" s="97"/>
      <c r="W26" s="97"/>
    </row>
    <row r="27" spans="2:31" ht="12.75" customHeight="1" x14ac:dyDescent="0.35">
      <c r="B27" s="84" t="str">
        <f>'Sequence + methode OW'!I15</f>
        <v>Penconazool</v>
      </c>
      <c r="C27" s="77" t="s">
        <v>6</v>
      </c>
      <c r="D27" s="99">
        <v>0.9143</v>
      </c>
      <c r="E27" s="99">
        <v>1.8286</v>
      </c>
      <c r="F27" s="99">
        <v>3.6570999999999998</v>
      </c>
      <c r="G27" s="99">
        <v>13.7143</v>
      </c>
      <c r="H27" s="99">
        <v>32</v>
      </c>
      <c r="I27" s="125"/>
      <c r="J27" s="101" t="s">
        <v>6</v>
      </c>
      <c r="K27" s="125"/>
      <c r="L27" s="125"/>
      <c r="O27" s="122"/>
      <c r="R27" s="97"/>
      <c r="S27" s="97"/>
      <c r="T27" s="97"/>
      <c r="U27" s="97"/>
      <c r="V27" s="97"/>
      <c r="W27" s="97"/>
    </row>
    <row r="28" spans="2:31" ht="12.75" customHeight="1" x14ac:dyDescent="0.35">
      <c r="B28" s="84" t="str">
        <f>'Sequence + methode OW'!I16</f>
        <v>Pyrimethanil</v>
      </c>
      <c r="C28" s="77" t="s">
        <v>6</v>
      </c>
      <c r="D28" s="99">
        <v>0.9214</v>
      </c>
      <c r="E28" s="99">
        <v>1.8428</v>
      </c>
      <c r="F28" s="99">
        <v>3.6857000000000002</v>
      </c>
      <c r="G28" s="99">
        <v>13.821300000000001</v>
      </c>
      <c r="H28" s="99">
        <v>32.249600000000001</v>
      </c>
      <c r="I28" s="125"/>
      <c r="J28" s="101" t="s">
        <v>6</v>
      </c>
      <c r="K28" s="125"/>
      <c r="L28" s="125"/>
      <c r="O28" s="122"/>
    </row>
    <row r="29" spans="2:31" ht="12.75" customHeight="1" x14ac:dyDescent="0.35">
      <c r="B29" s="84" t="str">
        <f>'Sequence + methode OW'!I17</f>
        <v>Terbutylazine</v>
      </c>
      <c r="C29" s="77" t="s">
        <v>6</v>
      </c>
      <c r="D29" s="99">
        <v>0.91839999999999999</v>
      </c>
      <c r="E29" s="99">
        <v>1.8368</v>
      </c>
      <c r="F29" s="99">
        <v>3.6736</v>
      </c>
      <c r="G29" s="99">
        <v>13.776</v>
      </c>
      <c r="H29" s="99">
        <v>32.143999999999998</v>
      </c>
      <c r="I29" s="125"/>
      <c r="J29" s="101" t="s">
        <v>6</v>
      </c>
      <c r="K29" s="125"/>
      <c r="L29" s="125"/>
      <c r="O29" s="122"/>
    </row>
    <row r="30" spans="2:31" ht="12.75" customHeight="1" x14ac:dyDescent="0.35">
      <c r="B30" s="98" t="s">
        <v>144</v>
      </c>
      <c r="C30" s="97"/>
      <c r="D30" s="97"/>
      <c r="E30" s="97"/>
      <c r="F30" s="97"/>
      <c r="G30" s="96"/>
      <c r="H30" s="96"/>
      <c r="I30" s="96"/>
      <c r="J30" s="96"/>
      <c r="K30" s="96"/>
      <c r="L30" s="96"/>
      <c r="M30" s="96"/>
    </row>
    <row r="31" spans="2:31" ht="12.75" customHeight="1" x14ac:dyDescent="0.35">
      <c r="B31" s="98" t="s">
        <v>145</v>
      </c>
      <c r="C31" s="98"/>
      <c r="D31" s="98"/>
      <c r="E31" s="98"/>
      <c r="F31" s="98"/>
      <c r="G31" s="76"/>
      <c r="H31" s="76"/>
      <c r="I31" s="76"/>
      <c r="J31" s="76"/>
      <c r="K31" s="76"/>
      <c r="L31" s="76"/>
    </row>
    <row r="32" spans="2:31" ht="12.75" customHeight="1" x14ac:dyDescent="0.35">
      <c r="C32" s="98"/>
      <c r="D32" s="98"/>
      <c r="E32" s="98"/>
      <c r="F32" s="98"/>
      <c r="G32" s="76"/>
      <c r="H32" s="76"/>
      <c r="I32" s="76"/>
      <c r="J32" s="76"/>
      <c r="K32" s="76"/>
      <c r="L32" s="76"/>
    </row>
    <row r="33" spans="3:12" ht="12.75" customHeight="1" x14ac:dyDescent="0.35">
      <c r="C33" s="98"/>
      <c r="D33" s="98"/>
      <c r="E33" s="98"/>
      <c r="F33" s="98"/>
      <c r="G33" s="76"/>
      <c r="H33" s="76"/>
      <c r="I33" s="76"/>
      <c r="J33" s="76"/>
      <c r="K33" s="76"/>
      <c r="L33" s="76"/>
    </row>
  </sheetData>
  <sheetProtection algorithmName="SHA-512" hashValue="MWUvN0yUt/BrkXOjAGOqfFmf4O7Yueh+D9osDQjjppOHpbdOj527TLFSBD2nAUcCYrmDnq4NGB72swaN21GGHg==" saltValue="7nhvKSf3c2IlB9NsXe7DBQ==" spinCount="100000" sheet="1" objects="1" scenarios="1"/>
  <mergeCells count="3">
    <mergeCell ref="B20:L20"/>
    <mergeCell ref="B6:L6"/>
    <mergeCell ref="B1:L5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38F1-76E0-40FD-89E3-4EB611B0EA90}">
  <dimension ref="B7:G57"/>
  <sheetViews>
    <sheetView workbookViewId="0">
      <selection activeCell="C3" sqref="C3"/>
    </sheetView>
  </sheetViews>
  <sheetFormatPr defaultColWidth="9.140625" defaultRowHeight="12.75" x14ac:dyDescent="0.2"/>
  <cols>
    <col min="1" max="1" width="9.140625" style="3"/>
    <col min="2" max="2" width="31.140625" style="3" customWidth="1"/>
    <col min="3" max="5" width="9.140625" style="3"/>
    <col min="6" max="6" width="14.28515625" style="3" customWidth="1"/>
    <col min="7" max="16384" width="9.140625" style="3"/>
  </cols>
  <sheetData>
    <row r="7" spans="2:7" ht="24.75" customHeight="1" x14ac:dyDescent="0.2">
      <c r="B7" s="144" t="s">
        <v>90</v>
      </c>
      <c r="C7" s="144"/>
      <c r="D7" s="144"/>
      <c r="E7" s="144"/>
      <c r="F7" s="144"/>
      <c r="G7" s="144"/>
    </row>
    <row r="8" spans="2:7" ht="39" thickBot="1" x14ac:dyDescent="0.25">
      <c r="B8" s="45" t="s">
        <v>24</v>
      </c>
      <c r="C8" s="46" t="s">
        <v>26</v>
      </c>
      <c r="D8" s="46" t="s">
        <v>27</v>
      </c>
      <c r="E8" s="46" t="s">
        <v>28</v>
      </c>
      <c r="F8" s="47" t="s">
        <v>31</v>
      </c>
      <c r="G8" s="47" t="s">
        <v>34</v>
      </c>
    </row>
    <row r="9" spans="2:7" ht="13.5" thickTop="1" x14ac:dyDescent="0.2">
      <c r="B9" s="28" t="s">
        <v>178</v>
      </c>
      <c r="C9" s="53">
        <v>0</v>
      </c>
      <c r="D9" s="53">
        <v>0.02</v>
      </c>
      <c r="E9" s="9" t="s">
        <v>95</v>
      </c>
      <c r="F9" s="51">
        <v>80</v>
      </c>
      <c r="G9" s="51">
        <f>WB_AG_U*(COUNTA('Sequence + methode WB'!I10:I19)-4)</f>
        <v>480</v>
      </c>
    </row>
    <row r="10" spans="2:7" x14ac:dyDescent="0.2">
      <c r="B10" s="32"/>
      <c r="C10" s="31">
        <v>0.02</v>
      </c>
      <c r="D10" s="31">
        <v>0.05</v>
      </c>
      <c r="E10" s="2" t="s">
        <v>95</v>
      </c>
      <c r="F10" s="31">
        <v>55</v>
      </c>
      <c r="G10" s="31"/>
    </row>
    <row r="11" spans="2:7" x14ac:dyDescent="0.2">
      <c r="B11" s="32"/>
      <c r="C11" s="31">
        <v>0.05</v>
      </c>
      <c r="D11" s="31">
        <v>0.1</v>
      </c>
      <c r="E11" s="2" t="s">
        <v>95</v>
      </c>
      <c r="F11" s="31">
        <v>20</v>
      </c>
      <c r="G11" s="31"/>
    </row>
    <row r="12" spans="2:7" ht="13.5" thickBot="1" x14ac:dyDescent="0.25">
      <c r="B12" s="48"/>
      <c r="C12" s="52">
        <v>0.1</v>
      </c>
      <c r="D12" s="52" t="s">
        <v>22</v>
      </c>
      <c r="E12" s="50" t="s">
        <v>95</v>
      </c>
      <c r="F12" s="52">
        <v>0</v>
      </c>
      <c r="G12" s="52"/>
    </row>
    <row r="13" spans="2:7" x14ac:dyDescent="0.2">
      <c r="B13" s="28" t="s">
        <v>179</v>
      </c>
      <c r="C13" s="53">
        <v>0</v>
      </c>
      <c r="D13" s="53">
        <v>0.5</v>
      </c>
      <c r="E13" s="9" t="s">
        <v>95</v>
      </c>
      <c r="F13" s="51">
        <v>80</v>
      </c>
      <c r="G13" s="51">
        <f>WB_AG_PAK_U*4</f>
        <v>320</v>
      </c>
    </row>
    <row r="14" spans="2:7" x14ac:dyDescent="0.2">
      <c r="B14" s="32"/>
      <c r="C14" s="31">
        <v>0.5</v>
      </c>
      <c r="D14" s="31">
        <v>1</v>
      </c>
      <c r="E14" s="2" t="s">
        <v>95</v>
      </c>
      <c r="F14" s="31">
        <v>55</v>
      </c>
      <c r="G14" s="31"/>
    </row>
    <row r="15" spans="2:7" x14ac:dyDescent="0.2">
      <c r="B15" s="32"/>
      <c r="C15" s="31">
        <v>1</v>
      </c>
      <c r="D15" s="31">
        <v>2</v>
      </c>
      <c r="E15" s="2" t="s">
        <v>95</v>
      </c>
      <c r="F15" s="31">
        <v>20</v>
      </c>
      <c r="G15" s="31"/>
    </row>
    <row r="16" spans="2:7" ht="13.5" thickBot="1" x14ac:dyDescent="0.25">
      <c r="B16" s="48"/>
      <c r="C16" s="52">
        <v>2</v>
      </c>
      <c r="D16" s="52" t="s">
        <v>22</v>
      </c>
      <c r="E16" s="50" t="s">
        <v>95</v>
      </c>
      <c r="F16" s="52">
        <v>0</v>
      </c>
      <c r="G16" s="52"/>
    </row>
    <row r="17" spans="2:7" x14ac:dyDescent="0.2">
      <c r="B17" s="56" t="s">
        <v>175</v>
      </c>
      <c r="C17" s="53">
        <v>0</v>
      </c>
      <c r="D17" s="53">
        <v>7.5</v>
      </c>
      <c r="E17" s="54" t="s">
        <v>29</v>
      </c>
      <c r="F17" s="53">
        <v>50</v>
      </c>
      <c r="G17" s="53">
        <f>WB_TV_RG_U*COUNTA('Sequence + methode WB'!I10:I19)</f>
        <v>500</v>
      </c>
    </row>
    <row r="18" spans="2:7" x14ac:dyDescent="0.2">
      <c r="B18" s="32" t="s">
        <v>30</v>
      </c>
      <c r="C18" s="31">
        <v>7.5</v>
      </c>
      <c r="D18" s="31">
        <v>15</v>
      </c>
      <c r="E18" s="2" t="s">
        <v>29</v>
      </c>
      <c r="F18" s="31">
        <v>30</v>
      </c>
      <c r="G18" s="31"/>
    </row>
    <row r="19" spans="2:7" x14ac:dyDescent="0.2">
      <c r="B19" s="32"/>
      <c r="C19" s="31">
        <v>15</v>
      </c>
      <c r="D19" s="31">
        <v>30</v>
      </c>
      <c r="E19" s="2" t="s">
        <v>29</v>
      </c>
      <c r="F19" s="31">
        <v>10</v>
      </c>
      <c r="G19" s="31"/>
    </row>
    <row r="20" spans="2:7" ht="13.5" thickBot="1" x14ac:dyDescent="0.25">
      <c r="B20" s="48"/>
      <c r="C20" s="52">
        <v>30</v>
      </c>
      <c r="D20" s="52" t="s">
        <v>21</v>
      </c>
      <c r="E20" s="50" t="s">
        <v>29</v>
      </c>
      <c r="F20" s="52">
        <v>0</v>
      </c>
      <c r="G20" s="52"/>
    </row>
    <row r="21" spans="2:7" x14ac:dyDescent="0.2">
      <c r="B21" s="28" t="s">
        <v>105</v>
      </c>
      <c r="C21" s="51">
        <v>0</v>
      </c>
      <c r="D21" s="51">
        <v>7.5</v>
      </c>
      <c r="E21" s="9" t="s">
        <v>29</v>
      </c>
      <c r="F21" s="51">
        <v>25</v>
      </c>
      <c r="G21" s="51">
        <f>WB_TV_CM_U*COUNTA('Sequence + methode WB'!I10:I19)</f>
        <v>250</v>
      </c>
    </row>
    <row r="22" spans="2:7" x14ac:dyDescent="0.2">
      <c r="B22" s="32" t="s">
        <v>30</v>
      </c>
      <c r="C22" s="31">
        <v>7.5</v>
      </c>
      <c r="D22" s="31">
        <v>15</v>
      </c>
      <c r="E22" s="2" t="s">
        <v>29</v>
      </c>
      <c r="F22" s="31">
        <v>15</v>
      </c>
      <c r="G22" s="31"/>
    </row>
    <row r="23" spans="2:7" x14ac:dyDescent="0.2">
      <c r="B23" s="32"/>
      <c r="C23" s="31">
        <v>15</v>
      </c>
      <c r="D23" s="31">
        <v>30</v>
      </c>
      <c r="E23" s="2" t="s">
        <v>29</v>
      </c>
      <c r="F23" s="31">
        <v>5</v>
      </c>
      <c r="G23" s="31"/>
    </row>
    <row r="24" spans="2:7" ht="13.5" thickBot="1" x14ac:dyDescent="0.25">
      <c r="B24" s="48"/>
      <c r="C24" s="52">
        <v>30</v>
      </c>
      <c r="D24" s="52" t="s">
        <v>21</v>
      </c>
      <c r="E24" s="2" t="s">
        <v>29</v>
      </c>
      <c r="F24" s="52">
        <v>0</v>
      </c>
      <c r="G24" s="52"/>
    </row>
    <row r="25" spans="2:7" x14ac:dyDescent="0.2">
      <c r="B25" s="56" t="s">
        <v>146</v>
      </c>
      <c r="C25" s="55">
        <v>0</v>
      </c>
      <c r="D25" s="55">
        <v>2</v>
      </c>
      <c r="E25" s="54" t="s">
        <v>29</v>
      </c>
      <c r="F25" s="53">
        <v>25</v>
      </c>
      <c r="G25" s="53">
        <f>WB_RATIO_U*COUNTA('Sequence + methode WB'!I10:I19)</f>
        <v>250</v>
      </c>
    </row>
    <row r="26" spans="2:7" x14ac:dyDescent="0.2">
      <c r="B26" s="32"/>
      <c r="C26" s="26">
        <v>2</v>
      </c>
      <c r="D26" s="26">
        <v>4</v>
      </c>
      <c r="E26" s="2" t="s">
        <v>29</v>
      </c>
      <c r="F26" s="31">
        <v>15</v>
      </c>
      <c r="G26" s="31"/>
    </row>
    <row r="27" spans="2:7" x14ac:dyDescent="0.2">
      <c r="B27" s="32"/>
      <c r="C27" s="26">
        <v>4</v>
      </c>
      <c r="D27" s="26">
        <v>6</v>
      </c>
      <c r="E27" s="2" t="s">
        <v>29</v>
      </c>
      <c r="F27" s="31">
        <v>5</v>
      </c>
      <c r="G27" s="31"/>
    </row>
    <row r="28" spans="2:7" ht="13.5" thickBot="1" x14ac:dyDescent="0.25">
      <c r="B28" s="48"/>
      <c r="C28" s="49">
        <v>6</v>
      </c>
      <c r="D28" s="49" t="s">
        <v>22</v>
      </c>
      <c r="E28" s="50" t="s">
        <v>29</v>
      </c>
      <c r="F28" s="52">
        <v>0</v>
      </c>
      <c r="G28" s="52"/>
    </row>
    <row r="29" spans="2:7" x14ac:dyDescent="0.2">
      <c r="B29" s="56" t="s">
        <v>106</v>
      </c>
      <c r="C29" s="53">
        <v>0</v>
      </c>
      <c r="D29" s="53">
        <v>7.5</v>
      </c>
      <c r="E29" s="54"/>
      <c r="F29" s="53">
        <v>25</v>
      </c>
      <c r="G29" s="53">
        <f>WB_Lin_U*COUNTA('Sequence + methode WB'!I10:I19)</f>
        <v>250</v>
      </c>
    </row>
    <row r="30" spans="2:7" x14ac:dyDescent="0.2">
      <c r="B30" s="32" t="s">
        <v>147</v>
      </c>
      <c r="C30" s="31">
        <v>7.5</v>
      </c>
      <c r="D30" s="31">
        <v>15</v>
      </c>
      <c r="E30" s="2"/>
      <c r="F30" s="31">
        <v>15</v>
      </c>
      <c r="G30" s="31"/>
    </row>
    <row r="31" spans="2:7" x14ac:dyDescent="0.2">
      <c r="B31" s="32"/>
      <c r="C31" s="31">
        <v>15</v>
      </c>
      <c r="D31" s="31">
        <v>20</v>
      </c>
      <c r="E31" s="2"/>
      <c r="F31" s="31">
        <v>5</v>
      </c>
      <c r="G31" s="31"/>
    </row>
    <row r="32" spans="2:7" ht="13.5" thickBot="1" x14ac:dyDescent="0.25">
      <c r="B32" s="48"/>
      <c r="C32" s="52">
        <v>20</v>
      </c>
      <c r="D32" s="52" t="s">
        <v>21</v>
      </c>
      <c r="E32" s="50"/>
      <c r="F32" s="52">
        <v>0</v>
      </c>
      <c r="G32" s="52"/>
    </row>
    <row r="33" spans="2:7" x14ac:dyDescent="0.2">
      <c r="F33" s="3" t="s">
        <v>23</v>
      </c>
      <c r="G33" s="3">
        <f>SUM(G9:G32)</f>
        <v>2050</v>
      </c>
    </row>
    <row r="35" spans="2:7" ht="23.25" x14ac:dyDescent="0.2">
      <c r="B35" s="144" t="s">
        <v>149</v>
      </c>
      <c r="C35" s="144"/>
      <c r="D35" s="144"/>
      <c r="E35" s="144"/>
      <c r="F35" s="144"/>
      <c r="G35" s="144"/>
    </row>
    <row r="36" spans="2:7" ht="39" thickBot="1" x14ac:dyDescent="0.25">
      <c r="B36" s="45" t="s">
        <v>24</v>
      </c>
      <c r="C36" s="46" t="s">
        <v>26</v>
      </c>
      <c r="D36" s="46" t="s">
        <v>27</v>
      </c>
      <c r="E36" s="46" t="s">
        <v>28</v>
      </c>
      <c r="F36" s="47" t="s">
        <v>31</v>
      </c>
      <c r="G36" s="47" t="s">
        <v>34</v>
      </c>
    </row>
    <row r="37" spans="2:7" ht="13.5" thickTop="1" x14ac:dyDescent="0.2">
      <c r="B37" s="28" t="s">
        <v>25</v>
      </c>
      <c r="C37" s="53">
        <v>0</v>
      </c>
      <c r="D37" s="53">
        <v>0.25</v>
      </c>
      <c r="E37" s="9" t="s">
        <v>148</v>
      </c>
      <c r="F37" s="51">
        <v>80</v>
      </c>
      <c r="G37" s="51">
        <f>OW_AG_U*COUNTA('Sequence + methode OW'!I10:I17)</f>
        <v>640</v>
      </c>
    </row>
    <row r="38" spans="2:7" x14ac:dyDescent="0.2">
      <c r="B38" s="32"/>
      <c r="C38" s="31">
        <v>0.25</v>
      </c>
      <c r="D38" s="31">
        <v>0.5</v>
      </c>
      <c r="E38" s="9" t="s">
        <v>148</v>
      </c>
      <c r="F38" s="31">
        <v>55</v>
      </c>
      <c r="G38" s="31"/>
    </row>
    <row r="39" spans="2:7" x14ac:dyDescent="0.2">
      <c r="B39" s="32"/>
      <c r="C39" s="31">
        <v>0.5</v>
      </c>
      <c r="D39" s="31">
        <v>1</v>
      </c>
      <c r="E39" s="9" t="s">
        <v>148</v>
      </c>
      <c r="F39" s="31">
        <v>20</v>
      </c>
      <c r="G39" s="31"/>
    </row>
    <row r="40" spans="2:7" ht="13.5" thickBot="1" x14ac:dyDescent="0.25">
      <c r="B40" s="48"/>
      <c r="C40" s="52">
        <v>1</v>
      </c>
      <c r="D40" s="52" t="s">
        <v>22</v>
      </c>
      <c r="E40" s="9" t="s">
        <v>148</v>
      </c>
      <c r="F40" s="52">
        <v>0</v>
      </c>
      <c r="G40" s="52"/>
    </row>
    <row r="41" spans="2:7" x14ac:dyDescent="0.2">
      <c r="B41" s="56" t="s">
        <v>175</v>
      </c>
      <c r="C41" s="53">
        <v>0</v>
      </c>
      <c r="D41" s="53">
        <v>5</v>
      </c>
      <c r="E41" s="54" t="s">
        <v>29</v>
      </c>
      <c r="F41" s="53">
        <v>50</v>
      </c>
      <c r="G41" s="53">
        <f>OW_TV_RG_U*COUNTA('Sequence + methode OW'!I10:I17)</f>
        <v>400</v>
      </c>
    </row>
    <row r="42" spans="2:7" x14ac:dyDescent="0.2">
      <c r="B42" s="32" t="s">
        <v>30</v>
      </c>
      <c r="C42" s="31">
        <v>5</v>
      </c>
      <c r="D42" s="31">
        <v>10</v>
      </c>
      <c r="E42" s="2" t="s">
        <v>29</v>
      </c>
      <c r="F42" s="31">
        <v>30</v>
      </c>
      <c r="G42" s="31"/>
    </row>
    <row r="43" spans="2:7" x14ac:dyDescent="0.2">
      <c r="B43" s="32"/>
      <c r="C43" s="31">
        <v>10</v>
      </c>
      <c r="D43" s="31">
        <v>20</v>
      </c>
      <c r="E43" s="2" t="s">
        <v>29</v>
      </c>
      <c r="F43" s="31">
        <v>10</v>
      </c>
      <c r="G43" s="31"/>
    </row>
    <row r="44" spans="2:7" ht="13.5" thickBot="1" x14ac:dyDescent="0.25">
      <c r="B44" s="48"/>
      <c r="C44" s="52">
        <v>20</v>
      </c>
      <c r="D44" s="52" t="s">
        <v>21</v>
      </c>
      <c r="E44" s="50" t="s">
        <v>29</v>
      </c>
      <c r="F44" s="52">
        <v>0</v>
      </c>
      <c r="G44" s="52"/>
    </row>
    <row r="45" spans="2:7" x14ac:dyDescent="0.2">
      <c r="B45" s="28" t="s">
        <v>105</v>
      </c>
      <c r="C45" s="51">
        <v>0</v>
      </c>
      <c r="D45" s="51">
        <v>3</v>
      </c>
      <c r="E45" s="9" t="s">
        <v>29</v>
      </c>
      <c r="F45" s="51">
        <v>25</v>
      </c>
      <c r="G45" s="51">
        <f>OW_TV_CM_U*COUNTA('Sequence + methode OW'!I10:I17)</f>
        <v>200</v>
      </c>
    </row>
    <row r="46" spans="2:7" x14ac:dyDescent="0.2">
      <c r="B46" s="32" t="s">
        <v>30</v>
      </c>
      <c r="C46" s="31">
        <v>3</v>
      </c>
      <c r="D46" s="31">
        <v>7.5</v>
      </c>
      <c r="E46" s="2" t="s">
        <v>29</v>
      </c>
      <c r="F46" s="31">
        <v>15</v>
      </c>
      <c r="G46" s="31"/>
    </row>
    <row r="47" spans="2:7" x14ac:dyDescent="0.2">
      <c r="B47" s="32"/>
      <c r="C47" s="31">
        <v>7.5</v>
      </c>
      <c r="D47" s="31">
        <v>15</v>
      </c>
      <c r="E47" s="2" t="s">
        <v>29</v>
      </c>
      <c r="F47" s="31">
        <v>5</v>
      </c>
      <c r="G47" s="31"/>
    </row>
    <row r="48" spans="2:7" ht="13.5" thickBot="1" x14ac:dyDescent="0.25">
      <c r="B48" s="48"/>
      <c r="C48" s="52">
        <v>15</v>
      </c>
      <c r="D48" s="52" t="s">
        <v>21</v>
      </c>
      <c r="E48" s="2" t="s">
        <v>29</v>
      </c>
      <c r="F48" s="52">
        <v>0</v>
      </c>
      <c r="G48" s="52"/>
    </row>
    <row r="49" spans="2:7" x14ac:dyDescent="0.2">
      <c r="B49" s="56" t="s">
        <v>146</v>
      </c>
      <c r="C49" s="55">
        <v>0</v>
      </c>
      <c r="D49" s="55">
        <v>10</v>
      </c>
      <c r="E49" s="54" t="s">
        <v>29</v>
      </c>
      <c r="F49" s="53">
        <v>25</v>
      </c>
      <c r="G49" s="53">
        <f>OW_RATIO_U*COUNTA('Sequence + methode OW'!I10:I17)</f>
        <v>200</v>
      </c>
    </row>
    <row r="50" spans="2:7" x14ac:dyDescent="0.2">
      <c r="B50" s="32"/>
      <c r="C50" s="26">
        <v>10</v>
      </c>
      <c r="D50" s="26">
        <v>15</v>
      </c>
      <c r="E50" s="2" t="s">
        <v>29</v>
      </c>
      <c r="F50" s="31">
        <v>15</v>
      </c>
      <c r="G50" s="31"/>
    </row>
    <row r="51" spans="2:7" x14ac:dyDescent="0.2">
      <c r="B51" s="32"/>
      <c r="C51" s="26">
        <v>15</v>
      </c>
      <c r="D51" s="26">
        <v>20</v>
      </c>
      <c r="E51" s="2" t="s">
        <v>29</v>
      </c>
      <c r="F51" s="31">
        <v>5</v>
      </c>
      <c r="G51" s="31"/>
    </row>
    <row r="52" spans="2:7" ht="13.5" thickBot="1" x14ac:dyDescent="0.25">
      <c r="B52" s="48"/>
      <c r="C52" s="49">
        <v>20</v>
      </c>
      <c r="D52" s="49" t="s">
        <v>22</v>
      </c>
      <c r="E52" s="50" t="s">
        <v>29</v>
      </c>
      <c r="F52" s="52">
        <v>0</v>
      </c>
      <c r="G52" s="52"/>
    </row>
    <row r="53" spans="2:7" x14ac:dyDescent="0.2">
      <c r="B53" s="56" t="s">
        <v>106</v>
      </c>
      <c r="C53" s="53">
        <v>0</v>
      </c>
      <c r="D53" s="53">
        <v>2</v>
      </c>
      <c r="E53" s="54" t="s">
        <v>29</v>
      </c>
      <c r="F53" s="53">
        <v>15</v>
      </c>
      <c r="G53" s="53">
        <f>OW_Lin_U*COUNTA('Sequence + methode OW'!I10:I17)</f>
        <v>120</v>
      </c>
    </row>
    <row r="54" spans="2:7" x14ac:dyDescent="0.2">
      <c r="B54" s="32" t="s">
        <v>147</v>
      </c>
      <c r="C54" s="31">
        <v>2</v>
      </c>
      <c r="D54" s="31">
        <v>4</v>
      </c>
      <c r="E54" s="2" t="s">
        <v>29</v>
      </c>
      <c r="F54" s="31">
        <v>10</v>
      </c>
      <c r="G54" s="31"/>
    </row>
    <row r="55" spans="2:7" x14ac:dyDescent="0.2">
      <c r="B55" s="32"/>
      <c r="C55" s="31">
        <v>4</v>
      </c>
      <c r="D55" s="31">
        <v>6</v>
      </c>
      <c r="E55" s="2" t="s">
        <v>29</v>
      </c>
      <c r="F55" s="31">
        <v>5</v>
      </c>
      <c r="G55" s="31"/>
    </row>
    <row r="56" spans="2:7" ht="13.5" thickBot="1" x14ac:dyDescent="0.25">
      <c r="B56" s="48"/>
      <c r="C56" s="52">
        <v>6</v>
      </c>
      <c r="D56" s="52" t="s">
        <v>21</v>
      </c>
      <c r="E56" s="50" t="s">
        <v>29</v>
      </c>
      <c r="F56" s="52">
        <v>0</v>
      </c>
      <c r="G56" s="52"/>
    </row>
    <row r="57" spans="2:7" x14ac:dyDescent="0.2">
      <c r="F57" s="3" t="s">
        <v>23</v>
      </c>
      <c r="G57" s="3">
        <f>SUM(G37:G56)</f>
        <v>1560</v>
      </c>
    </row>
  </sheetData>
  <sheetProtection algorithmName="SHA-512" hashValue="M6UWKi85CLLfn6qUJfvs8GsOBvroYcE4RDJzQ3YvCDXD5gXHkgdVYloBI8aO3ntMUGMzrhohi8p9kP3g3g7t4Q==" saltValue="fjA9/Drq83KgQQSZYiH/DA==" spinCount="100000" sheet="1" objects="1" scenarios="1"/>
  <mergeCells count="2">
    <mergeCell ref="B7:G7"/>
    <mergeCell ref="B35:G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9" ma:contentTypeDescription="Create a new document." ma:contentTypeScope="" ma:versionID="6a287f4d5ccdf5ba1d77cb5cc06de2d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e09617a7b79e11d74ffab542d67eb13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CB57A-A2CA-4DE7-861E-F103A025C6F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cd9f31a-708f-4ff2-99ee-ed8016d4bf5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5AD5D5-E8B6-4866-9F8C-4F43B76FCC97}"/>
</file>

<file path=customXml/itemProps3.xml><?xml version="1.0" encoding="utf-8"?>
<ds:datastoreItem xmlns:ds="http://schemas.openxmlformats.org/officeDocument/2006/customXml" ds:itemID="{C8D8E704-680A-4972-B3DD-FEC52FF8A7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56</vt:i4>
      </vt:variant>
    </vt:vector>
  </HeadingPairs>
  <TitlesOfParts>
    <vt:vector size="63" baseType="lpstr">
      <vt:lpstr>Sequence + methode WB</vt:lpstr>
      <vt:lpstr>Rapportage formulier WB</vt:lpstr>
      <vt:lpstr>Sequence + methode OW</vt:lpstr>
      <vt:lpstr>Rapportage formulier OW</vt:lpstr>
      <vt:lpstr>Eindscore</vt:lpstr>
      <vt:lpstr>Concentraties</vt:lpstr>
      <vt:lpstr>Punten verdeling</vt:lpstr>
      <vt:lpstr>OW_AG_G</vt:lpstr>
      <vt:lpstr>OW_AG_O</vt:lpstr>
      <vt:lpstr>OW_AG_U</vt:lpstr>
      <vt:lpstr>OW_AG_V</vt:lpstr>
      <vt:lpstr>OW_Lin_G</vt:lpstr>
      <vt:lpstr>OW_Lin_O</vt:lpstr>
      <vt:lpstr>OW_Lin_U</vt:lpstr>
      <vt:lpstr>OW_Lin_V</vt:lpstr>
      <vt:lpstr>OW_Punt_MAX</vt:lpstr>
      <vt:lpstr>OW_Punten_AG</vt:lpstr>
      <vt:lpstr>OW_PuntenCM_TV</vt:lpstr>
      <vt:lpstr>OW_PuntenLineariteit</vt:lpstr>
      <vt:lpstr>OW_PuntenRatio</vt:lpstr>
      <vt:lpstr>OW_PuntenRG_TV</vt:lpstr>
      <vt:lpstr>OW_RATIO_G</vt:lpstr>
      <vt:lpstr>OW_RATIO_O</vt:lpstr>
      <vt:lpstr>OW_RATIO_U</vt:lpstr>
      <vt:lpstr>OW_RATIO_V</vt:lpstr>
      <vt:lpstr>OW_TV_CM_G</vt:lpstr>
      <vt:lpstr>OW_TV_CM_O</vt:lpstr>
      <vt:lpstr>OW_TV_CM_U</vt:lpstr>
      <vt:lpstr>OW_TV_CM_V</vt:lpstr>
      <vt:lpstr>OW_TV_RG_G</vt:lpstr>
      <vt:lpstr>OW_TV_RG_O</vt:lpstr>
      <vt:lpstr>OW_TV_RG_U</vt:lpstr>
      <vt:lpstr>OW_TV_RG_V</vt:lpstr>
      <vt:lpstr>WB_AG_G</vt:lpstr>
      <vt:lpstr>WB_AG_O</vt:lpstr>
      <vt:lpstr>WB_AG_PAK_G</vt:lpstr>
      <vt:lpstr>WB_AG_PAK_O</vt:lpstr>
      <vt:lpstr>WB_AG_PAK_U</vt:lpstr>
      <vt:lpstr>WB_AG_PAK_V</vt:lpstr>
      <vt:lpstr>WB_AG_U</vt:lpstr>
      <vt:lpstr>WB_AG_V</vt:lpstr>
      <vt:lpstr>WB_Lin_G</vt:lpstr>
      <vt:lpstr>WB_Lin_O</vt:lpstr>
      <vt:lpstr>WB_Lin_U</vt:lpstr>
      <vt:lpstr>WB_Lin_V</vt:lpstr>
      <vt:lpstr>WB_Punt_MAX</vt:lpstr>
      <vt:lpstr>WB_Punten_AG</vt:lpstr>
      <vt:lpstr>WB_PuntenCM_TV</vt:lpstr>
      <vt:lpstr>WB_PuntenLineariteit</vt:lpstr>
      <vt:lpstr>WB_PuntenRatio</vt:lpstr>
      <vt:lpstr>WB_PuntenRG_TV</vt:lpstr>
      <vt:lpstr>WB_RATIO_G</vt:lpstr>
      <vt:lpstr>WB_RATIO_O</vt:lpstr>
      <vt:lpstr>WB_RATIO_U</vt:lpstr>
      <vt:lpstr>WB_RATIO_V</vt:lpstr>
      <vt:lpstr>WB_TV_CM_G</vt:lpstr>
      <vt:lpstr>WB_TV_CM_O</vt:lpstr>
      <vt:lpstr>WB_TV_CM_U</vt:lpstr>
      <vt:lpstr>WB_TV_CM_V</vt:lpstr>
      <vt:lpstr>WB_TV_RG_G</vt:lpstr>
      <vt:lpstr>WB_TV_RG_O</vt:lpstr>
      <vt:lpstr>WB_TV_RG_U</vt:lpstr>
      <vt:lpstr>WB_TV_RG_V</vt:lpstr>
    </vt:vector>
  </TitlesOfParts>
  <Manager/>
  <Company>Stichting Waterproef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Annelies Potjes</dc:creator>
  <cp:keywords/>
  <dc:description/>
  <cp:lastModifiedBy>Annelies Potjes</cp:lastModifiedBy>
  <cp:revision/>
  <dcterms:created xsi:type="dcterms:W3CDTF">2024-11-20T13:32:08Z</dcterms:created>
  <dcterms:modified xsi:type="dcterms:W3CDTF">2026-03-05T08:19:32Z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