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sterdamumc.sharepoint.com/sites/RegelkastenAUMC/Gedeelde documenten/3. Inkoop/20. aanbesteding/04 prijs/"/>
    </mc:Choice>
  </mc:AlternateContent>
  <xr:revisionPtr revIDLastSave="436" documentId="8_{8BCDED16-5F35-4434-994F-192E1D54A024}" xr6:coauthVersionLast="47" xr6:coauthVersionMax="47" xr10:uidLastSave="{06E85FE3-2546-4FFD-A8C5-3A2F1C064024}"/>
  <bookViews>
    <workbookView xWindow="-120" yWindow="-120" windowWidth="29040" windowHeight="15720" firstSheet="6" activeTab="6" xr2:uid="{00000000-000D-0000-FFFF-FFFF00000000}"/>
  </bookViews>
  <sheets>
    <sheet name="I Totaal" sheetId="5" state="hidden" r:id="rId1"/>
    <sheet name="Bouwkunde" sheetId="1" state="hidden" r:id="rId2"/>
    <sheet name="W-Installaties" sheetId="3" state="hidden" r:id="rId3"/>
    <sheet name="E-Installaties" sheetId="4" state="hidden" r:id="rId4"/>
    <sheet name="T-Installaties" sheetId="6" state="hidden" r:id="rId5"/>
    <sheet name="ABK" sheetId="7" state="hidden" r:id="rId6"/>
    <sheet name="Prijzenblad P1-Werken" sheetId="8" r:id="rId7"/>
  </sheets>
  <definedNames>
    <definedName name="ABK">ABK!$H$32</definedName>
    <definedName name="_xlnm.Print_Area" localSheetId="6">'Prijzenblad P1-Werken'!$A$1:$J$59</definedName>
    <definedName name="_xlnm.Print_Titles" localSheetId="6">'Prijzenblad P1-Werken'!$1:$8</definedName>
    <definedName name="bouwkunde">Bouwkunde!$I$32</definedName>
    <definedName name="Einstallaties" localSheetId="5">ABK!$H$32</definedName>
    <definedName name="Einstallaties" localSheetId="4">'T-Installaties'!$I$28</definedName>
    <definedName name="Einstallaties">'E-Installaties'!$I$36</definedName>
    <definedName name="Tinstallaties" localSheetId="5">ABK!$H$32</definedName>
    <definedName name="Tinstallaties">'T-Installaties'!$I$28</definedName>
    <definedName name="Winstallaties">'W-Installaties'!$I$38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8" l="1"/>
  <c r="H25" i="8"/>
  <c r="J19" i="8"/>
  <c r="H19" i="8"/>
  <c r="H13" i="8" l="1"/>
  <c r="J28" i="8"/>
  <c r="J29" i="8"/>
  <c r="J13" i="8"/>
  <c r="J21" i="8"/>
  <c r="J20" i="8"/>
  <c r="J12" i="8"/>
  <c r="J16" i="8"/>
  <c r="H46" i="8"/>
  <c r="H33" i="8"/>
  <c r="H49" i="8"/>
  <c r="H48" i="8"/>
  <c r="H47" i="8"/>
  <c r="J34" i="8"/>
  <c r="H27" i="8"/>
  <c r="H26" i="8"/>
  <c r="H24" i="8"/>
  <c r="H23" i="8"/>
  <c r="H22" i="8"/>
  <c r="H18" i="8"/>
  <c r="H17" i="8"/>
  <c r="H15" i="8"/>
  <c r="H14" i="8"/>
  <c r="H11" i="8"/>
  <c r="H10" i="8"/>
  <c r="H21" i="8" l="1"/>
  <c r="H28" i="8"/>
  <c r="H29" i="8"/>
  <c r="H20" i="8"/>
  <c r="H12" i="8"/>
  <c r="H16" i="8"/>
  <c r="J33" i="8"/>
  <c r="H34" i="8"/>
  <c r="J47" i="8"/>
  <c r="J27" i="8"/>
  <c r="J26" i="8"/>
  <c r="J24" i="8"/>
  <c r="J23" i="8"/>
  <c r="J22" i="8"/>
  <c r="J18" i="8"/>
  <c r="J17" i="8"/>
  <c r="J15" i="8"/>
  <c r="J14" i="8"/>
  <c r="J11" i="8"/>
  <c r="J10" i="8"/>
  <c r="G14" i="1"/>
  <c r="E16" i="7" s="1"/>
  <c r="G22" i="3"/>
  <c r="G20" i="4"/>
  <c r="E15" i="7"/>
  <c r="E14" i="7"/>
  <c r="D29" i="7"/>
  <c r="E20" i="5"/>
  <c r="D20" i="6"/>
  <c r="E20" i="6"/>
  <c r="E15" i="6"/>
  <c r="E28" i="4"/>
  <c r="E19" i="4"/>
  <c r="E17" i="4"/>
  <c r="E15" i="4"/>
  <c r="E30" i="3"/>
  <c r="E21" i="5"/>
  <c r="E21" i="3"/>
  <c r="E19" i="3"/>
  <c r="E17" i="3"/>
  <c r="E15" i="3"/>
  <c r="E24" i="1"/>
  <c r="E23" i="1"/>
  <c r="J35" i="8" l="1"/>
  <c r="J14" i="1"/>
  <c r="J46" i="8" l="1"/>
  <c r="J48" i="8"/>
  <c r="J49" i="8" s="1"/>
  <c r="G19" i="4"/>
  <c r="I19" i="4" s="1"/>
  <c r="G21" i="3"/>
  <c r="I21" i="3" s="1"/>
  <c r="I20" i="4" l="1"/>
  <c r="J50" i="8" l="1"/>
  <c r="J52" i="8"/>
  <c r="H52" i="8" s="1"/>
  <c r="J29" i="3"/>
  <c r="J20" i="4" l="1"/>
  <c r="I21" i="5" l="1"/>
  <c r="J21" i="5"/>
  <c r="J20" i="5"/>
  <c r="J18" i="5"/>
  <c r="I14" i="1"/>
  <c r="I19" i="1" s="1"/>
  <c r="H19" i="7"/>
  <c r="J20" i="6"/>
  <c r="J19" i="6"/>
  <c r="J15" i="6"/>
  <c r="J28" i="4"/>
  <c r="J27" i="4"/>
  <c r="J25" i="4"/>
  <c r="J24" i="4"/>
  <c r="J19" i="4"/>
  <c r="J17" i="4"/>
  <c r="J15" i="4"/>
  <c r="J30" i="4"/>
  <c r="J26" i="4"/>
  <c r="J23" i="4"/>
  <c r="J21" i="4"/>
  <c r="J30" i="3"/>
  <c r="J28" i="3"/>
  <c r="J27" i="3"/>
  <c r="J26" i="3"/>
  <c r="J21" i="3"/>
  <c r="J19" i="3"/>
  <c r="J17" i="3"/>
  <c r="J15" i="3"/>
  <c r="J23" i="3"/>
  <c r="J24" i="1"/>
  <c r="J23" i="1"/>
  <c r="H14" i="7"/>
  <c r="H15" i="7"/>
  <c r="H16" i="7"/>
  <c r="H20" i="7"/>
  <c r="H21" i="7" s="1"/>
  <c r="G15" i="3"/>
  <c r="I15" i="3" s="1"/>
  <c r="G17" i="3"/>
  <c r="I17" i="3" s="1"/>
  <c r="G19" i="3"/>
  <c r="I19" i="3" s="1"/>
  <c r="J22" i="3"/>
  <c r="I22" i="3"/>
  <c r="G15" i="4"/>
  <c r="I15" i="4" s="1"/>
  <c r="G17" i="4"/>
  <c r="I17" i="4" s="1"/>
  <c r="G6" i="7"/>
  <c r="G5" i="7"/>
  <c r="G3" i="7"/>
  <c r="G2" i="7"/>
  <c r="H6" i="6"/>
  <c r="H5" i="6"/>
  <c r="H3" i="6"/>
  <c r="H2" i="6"/>
  <c r="H6" i="4"/>
  <c r="H5" i="4"/>
  <c r="H3" i="4"/>
  <c r="H2" i="4"/>
  <c r="H6" i="3"/>
  <c r="H5" i="3"/>
  <c r="H3" i="3"/>
  <c r="H2" i="3"/>
  <c r="H6" i="1"/>
  <c r="H5" i="1"/>
  <c r="H3" i="1"/>
  <c r="H2" i="1"/>
  <c r="H4" i="1"/>
  <c r="G4" i="7"/>
  <c r="H4" i="6"/>
  <c r="H4" i="4"/>
  <c r="H4" i="3"/>
  <c r="G15" i="6"/>
  <c r="I15" i="6" s="1"/>
  <c r="H14" i="5" l="1"/>
  <c r="I28" i="1"/>
  <c r="I23" i="3"/>
  <c r="I34" i="3" s="1"/>
  <c r="I21" i="4"/>
  <c r="H17" i="7"/>
  <c r="I16" i="6"/>
  <c r="I24" i="6" s="1"/>
  <c r="F22" i="1"/>
  <c r="F29" i="7"/>
  <c r="H29" i="7" s="1"/>
  <c r="H32" i="7" l="1"/>
  <c r="I22" i="1" s="1"/>
  <c r="G23" i="1" s="1"/>
  <c r="G19" i="6"/>
  <c r="I19" i="6" s="1"/>
  <c r="G24" i="4"/>
  <c r="I24" i="4" s="1"/>
  <c r="G26" i="4"/>
  <c r="I26" i="4" s="1"/>
  <c r="G25" i="4"/>
  <c r="I25" i="4" s="1"/>
  <c r="H16" i="5"/>
  <c r="G27" i="4"/>
  <c r="I27" i="4" s="1"/>
  <c r="I32" i="4"/>
  <c r="G26" i="3"/>
  <c r="I26" i="3" s="1"/>
  <c r="G28" i="3"/>
  <c r="I28" i="3" s="1"/>
  <c r="H15" i="5"/>
  <c r="G27" i="3"/>
  <c r="I27" i="3" s="1"/>
  <c r="G29" i="3"/>
  <c r="I29" i="3" s="1"/>
  <c r="H17" i="5" l="1"/>
  <c r="I23" i="1"/>
  <c r="G24" i="1" s="1"/>
  <c r="I24" i="1" s="1"/>
  <c r="I25" i="1" s="1"/>
  <c r="E25" i="1" s="1"/>
  <c r="E22" i="1"/>
  <c r="J22" i="1" s="1"/>
  <c r="G30" i="3"/>
  <c r="I30" i="3" s="1"/>
  <c r="I31" i="3" s="1"/>
  <c r="E31" i="3" s="1"/>
  <c r="G20" i="6"/>
  <c r="I20" i="6" s="1"/>
  <c r="I21" i="6" s="1"/>
  <c r="G28" i="4"/>
  <c r="I28" i="4" s="1"/>
  <c r="I29" i="4" s="1"/>
  <c r="E29" i="4" s="1"/>
  <c r="I29" i="1" l="1"/>
  <c r="I30" i="1" s="1"/>
  <c r="E28" i="1" s="1"/>
  <c r="E21" i="6"/>
  <c r="I25" i="6"/>
  <c r="I26" i="6" s="1"/>
  <c r="E24" i="6" s="1"/>
  <c r="I33" i="4"/>
  <c r="I34" i="4" s="1"/>
  <c r="I35" i="3"/>
  <c r="I36" i="4" l="1"/>
  <c r="I16" i="5" s="1"/>
  <c r="E25" i="6"/>
  <c r="I28" i="6"/>
  <c r="I32" i="1"/>
  <c r="I14" i="5" s="1"/>
  <c r="E33" i="4"/>
  <c r="E32" i="4"/>
  <c r="I36" i="3"/>
  <c r="E29" i="1"/>
  <c r="E34" i="3" l="1"/>
  <c r="I38" i="3"/>
  <c r="I15" i="5" s="1"/>
  <c r="E35" i="3"/>
  <c r="I17" i="5" l="1"/>
  <c r="G17" i="5" s="1"/>
  <c r="F20" i="5"/>
  <c r="I20" i="5" s="1"/>
  <c r="I24" i="5" s="1"/>
  <c r="I26" i="5" l="1"/>
  <c r="I28" i="5" s="1"/>
  <c r="J28" i="5" l="1"/>
</calcChain>
</file>

<file path=xl/sharedStrings.xml><?xml version="1.0" encoding="utf-8"?>
<sst xmlns="http://schemas.openxmlformats.org/spreadsheetml/2006/main" count="395" uniqueCount="164">
  <si>
    <t>project</t>
  </si>
  <si>
    <t>Amsterdam UMC Raamovk</t>
  </si>
  <si>
    <t>onderwerp</t>
  </si>
  <si>
    <t>Calculatieschema</t>
  </si>
  <si>
    <t>datum</t>
  </si>
  <si>
    <t>auteur</t>
  </si>
  <si>
    <t>EB</t>
  </si>
  <si>
    <t>kenmerk</t>
  </si>
  <si>
    <t>20230926 eb01</t>
  </si>
  <si>
    <t>TOTAAL</t>
  </si>
  <si>
    <t>post</t>
  </si>
  <si>
    <t>max</t>
  </si>
  <si>
    <t>%</t>
  </si>
  <si>
    <t>over</t>
  </si>
  <si>
    <t>directe bouwkosten</t>
  </si>
  <si>
    <t>kosten</t>
  </si>
  <si>
    <t>!*</t>
  </si>
  <si>
    <t>AANNEEMSOM basis</t>
  </si>
  <si>
    <t>1.1</t>
  </si>
  <si>
    <t xml:space="preserve">Aanneemsom bouwkunde </t>
  </si>
  <si>
    <t>(Totaal van blad Bouwkunde)</t>
  </si>
  <si>
    <t>1.2</t>
  </si>
  <si>
    <t>Aanneemsom W-installaties</t>
  </si>
  <si>
    <t>(Totaal van blad W-installaties)</t>
  </si>
  <si>
    <t>1.3</t>
  </si>
  <si>
    <t>Aanneemsom E-installaties</t>
  </si>
  <si>
    <t>(Totaal van blad E-installaties)</t>
  </si>
  <si>
    <t>1.4</t>
  </si>
  <si>
    <t>Subtotaal aanneemsom basis</t>
  </si>
  <si>
    <t>COORDINATIEKOSTEN ca</t>
  </si>
  <si>
    <t>2.1</t>
  </si>
  <si>
    <t>Coördinatiekosten over W-,E-,T-installaties</t>
  </si>
  <si>
    <t>2.4</t>
  </si>
  <si>
    <t>Coördinatiekosten nevenaanneming**</t>
  </si>
  <si>
    <t>2.5</t>
  </si>
  <si>
    <t>Premie CAR verzekering</t>
  </si>
  <si>
    <t>2.6</t>
  </si>
  <si>
    <t>Kosten bankgarantie</t>
  </si>
  <si>
    <t>2.7</t>
  </si>
  <si>
    <t>Subtotaal coördinatiekosten ca</t>
  </si>
  <si>
    <t>Subtotaal fictieve aanneemsom (€ excl btw)</t>
  </si>
  <si>
    <t>Ratio subtotaal totaal fictieve aanneemsom/directe bouwkosten</t>
  </si>
  <si>
    <t>* NB als een ingevulde waarde/parameter de maximaal toegestane waarde overschrijdt, leidt dit tot een ongeldige inschrijving</t>
  </si>
  <si>
    <t>btw</t>
  </si>
  <si>
    <t>alle bedragen in € excl btw</t>
  </si>
  <si>
    <t>maximaal toegestane waarde</t>
  </si>
  <si>
    <t>door Inschrijver in te vullen waarde/parameter</t>
  </si>
  <si>
    <t>transport vanuit ander tabblad</t>
  </si>
  <si>
    <t>door Amsterdam UMC opgegeven waarde</t>
  </si>
  <si>
    <r>
      <t xml:space="preserve">** Onder nevenaanneming wordt verstaan: subpercelen die door Amsterdam UMC opgedragen worden en die </t>
    </r>
    <r>
      <rPr>
        <i/>
        <sz val="12"/>
        <color theme="1"/>
        <rFont val="Calibri"/>
        <family val="2"/>
        <scheme val="minor"/>
      </rPr>
      <t>geen</t>
    </r>
    <r>
      <rPr>
        <sz val="12"/>
        <color theme="1"/>
        <rFont val="Calibri"/>
        <family val="2"/>
        <scheme val="minor"/>
      </rPr>
      <t xml:space="preserve"> onderdeel zijn</t>
    </r>
  </si>
  <si>
    <t>van de scope van de aannemer. Aannemer heeft wel de plicht de werkzaamheden van de nevenaannemer te coördineren.</t>
  </si>
  <si>
    <t>BOUWKUNDE</t>
  </si>
  <si>
    <t>%/uren</t>
  </si>
  <si>
    <t>bedrag</t>
  </si>
  <si>
    <t xml:space="preserve">bouwkosten </t>
  </si>
  <si>
    <t>Directe bouwkosten</t>
  </si>
  <si>
    <t>Lonen uitvoerend personeel (gem)</t>
  </si>
  <si>
    <t>*</t>
  </si>
  <si>
    <t>Materialen</t>
  </si>
  <si>
    <t>Materieel (niet zijnde ABK)</t>
  </si>
  <si>
    <t>Demontage en sloop</t>
  </si>
  <si>
    <t>1.5</t>
  </si>
  <si>
    <t>Onderaanneming</t>
  </si>
  <si>
    <t>1.6</t>
  </si>
  <si>
    <t>Subtotaal directe kosten</t>
  </si>
  <si>
    <t>Indirecte bouwkosten</t>
  </si>
  <si>
    <t>Algemene bouwplaatskosten (ABK)</t>
  </si>
  <si>
    <t>2.2</t>
  </si>
  <si>
    <t>Algemene kosten (AK)</t>
  </si>
  <si>
    <t>2.3</t>
  </si>
  <si>
    <t>Winst &amp; risico (W&amp;R)</t>
  </si>
  <si>
    <t>Subtotaal indirecte kosten</t>
  </si>
  <si>
    <t>Totaal</t>
  </si>
  <si>
    <t>3.1</t>
  </si>
  <si>
    <t>3.2</t>
  </si>
  <si>
    <t>3.3</t>
  </si>
  <si>
    <t>W_INSTALLATIES</t>
  </si>
  <si>
    <t>Toeslag materialen</t>
  </si>
  <si>
    <t>Toeslag onderaanneming</t>
  </si>
  <si>
    <t>Meet- en Regeltechniek/GBS</t>
  </si>
  <si>
    <t>Toeslag M&amp;R/GBS</t>
  </si>
  <si>
    <t>1.7</t>
  </si>
  <si>
    <t>Directielevering</t>
  </si>
  <si>
    <t>1.8</t>
  </si>
  <si>
    <t>Toeslag directielevering</t>
  </si>
  <si>
    <t>1.9</t>
  </si>
  <si>
    <t>Gemiddeld montage-loon</t>
  </si>
  <si>
    <t>1.10</t>
  </si>
  <si>
    <t>Engineering (UO)</t>
  </si>
  <si>
    <t>Projectleiding</t>
  </si>
  <si>
    <t>Werkvoorbereiding</t>
  </si>
  <si>
    <t>Bouwplaatskosten</t>
  </si>
  <si>
    <t>* NB als een ingevulde waarde/parameter de maximaal toegestaande waarde overschrijdt, leidt dit tot een ongeldige inschrijving</t>
  </si>
  <si>
    <t>E-INSTALLATIES</t>
  </si>
  <si>
    <t>Engineering</t>
  </si>
  <si>
    <t>Uren?</t>
  </si>
  <si>
    <t>T-INSTALLATIES</t>
  </si>
  <si>
    <t>Toeslag materialen en onderaanneming</t>
  </si>
  <si>
    <t>Projectleiding/werkvoorbereiding</t>
  </si>
  <si>
    <t>ABK</t>
  </si>
  <si>
    <t>mu/st/%</t>
  </si>
  <si>
    <t>tarief</t>
  </si>
  <si>
    <t>Personele kosten</t>
  </si>
  <si>
    <t>Uitvoering</t>
  </si>
  <si>
    <t>Hijskranen (dagen)</t>
  </si>
  <si>
    <t>Steigerwerk (groot) (dagen)</t>
  </si>
  <si>
    <t>Bouwplaatsinrichting</t>
  </si>
  <si>
    <t>Maatvoering</t>
  </si>
  <si>
    <t>Transport</t>
  </si>
  <si>
    <t>Afval verwerking</t>
  </si>
  <si>
    <t>PBM en gereedschap</t>
  </si>
  <si>
    <t>2.8</t>
  </si>
  <si>
    <t xml:space="preserve">Tijdelijke aansluitingen </t>
  </si>
  <si>
    <t>2.9</t>
  </si>
  <si>
    <t>Reproductie en ICT</t>
  </si>
  <si>
    <t>Prijzenblad aanbesteding Raamovereenkomst M&amp;R techniek - Werken</t>
  </si>
  <si>
    <t>Minimaal</t>
  </si>
  <si>
    <t>Maximaal</t>
  </si>
  <si>
    <t>Check!*</t>
  </si>
  <si>
    <t>Uurtarieven</t>
  </si>
  <si>
    <t>Weging</t>
  </si>
  <si>
    <t>Resultaat</t>
  </si>
  <si>
    <t>Manuur E</t>
  </si>
  <si>
    <t>Manuur leidinggevende E</t>
  </si>
  <si>
    <t>Datamonteur</t>
  </si>
  <si>
    <t>NEN3140 inspecteur</t>
  </si>
  <si>
    <t>Manuur W</t>
  </si>
  <si>
    <t>Manuur leidinggevende W</t>
  </si>
  <si>
    <t>M&amp;R technicus/engineer</t>
  </si>
  <si>
    <t>Projectleider E</t>
  </si>
  <si>
    <t>Projectleider W</t>
  </si>
  <si>
    <t>Projectleider M&amp;R</t>
  </si>
  <si>
    <t>Projectcoördinator</t>
  </si>
  <si>
    <t>KAM coördinator</t>
  </si>
  <si>
    <t>Werkvoorbereider E</t>
  </si>
  <si>
    <t>Werkvoorbereider W</t>
  </si>
  <si>
    <t>Tekenaar/ GBS tekenaar</t>
  </si>
  <si>
    <t>Software engineer</t>
  </si>
  <si>
    <t>Modelleur</t>
  </si>
  <si>
    <t>Specialist</t>
  </si>
  <si>
    <t xml:space="preserve">Inbedrijfsteller Field servive </t>
  </si>
  <si>
    <t>Commissioning autoriteit</t>
  </si>
  <si>
    <t>Calculator</t>
  </si>
  <si>
    <t>In de AK</t>
  </si>
  <si>
    <t>Toeslagen</t>
  </si>
  <si>
    <t>Toeslag materiaal</t>
  </si>
  <si>
    <t>Directe Kosten (DK)</t>
  </si>
  <si>
    <t>Factoren</t>
  </si>
  <si>
    <t>Correctiefactor</t>
  </si>
  <si>
    <t>Toeslagen over uurtarieven</t>
  </si>
  <si>
    <t>Werktijd 18:00-22:00</t>
  </si>
  <si>
    <t>Werktijd 22:00-06:00</t>
  </si>
  <si>
    <t>Weekend</t>
  </si>
  <si>
    <t>Feestdagen</t>
  </si>
  <si>
    <t>Opslagen</t>
  </si>
  <si>
    <t>Over DK</t>
  </si>
  <si>
    <t>Coordinatiekosten derden</t>
  </si>
  <si>
    <t>AK</t>
  </si>
  <si>
    <t>Over DK+ABK+Coord.</t>
  </si>
  <si>
    <t>W+R</t>
  </si>
  <si>
    <t>Over alles</t>
  </si>
  <si>
    <t>Totaal (inschrijfsom)</t>
  </si>
  <si>
    <t>Verhouding Opslagen (*) versus Directe Kosten</t>
  </si>
  <si>
    <t>minimaal/maximaal toegestane waarde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</si>
</sst>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#,##0.00_ ;\-#,##0.00\ "/>
    <numFmt numFmtId="165" formatCode="0.000"/>
    <numFmt numFmtId="166" formatCode="#,##0_ ;\-#,##0\ "/>
    <numFmt numFmtId="167" formatCode="0.0%"/>
    <numFmt numFmtId="168" formatCode="_(&quot;€&quot;\ * #,##0_);_(&quot;€&quot;\ * \(#,##0\);_(&quot;€&quot;\ * &quot;-&quot;??_);_(@_)"/>
    <numFmt numFmtId="169" formatCode="_(&quot;€&quot;\ * #,##0_);_(&quot;€&quot;\ * \(#,##0\);_(&quot;€&quot;\ * &quot;-&quot;?_);_(@_)"/>
    <numFmt numFmtId="170" formatCode="_ &quot;€&quot;\ * #,##0.0_ ;_ &quot;€&quot;\ * \-#,##0.0_ ;_ &quot;€&quot;\ * &quot;-&quot;?_ ;_ @_ "/>
  </numFmts>
  <fonts count="1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Verdana"/>
      <family val="2"/>
    </font>
    <font>
      <sz val="11"/>
      <name val="Calibri"/>
      <family val="2"/>
      <scheme val="minor"/>
    </font>
    <font>
      <sz val="9.5"/>
      <name val="Verdana"/>
      <family val="2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rgb="FFFF0000"/>
      <name val="Trebuchet MS"/>
      <family val="2"/>
    </font>
    <font>
      <b/>
      <sz val="11"/>
      <color rgb="FFFF0000"/>
      <name val="Trebuchet MS"/>
      <family val="2"/>
    </font>
    <font>
      <sz val="11"/>
      <name val="Trebuchet MS"/>
      <family val="2"/>
    </font>
    <font>
      <sz val="11"/>
      <color rgb="FF00000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3" fontId="3" fillId="0" borderId="0"/>
    <xf numFmtId="3" fontId="5" fillId="0" borderId="0"/>
    <xf numFmtId="44" fontId="1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1" xfId="0" applyBorder="1"/>
    <xf numFmtId="0" fontId="0" fillId="0" borderId="8" xfId="0" applyBorder="1"/>
    <xf numFmtId="14" fontId="0" fillId="0" borderId="0" xfId="0" applyNumberFormat="1" applyAlignment="1">
      <alignment horizontal="left"/>
    </xf>
    <xf numFmtId="3" fontId="0" fillId="0" borderId="0" xfId="0" applyNumberFormat="1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164" fontId="4" fillId="0" borderId="0" xfId="1" applyNumberFormat="1" applyFont="1" applyAlignment="1">
      <alignment vertical="center"/>
    </xf>
    <xf numFmtId="3" fontId="4" fillId="0" borderId="0" xfId="2" applyFont="1" applyAlignment="1">
      <alignment vertical="center"/>
    </xf>
    <xf numFmtId="3" fontId="4" fillId="0" borderId="0" xfId="1" applyFont="1" applyAlignment="1">
      <alignment vertical="center"/>
    </xf>
    <xf numFmtId="0" fontId="0" fillId="0" borderId="9" xfId="0" applyBorder="1"/>
    <xf numFmtId="0" fontId="0" fillId="0" borderId="11" xfId="0" applyBorder="1"/>
    <xf numFmtId="0" fontId="2" fillId="0" borderId="2" xfId="0" applyFont="1" applyBorder="1" applyAlignment="1">
      <alignment horizontal="left"/>
    </xf>
    <xf numFmtId="0" fontId="2" fillId="0" borderId="3" xfId="0" applyFont="1" applyBorder="1"/>
    <xf numFmtId="3" fontId="0" fillId="0" borderId="6" xfId="0" applyNumberFormat="1" applyBorder="1"/>
    <xf numFmtId="0" fontId="2" fillId="0" borderId="5" xfId="0" applyFont="1" applyBorder="1" applyAlignment="1">
      <alignment horizontal="left"/>
    </xf>
    <xf numFmtId="0" fontId="2" fillId="0" borderId="0" xfId="0" applyFont="1"/>
    <xf numFmtId="10" fontId="0" fillId="0" borderId="0" xfId="0" applyNumberFormat="1"/>
    <xf numFmtId="3" fontId="0" fillId="0" borderId="8" xfId="0" applyNumberFormat="1" applyBorder="1"/>
    <xf numFmtId="0" fontId="2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165" fontId="0" fillId="0" borderId="0" xfId="0" applyNumberFormat="1"/>
    <xf numFmtId="2" fontId="0" fillId="0" borderId="0" xfId="0" applyNumberFormat="1"/>
    <xf numFmtId="3" fontId="0" fillId="0" borderId="11" xfId="0" applyNumberFormat="1" applyBorder="1"/>
    <xf numFmtId="3" fontId="0" fillId="3" borderId="6" xfId="0" applyNumberFormat="1" applyFill="1" applyBorder="1"/>
    <xf numFmtId="3" fontId="0" fillId="3" borderId="8" xfId="0" applyNumberFormat="1" applyFill="1" applyBorder="1"/>
    <xf numFmtId="3" fontId="0" fillId="3" borderId="0" xfId="0" applyNumberFormat="1" applyFill="1"/>
    <xf numFmtId="0" fontId="0" fillId="0" borderId="0" xfId="0" applyAlignment="1">
      <alignment vertical="top" wrapText="1"/>
    </xf>
    <xf numFmtId="0" fontId="0" fillId="0" borderId="5" xfId="0" applyBorder="1" applyAlignment="1">
      <alignment horizontal="left" vertical="top"/>
    </xf>
    <xf numFmtId="3" fontId="0" fillId="0" borderId="0" xfId="0" applyNumberFormat="1" applyAlignment="1">
      <alignment vertical="top"/>
    </xf>
    <xf numFmtId="3" fontId="0" fillId="0" borderId="6" xfId="0" applyNumberFormat="1" applyBorder="1" applyAlignment="1">
      <alignment vertical="top"/>
    </xf>
    <xf numFmtId="0" fontId="0" fillId="0" borderId="0" xfId="0" applyAlignment="1">
      <alignment horizontal="left" vertical="top"/>
    </xf>
    <xf numFmtId="9" fontId="0" fillId="0" borderId="0" xfId="0" applyNumberFormat="1"/>
    <xf numFmtId="0" fontId="0" fillId="0" borderId="3" xfId="0" applyBorder="1" applyAlignment="1">
      <alignment horizontal="center"/>
    </xf>
    <xf numFmtId="166" fontId="4" fillId="0" borderId="0" xfId="1" applyNumberFormat="1" applyFont="1" applyAlignment="1">
      <alignment vertical="center"/>
    </xf>
    <xf numFmtId="0" fontId="0" fillId="0" borderId="0" xfId="0" applyAlignment="1">
      <alignment horizontal="center"/>
    </xf>
    <xf numFmtId="3" fontId="0" fillId="0" borderId="3" xfId="0" applyNumberFormat="1" applyBorder="1"/>
    <xf numFmtId="3" fontId="0" fillId="0" borderId="4" xfId="0" applyNumberFormat="1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3" fontId="0" fillId="5" borderId="6" xfId="0" applyNumberFormat="1" applyFill="1" applyBorder="1"/>
    <xf numFmtId="3" fontId="0" fillId="5" borderId="0" xfId="0" applyNumberFormat="1" applyFill="1"/>
    <xf numFmtId="3" fontId="0" fillId="5" borderId="0" xfId="0" applyNumberFormat="1" applyFill="1" applyAlignment="1">
      <alignment vertical="top"/>
    </xf>
    <xf numFmtId="0" fontId="0" fillId="0" borderId="13" xfId="0" applyBorder="1"/>
    <xf numFmtId="0" fontId="0" fillId="0" borderId="14" xfId="0" applyBorder="1"/>
    <xf numFmtId="0" fontId="8" fillId="0" borderId="14" xfId="0" applyFont="1" applyBorder="1" applyAlignment="1">
      <alignment horizontal="center"/>
    </xf>
    <xf numFmtId="0" fontId="0" fillId="0" borderId="15" xfId="0" applyBorder="1"/>
    <xf numFmtId="0" fontId="0" fillId="0" borderId="12" xfId="0" applyBorder="1"/>
    <xf numFmtId="3" fontId="7" fillId="0" borderId="6" xfId="0" applyNumberFormat="1" applyFont="1" applyBorder="1"/>
    <xf numFmtId="167" fontId="0" fillId="0" borderId="0" xfId="0" applyNumberFormat="1"/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9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0" fillId="0" borderId="9" xfId="0" applyBorder="1" applyAlignment="1">
      <alignment wrapText="1"/>
    </xf>
    <xf numFmtId="167" fontId="0" fillId="0" borderId="11" xfId="0" applyNumberFormat="1" applyBorder="1" applyAlignment="1">
      <alignment vertical="top"/>
    </xf>
    <xf numFmtId="0" fontId="0" fillId="0" borderId="0" xfId="0" applyAlignment="1">
      <alignment wrapText="1"/>
    </xf>
    <xf numFmtId="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7" fontId="0" fillId="0" borderId="0" xfId="0" applyNumberForma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/>
    </xf>
    <xf numFmtId="9" fontId="0" fillId="6" borderId="9" xfId="0" applyNumberFormat="1" applyFill="1" applyBorder="1" applyAlignment="1">
      <alignment vertical="top"/>
    </xf>
    <xf numFmtId="167" fontId="0" fillId="6" borderId="0" xfId="0" applyNumberFormat="1" applyFill="1"/>
    <xf numFmtId="0" fontId="0" fillId="0" borderId="0" xfId="0" quotePrefix="1"/>
    <xf numFmtId="3" fontId="9" fillId="0" borderId="0" xfId="1" applyFont="1" applyAlignment="1">
      <alignment vertic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wrapText="1"/>
    </xf>
    <xf numFmtId="9" fontId="0" fillId="0" borderId="18" xfId="0" applyNumberFormat="1" applyBorder="1" applyAlignment="1">
      <alignment vertical="top"/>
    </xf>
    <xf numFmtId="9" fontId="0" fillId="6" borderId="19" xfId="0" applyNumberFormat="1" applyFill="1" applyBorder="1" applyAlignment="1">
      <alignment vertical="top" wrapText="1"/>
    </xf>
    <xf numFmtId="9" fontId="0" fillId="0" borderId="20" xfId="0" applyNumberFormat="1" applyBorder="1" applyAlignment="1">
      <alignment vertical="top"/>
    </xf>
    <xf numFmtId="9" fontId="0" fillId="2" borderId="19" xfId="0" applyNumberFormat="1" applyFill="1" applyBorder="1" applyAlignment="1">
      <alignment vertical="top"/>
    </xf>
    <xf numFmtId="3" fontId="0" fillId="5" borderId="19" xfId="0" applyNumberFormat="1" applyFill="1" applyBorder="1" applyAlignment="1">
      <alignment vertical="top"/>
    </xf>
    <xf numFmtId="3" fontId="0" fillId="3" borderId="21" xfId="0" applyNumberFormat="1" applyFill="1" applyBorder="1"/>
    <xf numFmtId="9" fontId="0" fillId="0" borderId="23" xfId="0" applyNumberFormat="1" applyBorder="1" applyAlignment="1">
      <alignment vertical="top"/>
    </xf>
    <xf numFmtId="167" fontId="0" fillId="6" borderId="0" xfId="0" applyNumberFormat="1" applyFill="1" applyAlignment="1">
      <alignment vertical="top" wrapText="1"/>
    </xf>
    <xf numFmtId="167" fontId="0" fillId="4" borderId="0" xfId="0" applyNumberFormat="1" applyFill="1"/>
    <xf numFmtId="4" fontId="0" fillId="6" borderId="0" xfId="0" applyNumberFormat="1" applyFill="1"/>
    <xf numFmtId="167" fontId="2" fillId="0" borderId="0" xfId="0" applyNumberFormat="1" applyFont="1"/>
    <xf numFmtId="3" fontId="0" fillId="2" borderId="0" xfId="0" applyNumberFormat="1" applyFill="1" applyProtection="1">
      <protection locked="0"/>
    </xf>
    <xf numFmtId="167" fontId="0" fillId="2" borderId="0" xfId="0" applyNumberFormat="1" applyFill="1" applyProtection="1">
      <protection locked="0"/>
    </xf>
    <xf numFmtId="2" fontId="0" fillId="6" borderId="0" xfId="0" applyNumberFormat="1" applyFill="1"/>
    <xf numFmtId="0" fontId="0" fillId="0" borderId="22" xfId="0" applyBorder="1"/>
    <xf numFmtId="3" fontId="0" fillId="0" borderId="0" xfId="0" applyNumberFormat="1" applyAlignment="1">
      <alignment horizontal="right"/>
    </xf>
    <xf numFmtId="0" fontId="11" fillId="0" borderId="0" xfId="4" applyFont="1"/>
    <xf numFmtId="0" fontId="11" fillId="0" borderId="0" xfId="4" applyFont="1" applyAlignment="1">
      <alignment horizontal="center"/>
    </xf>
    <xf numFmtId="167" fontId="0" fillId="5" borderId="0" xfId="0" applyNumberFormat="1" applyFill="1" applyAlignment="1" applyProtection="1">
      <alignment vertical="top"/>
      <protection locked="0"/>
    </xf>
    <xf numFmtId="167" fontId="0" fillId="5" borderId="0" xfId="0" applyNumberFormat="1" applyFill="1" applyProtection="1">
      <protection locked="0"/>
    </xf>
    <xf numFmtId="0" fontId="11" fillId="0" borderId="3" xfId="4" applyFont="1" applyBorder="1"/>
    <xf numFmtId="0" fontId="11" fillId="0" borderId="4" xfId="4" applyFont="1" applyBorder="1"/>
    <xf numFmtId="0" fontId="11" fillId="0" borderId="6" xfId="4" applyFont="1" applyBorder="1"/>
    <xf numFmtId="0" fontId="11" fillId="0" borderId="1" xfId="4" applyFont="1" applyBorder="1"/>
    <xf numFmtId="0" fontId="11" fillId="0" borderId="8" xfId="4" applyFont="1" applyBorder="1"/>
    <xf numFmtId="4" fontId="0" fillId="5" borderId="0" xfId="0" applyNumberFormat="1" applyFill="1" applyProtection="1">
      <protection locked="0"/>
    </xf>
    <xf numFmtId="2" fontId="0" fillId="5" borderId="0" xfId="0" applyNumberFormat="1" applyFill="1" applyProtection="1">
      <protection locked="0"/>
    </xf>
    <xf numFmtId="164" fontId="4" fillId="3" borderId="0" xfId="1" applyNumberFormat="1" applyFont="1" applyFill="1" applyAlignment="1">
      <alignment vertical="center"/>
    </xf>
    <xf numFmtId="44" fontId="11" fillId="0" borderId="0" xfId="5" applyFont="1" applyFill="1" applyAlignment="1">
      <alignment horizontal="center"/>
    </xf>
    <xf numFmtId="2" fontId="11" fillId="0" borderId="0" xfId="7" applyNumberFormat="1" applyFont="1" applyFill="1" applyAlignment="1">
      <alignment horizontal="center"/>
    </xf>
    <xf numFmtId="9" fontId="11" fillId="0" borderId="0" xfId="6" applyFont="1" applyFill="1" applyAlignment="1">
      <alignment horizontal="center"/>
    </xf>
    <xf numFmtId="168" fontId="11" fillId="0" borderId="0" xfId="4" applyNumberFormat="1" applyFont="1"/>
    <xf numFmtId="169" fontId="11" fillId="0" borderId="0" xfId="4" applyNumberFormat="1" applyFont="1"/>
    <xf numFmtId="9" fontId="11" fillId="0" borderId="0" xfId="8" applyFont="1"/>
    <xf numFmtId="170" fontId="11" fillId="0" borderId="0" xfId="4" applyNumberFormat="1" applyFont="1"/>
    <xf numFmtId="0" fontId="11" fillId="0" borderId="24" xfId="4" applyFont="1" applyBorder="1" applyAlignment="1">
      <alignment horizontal="right"/>
    </xf>
    <xf numFmtId="0" fontId="11" fillId="0" borderId="26" xfId="4" applyFont="1" applyBorder="1" applyAlignment="1">
      <alignment horizontal="right"/>
    </xf>
    <xf numFmtId="168" fontId="11" fillId="0" borderId="25" xfId="4" applyNumberFormat="1" applyFont="1" applyBorder="1"/>
    <xf numFmtId="44" fontId="11" fillId="6" borderId="0" xfId="3" applyFont="1" applyFill="1" applyBorder="1" applyAlignment="1">
      <alignment vertical="center"/>
    </xf>
    <xf numFmtId="0" fontId="12" fillId="0" borderId="26" xfId="4" applyFont="1" applyBorder="1"/>
    <xf numFmtId="167" fontId="12" fillId="0" borderId="25" xfId="8" applyNumberFormat="1" applyFont="1" applyFill="1" applyBorder="1"/>
    <xf numFmtId="3" fontId="11" fillId="3" borderId="0" xfId="4" applyNumberFormat="1" applyFont="1" applyFill="1"/>
    <xf numFmtId="0" fontId="12" fillId="7" borderId="0" xfId="4" applyFont="1" applyFill="1"/>
    <xf numFmtId="0" fontId="12" fillId="7" borderId="0" xfId="4" applyFont="1" applyFill="1" applyAlignment="1">
      <alignment horizontal="center"/>
    </xf>
    <xf numFmtId="0" fontId="11" fillId="7" borderId="0" xfId="4" applyFont="1" applyFill="1"/>
    <xf numFmtId="0" fontId="13" fillId="7" borderId="0" xfId="4" applyFont="1" applyFill="1"/>
    <xf numFmtId="0" fontId="11" fillId="7" borderId="0" xfId="4" applyFont="1" applyFill="1" applyAlignment="1">
      <alignment horizontal="center"/>
    </xf>
    <xf numFmtId="168" fontId="12" fillId="0" borderId="25" xfId="4" applyNumberFormat="1" applyFont="1" applyBorder="1"/>
    <xf numFmtId="0" fontId="13" fillId="0" borderId="0" xfId="0" applyFont="1" applyAlignment="1">
      <alignment vertical="top"/>
    </xf>
    <xf numFmtId="0" fontId="11" fillId="0" borderId="0" xfId="0" applyFont="1"/>
    <xf numFmtId="167" fontId="11" fillId="6" borderId="0" xfId="0" applyNumberFormat="1" applyFont="1" applyFill="1"/>
    <xf numFmtId="9" fontId="11" fillId="6" borderId="0" xfId="0" applyNumberFormat="1" applyFont="1" applyFill="1"/>
    <xf numFmtId="0" fontId="13" fillId="0" borderId="0" xfId="0" applyFont="1" applyAlignment="1">
      <alignment horizontal="center"/>
    </xf>
    <xf numFmtId="0" fontId="11" fillId="0" borderId="0" xfId="4" applyFont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/>
    <xf numFmtId="9" fontId="11" fillId="6" borderId="5" xfId="0" applyNumberFormat="1" applyFont="1" applyFill="1" applyBorder="1" applyAlignment="1">
      <alignment vertical="top"/>
    </xf>
    <xf numFmtId="9" fontId="11" fillId="2" borderId="5" xfId="0" applyNumberFormat="1" applyFont="1" applyFill="1" applyBorder="1" applyAlignment="1">
      <alignment vertical="top"/>
    </xf>
    <xf numFmtId="3" fontId="11" fillId="3" borderId="7" xfId="0" applyNumberFormat="1" applyFont="1" applyFill="1" applyBorder="1"/>
    <xf numFmtId="0" fontId="11" fillId="0" borderId="1" xfId="0" applyFont="1" applyBorder="1"/>
    <xf numFmtId="44" fontId="15" fillId="6" borderId="0" xfId="3" applyFont="1" applyFill="1" applyBorder="1" applyAlignment="1">
      <alignment vertical="center"/>
    </xf>
    <xf numFmtId="0" fontId="16" fillId="0" borderId="0" xfId="4" applyFont="1"/>
    <xf numFmtId="0" fontId="12" fillId="7" borderId="24" xfId="4" applyFont="1" applyFill="1" applyBorder="1"/>
    <xf numFmtId="0" fontId="12" fillId="7" borderId="26" xfId="4" applyFont="1" applyFill="1" applyBorder="1"/>
    <xf numFmtId="44" fontId="11" fillId="7" borderId="0" xfId="5" applyFont="1" applyFill="1" applyAlignment="1">
      <alignment horizontal="center"/>
    </xf>
    <xf numFmtId="168" fontId="11" fillId="7" borderId="0" xfId="4" applyNumberFormat="1" applyFont="1" applyFill="1"/>
    <xf numFmtId="9" fontId="12" fillId="6" borderId="26" xfId="0" applyNumberFormat="1" applyFont="1" applyFill="1" applyBorder="1"/>
    <xf numFmtId="44" fontId="11" fillId="2" borderId="0" xfId="5" applyFont="1" applyFill="1" applyBorder="1" applyAlignment="1" applyProtection="1">
      <alignment horizontal="center"/>
      <protection locked="0"/>
    </xf>
    <xf numFmtId="44" fontId="11" fillId="2" borderId="0" xfId="5" applyFont="1" applyFill="1" applyAlignment="1" applyProtection="1">
      <alignment horizontal="center"/>
      <protection locked="0"/>
    </xf>
    <xf numFmtId="9" fontId="11" fillId="2" borderId="0" xfId="6" applyFont="1" applyFill="1" applyAlignment="1" applyProtection="1">
      <alignment horizontal="center"/>
      <protection locked="0"/>
    </xf>
    <xf numFmtId="2" fontId="11" fillId="2" borderId="0" xfId="7" applyNumberFormat="1" applyFont="1" applyFill="1" applyAlignment="1" applyProtection="1">
      <alignment horizontal="center"/>
      <protection locked="0"/>
    </xf>
    <xf numFmtId="167" fontId="11" fillId="2" borderId="0" xfId="6" applyNumberFormat="1" applyFont="1" applyFill="1" applyAlignment="1" applyProtection="1">
      <alignment horizontal="center"/>
      <protection locked="0"/>
    </xf>
    <xf numFmtId="0" fontId="13" fillId="0" borderId="0" xfId="0" applyFont="1" applyAlignment="1">
      <alignment horizontal="left" wrapText="1"/>
    </xf>
    <xf numFmtId="0" fontId="14" fillId="0" borderId="26" xfId="4" applyFont="1" applyBorder="1" applyAlignment="1">
      <alignment horizontal="center"/>
    </xf>
    <xf numFmtId="0" fontId="12" fillId="0" borderId="24" xfId="4" applyFont="1" applyBorder="1" applyAlignment="1">
      <alignment horizontal="center"/>
    </xf>
    <xf numFmtId="0" fontId="12" fillId="0" borderId="26" xfId="4" applyFont="1" applyBorder="1" applyAlignment="1">
      <alignment horizontal="center"/>
    </xf>
  </cellXfs>
  <cellStyles count="9">
    <cellStyle name="Komma 2" xfId="7" xr:uid="{00000000-0005-0000-0000-000000000000}"/>
    <cellStyle name="Procent" xfId="8" builtinId="5"/>
    <cellStyle name="Procent 2" xfId="6" xr:uid="{00000000-0005-0000-0000-000001000000}"/>
    <cellStyle name="Standaard" xfId="0" builtinId="0"/>
    <cellStyle name="Standaard 2" xfId="4" xr:uid="{00000000-0005-0000-0000-000003000000}"/>
    <cellStyle name="Standaard_Model financieel overzicht (uitgebreid)" xfId="2" xr:uid="{00000000-0005-0000-0000-000004000000}"/>
    <cellStyle name="Standaard_SvD Elementenbegroting" xfId="1" xr:uid="{00000000-0005-0000-0000-000005000000}"/>
    <cellStyle name="Valuta" xfId="3" builtinId="4"/>
    <cellStyle name="Valuta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312534</xdr:colOff>
      <xdr:row>5</xdr:row>
      <xdr:rowOff>182061</xdr:rowOff>
    </xdr:from>
    <xdr:ext cx="5788444" cy="593304"/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8867" y="1187478"/>
          <a:ext cx="578844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nl-NL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1">
                  <a:lumMod val="60000"/>
                  <a:lumOff val="40000"/>
                </a:schemeClr>
              </a:solidFill>
              <a:effectLst/>
            </a:rPr>
            <a:t>alleen</a:t>
          </a:r>
          <a:r>
            <a:rPr lang="nl-NL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1">
                  <a:lumMod val="60000"/>
                  <a:lumOff val="40000"/>
                </a:schemeClr>
              </a:solidFill>
              <a:effectLst/>
            </a:rPr>
            <a:t> de blauwe velden invullen</a:t>
          </a:r>
          <a:endParaRPr lang="nl-NL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1">
                <a:lumMod val="60000"/>
                <a:lumOff val="4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1</xdr:col>
      <xdr:colOff>101599</xdr:colOff>
      <xdr:row>1</xdr:row>
      <xdr:rowOff>63500</xdr:rowOff>
    </xdr:from>
    <xdr:to>
      <xdr:col>4</xdr:col>
      <xdr:colOff>646006</xdr:colOff>
      <xdr:row>5</xdr:row>
      <xdr:rowOff>177800</xdr:rowOff>
    </xdr:to>
    <xdr:pic>
      <xdr:nvPicPr>
        <xdr:cNvPr id="4" name="WordPictureWatermark3">
          <a:extLst>
            <a:ext uri="{FF2B5EF4-FFF2-40B4-BE49-F238E27FC236}">
              <a16:creationId xmlns:a16="http://schemas.microsoft.com/office/drawing/2014/main" id="{2AB198C4-50CE-8740-60AF-7AB533AAFE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0" t="42253" r="30443" b="-5634"/>
        <a:stretch/>
      </xdr:blipFill>
      <xdr:spPr bwMode="auto">
        <a:xfrm>
          <a:off x="393699" y="266700"/>
          <a:ext cx="4697307" cy="9271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342900</xdr:colOff>
      <xdr:row>5</xdr:row>
      <xdr:rowOff>184098</xdr:rowOff>
    </xdr:from>
    <xdr:ext cx="5788444" cy="593304"/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38175" y="1184223"/>
          <a:ext cx="578844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nl-NL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1">
                  <a:lumMod val="60000"/>
                  <a:lumOff val="40000"/>
                </a:schemeClr>
              </a:solidFill>
              <a:effectLst/>
            </a:rPr>
            <a:t>alleen</a:t>
          </a:r>
          <a:r>
            <a:rPr lang="nl-NL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1">
                  <a:lumMod val="60000"/>
                  <a:lumOff val="40000"/>
                </a:schemeClr>
              </a:solidFill>
              <a:effectLst/>
            </a:rPr>
            <a:t> de blauwe velden invullen</a:t>
          </a:r>
          <a:endParaRPr lang="nl-NL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1">
                <a:lumMod val="60000"/>
                <a:lumOff val="4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1</xdr:col>
      <xdr:colOff>38100</xdr:colOff>
      <xdr:row>1</xdr:row>
      <xdr:rowOff>88900</xdr:rowOff>
    </xdr:from>
    <xdr:to>
      <xdr:col>4</xdr:col>
      <xdr:colOff>887307</xdr:colOff>
      <xdr:row>6</xdr:row>
      <xdr:rowOff>0</xdr:rowOff>
    </xdr:to>
    <xdr:pic>
      <xdr:nvPicPr>
        <xdr:cNvPr id="2" name="WordPictureWatermark3">
          <a:extLst>
            <a:ext uri="{FF2B5EF4-FFF2-40B4-BE49-F238E27FC236}">
              <a16:creationId xmlns:a16="http://schemas.microsoft.com/office/drawing/2014/main" id="{8D736DF8-505C-2846-91CB-541794A6CC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0" t="42253" r="30443" b="-5634"/>
        <a:stretch/>
      </xdr:blipFill>
      <xdr:spPr bwMode="auto">
        <a:xfrm>
          <a:off x="330200" y="292100"/>
          <a:ext cx="4697307" cy="9271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328087</xdr:colOff>
      <xdr:row>5</xdr:row>
      <xdr:rowOff>190503</xdr:rowOff>
    </xdr:from>
    <xdr:ext cx="5788444" cy="593304"/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24420" y="1195920"/>
          <a:ext cx="578844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nl-NL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1">
                  <a:lumMod val="60000"/>
                  <a:lumOff val="40000"/>
                </a:schemeClr>
              </a:solidFill>
              <a:effectLst/>
            </a:rPr>
            <a:t>alleen</a:t>
          </a:r>
          <a:r>
            <a:rPr lang="nl-NL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1">
                  <a:lumMod val="60000"/>
                  <a:lumOff val="40000"/>
                </a:schemeClr>
              </a:solidFill>
              <a:effectLst/>
            </a:rPr>
            <a:t> de blauwe velden invullen</a:t>
          </a:r>
          <a:endParaRPr lang="nl-NL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1">
                <a:lumMod val="60000"/>
                <a:lumOff val="4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1</xdr:col>
      <xdr:colOff>88900</xdr:colOff>
      <xdr:row>1</xdr:row>
      <xdr:rowOff>76200</xdr:rowOff>
    </xdr:from>
    <xdr:to>
      <xdr:col>4</xdr:col>
      <xdr:colOff>734907</xdr:colOff>
      <xdr:row>5</xdr:row>
      <xdr:rowOff>190500</xdr:rowOff>
    </xdr:to>
    <xdr:pic>
      <xdr:nvPicPr>
        <xdr:cNvPr id="2" name="WordPictureWatermark3">
          <a:extLst>
            <a:ext uri="{FF2B5EF4-FFF2-40B4-BE49-F238E27FC236}">
              <a16:creationId xmlns:a16="http://schemas.microsoft.com/office/drawing/2014/main" id="{C4F3B719-965E-7C42-86DE-B6F9F02DCD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0" t="42253" r="30443" b="-5634"/>
        <a:stretch/>
      </xdr:blipFill>
      <xdr:spPr bwMode="auto">
        <a:xfrm>
          <a:off x="381000" y="279400"/>
          <a:ext cx="4697307" cy="9271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317501</xdr:colOff>
      <xdr:row>5</xdr:row>
      <xdr:rowOff>179915</xdr:rowOff>
    </xdr:from>
    <xdr:ext cx="5788444" cy="593304"/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613834" y="1185332"/>
          <a:ext cx="578844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nl-NL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1">
                  <a:lumMod val="60000"/>
                  <a:lumOff val="40000"/>
                </a:schemeClr>
              </a:solidFill>
              <a:effectLst/>
            </a:rPr>
            <a:t>alleen</a:t>
          </a:r>
          <a:r>
            <a:rPr lang="nl-NL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1">
                  <a:lumMod val="60000"/>
                  <a:lumOff val="40000"/>
                </a:schemeClr>
              </a:solidFill>
              <a:effectLst/>
            </a:rPr>
            <a:t> de blauwe velden invullen</a:t>
          </a:r>
          <a:endParaRPr lang="nl-NL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1">
                <a:lumMod val="60000"/>
                <a:lumOff val="4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1</xdr:col>
      <xdr:colOff>88900</xdr:colOff>
      <xdr:row>1</xdr:row>
      <xdr:rowOff>50800</xdr:rowOff>
    </xdr:from>
    <xdr:to>
      <xdr:col>4</xdr:col>
      <xdr:colOff>734907</xdr:colOff>
      <xdr:row>5</xdr:row>
      <xdr:rowOff>165100</xdr:rowOff>
    </xdr:to>
    <xdr:pic>
      <xdr:nvPicPr>
        <xdr:cNvPr id="2" name="WordPictureWatermark3">
          <a:extLst>
            <a:ext uri="{FF2B5EF4-FFF2-40B4-BE49-F238E27FC236}">
              <a16:creationId xmlns:a16="http://schemas.microsoft.com/office/drawing/2014/main" id="{D3D9254D-DF00-1049-B01C-46F97E3796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0" t="42253" r="30443" b="-5634"/>
        <a:stretch/>
      </xdr:blipFill>
      <xdr:spPr bwMode="auto">
        <a:xfrm>
          <a:off x="381000" y="254000"/>
          <a:ext cx="4697307" cy="9271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341306</xdr:colOff>
      <xdr:row>5</xdr:row>
      <xdr:rowOff>150809</xdr:rowOff>
    </xdr:from>
    <xdr:ext cx="5788444" cy="593304"/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34994" y="1142997"/>
          <a:ext cx="578844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nl-NL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1">
                  <a:lumMod val="60000"/>
                  <a:lumOff val="40000"/>
                </a:schemeClr>
              </a:solidFill>
              <a:effectLst/>
            </a:rPr>
            <a:t>alleen</a:t>
          </a:r>
          <a:r>
            <a:rPr lang="nl-NL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1">
                  <a:lumMod val="60000"/>
                  <a:lumOff val="40000"/>
                </a:schemeClr>
              </a:solidFill>
              <a:effectLst/>
            </a:rPr>
            <a:t> de blauwe velden invullen</a:t>
          </a:r>
          <a:endParaRPr lang="nl-NL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1">
                <a:lumMod val="60000"/>
                <a:lumOff val="4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1</xdr:col>
      <xdr:colOff>88900</xdr:colOff>
      <xdr:row>1</xdr:row>
      <xdr:rowOff>50800</xdr:rowOff>
    </xdr:from>
    <xdr:to>
      <xdr:col>4</xdr:col>
      <xdr:colOff>734907</xdr:colOff>
      <xdr:row>5</xdr:row>
      <xdr:rowOff>165100</xdr:rowOff>
    </xdr:to>
    <xdr:pic>
      <xdr:nvPicPr>
        <xdr:cNvPr id="2" name="WordPictureWatermark3">
          <a:extLst>
            <a:ext uri="{FF2B5EF4-FFF2-40B4-BE49-F238E27FC236}">
              <a16:creationId xmlns:a16="http://schemas.microsoft.com/office/drawing/2014/main" id="{55BB69CE-07B7-5149-B37D-0DCC99AE20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0" t="42253" r="30443" b="-5634"/>
        <a:stretch/>
      </xdr:blipFill>
      <xdr:spPr bwMode="auto">
        <a:xfrm>
          <a:off x="381000" y="254000"/>
          <a:ext cx="4697307" cy="9271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333368</xdr:colOff>
      <xdr:row>5</xdr:row>
      <xdr:rowOff>158743</xdr:rowOff>
    </xdr:from>
    <xdr:ext cx="5788444" cy="593304"/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627056" y="1150931"/>
          <a:ext cx="578844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nl-NL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1">
                  <a:lumMod val="60000"/>
                  <a:lumOff val="40000"/>
                </a:schemeClr>
              </a:solidFill>
              <a:effectLst/>
            </a:rPr>
            <a:t>alleen</a:t>
          </a:r>
          <a:r>
            <a:rPr lang="nl-NL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1">
                  <a:lumMod val="60000"/>
                  <a:lumOff val="40000"/>
                </a:schemeClr>
              </a:solidFill>
              <a:effectLst/>
            </a:rPr>
            <a:t> de blauwe velden invullen</a:t>
          </a:r>
          <a:endParaRPr lang="nl-NL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1">
                <a:lumMod val="60000"/>
                <a:lumOff val="4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1</xdr:col>
      <xdr:colOff>63500</xdr:colOff>
      <xdr:row>1</xdr:row>
      <xdr:rowOff>63500</xdr:rowOff>
    </xdr:from>
    <xdr:to>
      <xdr:col>4</xdr:col>
      <xdr:colOff>722207</xdr:colOff>
      <xdr:row>5</xdr:row>
      <xdr:rowOff>177800</xdr:rowOff>
    </xdr:to>
    <xdr:pic>
      <xdr:nvPicPr>
        <xdr:cNvPr id="2" name="WordPictureWatermark3">
          <a:extLst>
            <a:ext uri="{FF2B5EF4-FFF2-40B4-BE49-F238E27FC236}">
              <a16:creationId xmlns:a16="http://schemas.microsoft.com/office/drawing/2014/main" id="{909A8EED-5FE4-614C-944E-71B22F870B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0" t="42253" r="30443" b="-5634"/>
        <a:stretch/>
      </xdr:blipFill>
      <xdr:spPr bwMode="auto">
        <a:xfrm>
          <a:off x="355600" y="266700"/>
          <a:ext cx="4697307" cy="9271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29304</xdr:colOff>
      <xdr:row>0</xdr:row>
      <xdr:rowOff>96708</xdr:rowOff>
    </xdr:from>
    <xdr:to>
      <xdr:col>8</xdr:col>
      <xdr:colOff>353154</xdr:colOff>
      <xdr:row>3</xdr:row>
      <xdr:rowOff>115758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210E1B3-8088-379F-8CEB-26D6D67C3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29" y="96708"/>
          <a:ext cx="390525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9"/>
  <sheetViews>
    <sheetView topLeftCell="C7" zoomScaleNormal="100" workbookViewId="0">
      <selection activeCell="I26" sqref="I26"/>
    </sheetView>
  </sheetViews>
  <sheetFormatPr defaultColWidth="11" defaultRowHeight="15.75"/>
  <cols>
    <col min="1" max="1" width="3.875" customWidth="1"/>
    <col min="2" max="2" width="5.875" style="8" customWidth="1"/>
    <col min="3" max="3" width="35.875" customWidth="1"/>
    <col min="4" max="9" width="12.875" customWidth="1"/>
    <col min="10" max="10" width="11.875" bestFit="1" customWidth="1"/>
    <col min="11" max="11" width="3.625" customWidth="1"/>
  </cols>
  <sheetData>
    <row r="2" spans="2:16">
      <c r="B2" s="9"/>
      <c r="C2" s="1"/>
      <c r="D2" s="1"/>
      <c r="E2" s="1"/>
      <c r="F2" s="1"/>
      <c r="G2" s="1" t="s">
        <v>0</v>
      </c>
      <c r="H2" s="1" t="s">
        <v>1</v>
      </c>
      <c r="I2" s="1"/>
      <c r="J2" s="2"/>
    </row>
    <row r="3" spans="2:16">
      <c r="B3" s="10"/>
      <c r="G3" t="s">
        <v>2</v>
      </c>
      <c r="H3" t="s">
        <v>3</v>
      </c>
      <c r="J3" s="3"/>
    </row>
    <row r="4" spans="2:16">
      <c r="B4" s="10"/>
      <c r="G4" t="s">
        <v>4</v>
      </c>
      <c r="H4" s="6">
        <v>45195</v>
      </c>
      <c r="J4" s="3"/>
    </row>
    <row r="5" spans="2:16">
      <c r="B5" s="10"/>
      <c r="G5" t="s">
        <v>5</v>
      </c>
      <c r="H5" t="s">
        <v>6</v>
      </c>
      <c r="J5" s="3"/>
    </row>
    <row r="6" spans="2:16">
      <c r="B6" s="11"/>
      <c r="C6" s="4"/>
      <c r="D6" s="4"/>
      <c r="E6" s="4"/>
      <c r="F6" s="4"/>
      <c r="G6" s="4" t="s">
        <v>7</v>
      </c>
      <c r="H6" s="4" t="s">
        <v>8</v>
      </c>
      <c r="I6" s="4"/>
      <c r="J6" s="5"/>
    </row>
    <row r="10" spans="2:16">
      <c r="B10" s="24" t="s">
        <v>9</v>
      </c>
      <c r="C10" s="15"/>
      <c r="D10" s="15"/>
      <c r="E10" s="15"/>
      <c r="F10" s="15"/>
      <c r="G10" s="15"/>
      <c r="H10" s="15"/>
      <c r="I10" s="15"/>
      <c r="J10" s="16"/>
    </row>
    <row r="12" spans="2:16" ht="31.5">
      <c r="B12" s="58"/>
      <c r="C12" s="59" t="s">
        <v>10</v>
      </c>
      <c r="D12" s="60" t="s">
        <v>11</v>
      </c>
      <c r="E12" s="60" t="s">
        <v>12</v>
      </c>
      <c r="F12" s="60" t="s">
        <v>13</v>
      </c>
      <c r="G12" s="59"/>
      <c r="H12" s="57" t="s">
        <v>14</v>
      </c>
      <c r="I12" s="61" t="s">
        <v>15</v>
      </c>
      <c r="J12" s="63" t="s">
        <v>16</v>
      </c>
    </row>
    <row r="13" spans="2:16">
      <c r="B13" s="20">
        <v>1</v>
      </c>
      <c r="C13" s="21" t="s">
        <v>17</v>
      </c>
      <c r="D13" s="21"/>
      <c r="I13" s="3"/>
      <c r="J13" s="49"/>
    </row>
    <row r="14" spans="2:16">
      <c r="B14" s="10" t="s">
        <v>18</v>
      </c>
      <c r="C14" t="s">
        <v>19</v>
      </c>
      <c r="E14" s="36" t="s">
        <v>20</v>
      </c>
      <c r="F14" s="27"/>
      <c r="G14" s="27"/>
      <c r="H14" s="46" t="e">
        <f>Bouwkunde!I19</f>
        <v>#REF!</v>
      </c>
      <c r="I14" s="45" t="e">
        <f>bouwkunde</f>
        <v>#REF!</v>
      </c>
      <c r="J14" s="49"/>
      <c r="K14" s="74"/>
      <c r="L14" s="12"/>
      <c r="M14" s="13"/>
      <c r="N14" s="14"/>
      <c r="P14" s="14"/>
    </row>
    <row r="15" spans="2:16">
      <c r="B15" s="10" t="s">
        <v>21</v>
      </c>
      <c r="C15" t="s">
        <v>22</v>
      </c>
      <c r="E15" s="36" t="s">
        <v>23</v>
      </c>
      <c r="H15" s="46" t="e">
        <f>'W-Installaties'!I23</f>
        <v>#REF!</v>
      </c>
      <c r="I15" s="45" t="e">
        <f>Winstallaties</f>
        <v>#REF!</v>
      </c>
      <c r="J15" s="50"/>
      <c r="L15" s="12"/>
      <c r="M15" s="13"/>
      <c r="N15" s="14"/>
      <c r="P15" s="14"/>
    </row>
    <row r="16" spans="2:16">
      <c r="B16" s="10" t="s">
        <v>24</v>
      </c>
      <c r="C16" t="s">
        <v>25</v>
      </c>
      <c r="E16" s="36" t="s">
        <v>26</v>
      </c>
      <c r="H16" s="46">
        <f>'E-Installaties'!I21</f>
        <v>900000</v>
      </c>
      <c r="I16" s="45">
        <f>Einstallaties</f>
        <v>981000</v>
      </c>
      <c r="J16" s="49"/>
      <c r="L16" s="12"/>
      <c r="M16" s="13"/>
      <c r="N16" s="14"/>
      <c r="P16" s="14"/>
    </row>
    <row r="17" spans="2:16">
      <c r="B17" s="10" t="s">
        <v>27</v>
      </c>
      <c r="C17" t="s">
        <v>28</v>
      </c>
      <c r="G17" s="54" t="e">
        <f>I17/H17</f>
        <v>#REF!</v>
      </c>
      <c r="H17" s="41" t="e">
        <f>SUBTOTAL(9,H13:H16)</f>
        <v>#REF!</v>
      </c>
      <c r="I17" s="42" t="e">
        <f>SUBTOTAL(9,I13:I16)</f>
        <v>#REF!</v>
      </c>
      <c r="J17" s="49"/>
      <c r="L17" s="12"/>
      <c r="M17" s="13"/>
      <c r="N17" s="14"/>
      <c r="P17" s="14"/>
    </row>
    <row r="18" spans="2:16">
      <c r="B18" s="10"/>
      <c r="I18" s="3"/>
      <c r="J18" s="50" t="str">
        <f t="shared" ref="J18" si="0">IF(E18&gt;D18,"max "&amp;100*D18&amp;" %","")</f>
        <v/>
      </c>
    </row>
    <row r="19" spans="2:16">
      <c r="B19" s="20">
        <v>2</v>
      </c>
      <c r="C19" s="21" t="s">
        <v>29</v>
      </c>
      <c r="D19" s="21"/>
      <c r="I19" s="3"/>
      <c r="J19" s="49"/>
      <c r="L19" s="12"/>
    </row>
    <row r="20" spans="2:16" ht="15.95" customHeight="1">
      <c r="B20" s="33" t="s">
        <v>30</v>
      </c>
      <c r="C20" s="32" t="s">
        <v>31</v>
      </c>
      <c r="D20" s="85">
        <v>0.04</v>
      </c>
      <c r="E20" s="96" t="e">
        <f>'Prijzenblad P1-Werken'!#REF!</f>
        <v>#REF!</v>
      </c>
      <c r="F20" s="47" t="e">
        <f>SUM(I15:I16)</f>
        <v>#REF!</v>
      </c>
      <c r="G20" s="34"/>
      <c r="H20" s="34"/>
      <c r="I20" s="35" t="e">
        <f t="shared" ref="I20:I21" si="1">E20*F20</f>
        <v>#REF!</v>
      </c>
      <c r="J20" s="62" t="e">
        <f t="shared" ref="J20:J21" si="2">IF(E20&gt;D20,"max "&amp;100*D20&amp;" %","")</f>
        <v>#REF!</v>
      </c>
      <c r="L20" s="12"/>
      <c r="M20" s="13"/>
      <c r="N20" s="14"/>
    </row>
    <row r="21" spans="2:16">
      <c r="B21" s="10" t="s">
        <v>32</v>
      </c>
      <c r="C21" t="s">
        <v>33</v>
      </c>
      <c r="D21" s="85">
        <v>0.04</v>
      </c>
      <c r="E21" s="97">
        <f>'Prijzenblad P1-Werken'!D47</f>
        <v>0</v>
      </c>
      <c r="F21" s="31">
        <v>500000</v>
      </c>
      <c r="G21" s="7"/>
      <c r="H21" s="7"/>
      <c r="I21" s="19">
        <f t="shared" si="1"/>
        <v>0</v>
      </c>
      <c r="J21" s="50" t="str">
        <f t="shared" si="2"/>
        <v/>
      </c>
      <c r="L21" s="12"/>
      <c r="M21" s="13"/>
      <c r="N21" s="14"/>
    </row>
    <row r="22" spans="2:16">
      <c r="B22" s="10" t="s">
        <v>34</v>
      </c>
      <c r="C22" s="32" t="s">
        <v>35</v>
      </c>
      <c r="D22" s="32"/>
      <c r="E22" s="22"/>
      <c r="F22" s="7"/>
      <c r="G22" s="7"/>
      <c r="H22" s="7"/>
      <c r="I22" s="19"/>
      <c r="J22" s="50"/>
      <c r="L22" s="12"/>
      <c r="M22" s="13"/>
      <c r="N22" s="14"/>
    </row>
    <row r="23" spans="2:16">
      <c r="B23" s="10" t="s">
        <v>36</v>
      </c>
      <c r="C23" t="s">
        <v>37</v>
      </c>
      <c r="E23" s="22"/>
      <c r="F23" s="7"/>
      <c r="G23" s="7"/>
      <c r="H23" s="7"/>
      <c r="I23" s="23"/>
      <c r="J23" s="50"/>
      <c r="N23" s="14"/>
    </row>
    <row r="24" spans="2:16">
      <c r="B24" s="10" t="s">
        <v>38</v>
      </c>
      <c r="C24" t="s">
        <v>39</v>
      </c>
      <c r="F24" s="7"/>
      <c r="G24" s="7"/>
      <c r="H24" s="7"/>
      <c r="I24" s="19" t="e">
        <f>SUBTOTAL(9,I19:I23)</f>
        <v>#REF!</v>
      </c>
      <c r="J24" s="50"/>
      <c r="N24" s="14"/>
    </row>
    <row r="25" spans="2:16">
      <c r="B25" s="10"/>
      <c r="I25" s="3"/>
      <c r="J25" s="50"/>
      <c r="N25" s="14"/>
    </row>
    <row r="26" spans="2:16">
      <c r="B26" s="25"/>
      <c r="C26" s="15" t="s">
        <v>40</v>
      </c>
      <c r="D26" s="15"/>
      <c r="E26" s="15"/>
      <c r="F26" s="15"/>
      <c r="G26" s="15"/>
      <c r="H26" s="15"/>
      <c r="I26" s="28" t="e">
        <f>SUBTOTAL(9,I13:I25)</f>
        <v>#REF!</v>
      </c>
      <c r="J26" s="52"/>
      <c r="N26" s="14"/>
    </row>
    <row r="27" spans="2:16">
      <c r="I27" s="15"/>
      <c r="J27" s="56"/>
      <c r="N27" s="75"/>
    </row>
    <row r="28" spans="2:16" ht="31.5">
      <c r="B28" s="25"/>
      <c r="C28" s="64" t="s">
        <v>41</v>
      </c>
      <c r="D28" s="72">
        <v>1.35</v>
      </c>
      <c r="E28" s="59"/>
      <c r="F28" s="59"/>
      <c r="G28" s="59"/>
      <c r="H28" s="59"/>
      <c r="I28" s="65" t="e">
        <f>I26/H17</f>
        <v>#REF!</v>
      </c>
      <c r="J28" s="63" t="e">
        <f>IF(I28&gt;D28,"max "&amp;100*D28&amp;" %","")</f>
        <v>#REF!</v>
      </c>
    </row>
    <row r="29" spans="2:16">
      <c r="C29" s="66"/>
      <c r="D29" s="67"/>
      <c r="E29" s="68"/>
      <c r="F29" s="68"/>
      <c r="G29" s="68"/>
      <c r="H29" s="68"/>
      <c r="I29" s="69"/>
      <c r="J29" s="70"/>
    </row>
    <row r="30" spans="2:16">
      <c r="B30" s="71" t="s">
        <v>42</v>
      </c>
      <c r="C30" s="66"/>
      <c r="D30" s="67"/>
      <c r="E30" s="68"/>
      <c r="F30" s="68"/>
      <c r="G30" s="68"/>
      <c r="H30" s="68"/>
      <c r="I30" s="69"/>
      <c r="J30" s="70"/>
    </row>
    <row r="31" spans="2:16">
      <c r="C31" s="66"/>
      <c r="D31" s="67"/>
      <c r="E31" s="68"/>
      <c r="F31" s="68"/>
      <c r="G31" s="68"/>
      <c r="H31" s="68"/>
      <c r="I31" s="69"/>
      <c r="J31" s="70"/>
    </row>
    <row r="32" spans="2:16">
      <c r="B32" s="76" t="s">
        <v>43</v>
      </c>
      <c r="C32" s="77" t="s">
        <v>44</v>
      </c>
      <c r="D32" s="78"/>
      <c r="E32" s="68"/>
      <c r="F32" s="68"/>
      <c r="G32" s="68"/>
      <c r="H32" s="68"/>
      <c r="I32" s="69"/>
      <c r="J32" s="70"/>
    </row>
    <row r="33" spans="2:10">
      <c r="B33" s="79"/>
      <c r="C33" s="66" t="s">
        <v>45</v>
      </c>
      <c r="D33" s="80"/>
      <c r="E33" s="68"/>
      <c r="F33" s="68"/>
      <c r="G33" s="68"/>
      <c r="H33" s="68"/>
      <c r="I33" s="69"/>
      <c r="J33" s="70"/>
    </row>
    <row r="34" spans="2:10">
      <c r="B34" s="81"/>
      <c r="C34" t="s">
        <v>46</v>
      </c>
      <c r="D34" s="80"/>
      <c r="E34" s="68"/>
      <c r="F34" s="68"/>
      <c r="G34" s="68"/>
      <c r="H34" s="68"/>
      <c r="I34" s="69"/>
      <c r="J34" s="70"/>
    </row>
    <row r="35" spans="2:10">
      <c r="B35" s="82"/>
      <c r="C35" s="66" t="s">
        <v>47</v>
      </c>
      <c r="D35" s="80"/>
      <c r="E35" s="68"/>
      <c r="F35" s="68"/>
      <c r="G35" s="68"/>
      <c r="H35" s="68"/>
      <c r="I35" s="69"/>
      <c r="J35" s="70"/>
    </row>
    <row r="36" spans="2:10">
      <c r="B36" s="83"/>
      <c r="C36" s="92" t="s">
        <v>48</v>
      </c>
      <c r="D36" s="84"/>
      <c r="E36" s="68"/>
      <c r="F36" s="68"/>
      <c r="G36" s="68"/>
      <c r="H36" s="68"/>
      <c r="I36" s="69"/>
      <c r="J36" s="70"/>
    </row>
    <row r="37" spans="2:10">
      <c r="E37" s="68"/>
      <c r="F37" s="68"/>
      <c r="G37" s="68"/>
      <c r="H37" s="68"/>
      <c r="I37" s="69"/>
      <c r="J37" s="70"/>
    </row>
    <row r="38" spans="2:10">
      <c r="B38" s="8" t="s">
        <v>49</v>
      </c>
      <c r="I38" s="54"/>
    </row>
    <row r="39" spans="2:10">
      <c r="B39" s="8" t="s">
        <v>50</v>
      </c>
    </row>
  </sheetData>
  <sheetProtection selectLockedCells="1"/>
  <pageMargins left="0.7" right="0.7" top="0.75" bottom="0.75" header="0.3" footer="0.3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40"/>
  <sheetViews>
    <sheetView topLeftCell="A10" zoomScale="140" zoomScaleNormal="140" workbookViewId="0">
      <selection activeCell="I26" sqref="I26"/>
    </sheetView>
  </sheetViews>
  <sheetFormatPr defaultColWidth="11" defaultRowHeight="15.75"/>
  <cols>
    <col min="1" max="1" width="3.875" customWidth="1"/>
    <col min="2" max="2" width="5.875" style="8" customWidth="1"/>
    <col min="3" max="3" width="31.875" bestFit="1" customWidth="1"/>
    <col min="4" max="9" width="12.875" customWidth="1"/>
    <col min="11" max="11" width="3.625" customWidth="1"/>
    <col min="12" max="12" width="12" bestFit="1" customWidth="1"/>
  </cols>
  <sheetData>
    <row r="2" spans="2:14">
      <c r="B2" s="9"/>
      <c r="C2" s="1"/>
      <c r="D2" s="1"/>
      <c r="E2" s="1"/>
      <c r="F2" s="1"/>
      <c r="G2" s="1" t="s">
        <v>0</v>
      </c>
      <c r="H2" s="1" t="str">
        <f>'I Totaal'!H2</f>
        <v>Amsterdam UMC Raamovk</v>
      </c>
      <c r="I2" s="1"/>
      <c r="J2" s="2"/>
    </row>
    <row r="3" spans="2:14">
      <c r="B3" s="10"/>
      <c r="G3" t="s">
        <v>2</v>
      </c>
      <c r="H3" t="str">
        <f>'I Totaal'!H3</f>
        <v>Calculatieschema</v>
      </c>
      <c r="J3" s="3"/>
    </row>
    <row r="4" spans="2:14">
      <c r="B4" s="10"/>
      <c r="G4" t="s">
        <v>4</v>
      </c>
      <c r="H4" s="6">
        <f>'I Totaal'!H4</f>
        <v>45195</v>
      </c>
      <c r="J4" s="3"/>
    </row>
    <row r="5" spans="2:14">
      <c r="B5" s="10"/>
      <c r="G5" t="s">
        <v>5</v>
      </c>
      <c r="H5" t="str">
        <f>'I Totaal'!H5</f>
        <v>EB</v>
      </c>
      <c r="J5" s="3"/>
    </row>
    <row r="6" spans="2:14">
      <c r="B6" s="11"/>
      <c r="C6" s="4"/>
      <c r="D6" s="4"/>
      <c r="E6" s="4"/>
      <c r="F6" s="4"/>
      <c r="G6" s="4" t="s">
        <v>7</v>
      </c>
      <c r="H6" s="4" t="str">
        <f>'I Totaal'!H6</f>
        <v>20230926 eb01</v>
      </c>
      <c r="I6" s="4"/>
      <c r="J6" s="5"/>
    </row>
    <row r="10" spans="2:14">
      <c r="B10" s="24" t="s">
        <v>51</v>
      </c>
      <c r="C10" s="15"/>
      <c r="D10" s="15"/>
      <c r="E10" s="15"/>
      <c r="F10" s="15"/>
      <c r="G10" s="15"/>
      <c r="H10" s="15"/>
      <c r="I10" s="15"/>
      <c r="J10" s="16"/>
    </row>
    <row r="12" spans="2:14">
      <c r="B12" s="25"/>
      <c r="C12" s="15" t="s">
        <v>10</v>
      </c>
      <c r="D12" s="43" t="s">
        <v>11</v>
      </c>
      <c r="E12" s="43" t="s">
        <v>52</v>
      </c>
      <c r="F12" s="43" t="s">
        <v>13</v>
      </c>
      <c r="G12" s="43" t="s">
        <v>53</v>
      </c>
      <c r="H12" s="43"/>
      <c r="I12" s="44" t="s">
        <v>54</v>
      </c>
      <c r="J12" s="55" t="s">
        <v>16</v>
      </c>
    </row>
    <row r="13" spans="2:14">
      <c r="B13" s="17">
        <v>1</v>
      </c>
      <c r="C13" s="18" t="s">
        <v>55</v>
      </c>
      <c r="D13" s="18"/>
      <c r="E13" s="1"/>
      <c r="F13" s="1"/>
      <c r="G13" s="1"/>
      <c r="H13" s="1"/>
      <c r="I13" s="2"/>
      <c r="J13" s="49"/>
    </row>
    <row r="14" spans="2:14">
      <c r="B14" s="10" t="s">
        <v>18</v>
      </c>
      <c r="C14" t="s">
        <v>56</v>
      </c>
      <c r="D14" s="91">
        <v>80</v>
      </c>
      <c r="E14" s="31">
        <v>10000</v>
      </c>
      <c r="F14" s="40" t="s">
        <v>57</v>
      </c>
      <c r="G14" s="103" t="e">
        <f>AVERAGE('Prijzenblad P1-Werken'!#REF!)</f>
        <v>#REF!</v>
      </c>
      <c r="I14" s="19" t="e">
        <f>E14*G14</f>
        <v>#REF!</v>
      </c>
      <c r="J14" s="50" t="e">
        <f>IF(G14&gt;D14,"max "&amp;D14,"")</f>
        <v>#REF!</v>
      </c>
      <c r="L14" s="39"/>
      <c r="M14" s="13"/>
      <c r="N14" s="14"/>
    </row>
    <row r="15" spans="2:14">
      <c r="B15" s="10" t="s">
        <v>21</v>
      </c>
      <c r="C15" t="s">
        <v>58</v>
      </c>
      <c r="I15" s="29">
        <v>400000</v>
      </c>
      <c r="J15" s="49"/>
      <c r="M15" s="13"/>
      <c r="N15" s="14"/>
    </row>
    <row r="16" spans="2:14">
      <c r="B16" s="10" t="s">
        <v>24</v>
      </c>
      <c r="C16" t="s">
        <v>59</v>
      </c>
      <c r="I16" s="29">
        <v>100000</v>
      </c>
      <c r="J16" s="49"/>
      <c r="L16" s="39"/>
      <c r="M16" s="13"/>
      <c r="N16" s="14"/>
    </row>
    <row r="17" spans="2:14">
      <c r="B17" s="10" t="s">
        <v>27</v>
      </c>
      <c r="C17" t="s">
        <v>60</v>
      </c>
      <c r="I17" s="29">
        <v>200000</v>
      </c>
      <c r="J17" s="49"/>
      <c r="L17" s="39"/>
      <c r="M17" s="13"/>
      <c r="N17" s="14"/>
    </row>
    <row r="18" spans="2:14">
      <c r="B18" s="10" t="s">
        <v>61</v>
      </c>
      <c r="C18" t="s">
        <v>62</v>
      </c>
      <c r="I18" s="30">
        <v>1250000</v>
      </c>
      <c r="J18" s="49"/>
      <c r="L18" s="39"/>
      <c r="M18" s="13"/>
      <c r="N18" s="14"/>
    </row>
    <row r="19" spans="2:14">
      <c r="B19" s="10" t="s">
        <v>63</v>
      </c>
      <c r="C19" t="s">
        <v>64</v>
      </c>
      <c r="I19" s="19" t="e">
        <f>SUBTOTAL(9,I13:I18)</f>
        <v>#REF!</v>
      </c>
      <c r="J19" s="49"/>
      <c r="L19" s="39"/>
      <c r="M19" s="13"/>
      <c r="N19" s="14"/>
    </row>
    <row r="20" spans="2:14">
      <c r="B20" s="10"/>
      <c r="I20" s="3"/>
      <c r="J20" s="49"/>
    </row>
    <row r="21" spans="2:14">
      <c r="B21" s="20">
        <v>2</v>
      </c>
      <c r="C21" s="21" t="s">
        <v>65</v>
      </c>
      <c r="D21" s="21"/>
      <c r="I21" s="3"/>
      <c r="J21" s="49"/>
      <c r="L21" s="12"/>
    </row>
    <row r="22" spans="2:14">
      <c r="B22" s="10" t="s">
        <v>30</v>
      </c>
      <c r="C22" t="s">
        <v>66</v>
      </c>
      <c r="D22" s="73">
        <v>0.2</v>
      </c>
      <c r="E22" s="22" t="e">
        <f>I22/I19</f>
        <v>#REF!</v>
      </c>
      <c r="F22" s="7" t="e">
        <f>I19</f>
        <v>#REF!</v>
      </c>
      <c r="G22" s="7"/>
      <c r="H22" s="7"/>
      <c r="I22" s="45" t="e">
        <f>ABK</f>
        <v>#REF!</v>
      </c>
      <c r="J22" s="50" t="e">
        <f>IF(E22&gt;D22,"max "&amp;100*D22&amp;" %","")</f>
        <v>#REF!</v>
      </c>
      <c r="L22" s="12"/>
      <c r="M22" s="13"/>
      <c r="N22" s="14"/>
    </row>
    <row r="23" spans="2:14">
      <c r="B23" s="10" t="s">
        <v>67</v>
      </c>
      <c r="C23" t="s">
        <v>68</v>
      </c>
      <c r="D23" s="73">
        <v>0.08</v>
      </c>
      <c r="E23" s="97">
        <f>'Prijzenblad P1-Werken'!D48</f>
        <v>0</v>
      </c>
      <c r="F23" s="40" t="s">
        <v>13</v>
      </c>
      <c r="G23" s="7" t="e">
        <f>$I$19+SUM(I$21:I22)</f>
        <v>#REF!</v>
      </c>
      <c r="H23" s="7"/>
      <c r="I23" s="19" t="e">
        <f>E23*G23</f>
        <v>#REF!</v>
      </c>
      <c r="J23" s="50" t="str">
        <f>IF(E23&gt;D23,"max "&amp;100*D23&amp;" %","")</f>
        <v/>
      </c>
      <c r="L23" s="12"/>
      <c r="M23" s="13"/>
      <c r="N23" s="14"/>
    </row>
    <row r="24" spans="2:14">
      <c r="B24" s="10" t="s">
        <v>69</v>
      </c>
      <c r="C24" t="s">
        <v>70</v>
      </c>
      <c r="D24" s="73">
        <v>0.06</v>
      </c>
      <c r="E24" s="97">
        <f>'Prijzenblad P1-Werken'!D49</f>
        <v>0</v>
      </c>
      <c r="F24" s="40" t="s">
        <v>13</v>
      </c>
      <c r="G24" s="7" t="e">
        <f>$I$19+SUM(I$21:I23)</f>
        <v>#REF!</v>
      </c>
      <c r="H24" s="7"/>
      <c r="I24" s="23" t="e">
        <f>E24*G24</f>
        <v>#REF!</v>
      </c>
      <c r="J24" s="50" t="str">
        <f>IF(E24&gt;D24,"max "&amp;100*D24&amp;" %","")</f>
        <v/>
      </c>
      <c r="L24" s="12"/>
      <c r="M24" s="13"/>
      <c r="N24" s="14"/>
    </row>
    <row r="25" spans="2:14">
      <c r="B25" s="10" t="s">
        <v>32</v>
      </c>
      <c r="C25" t="s">
        <v>71</v>
      </c>
      <c r="E25" s="22" t="e">
        <f>I25/I19</f>
        <v>#REF!</v>
      </c>
      <c r="F25" s="7"/>
      <c r="G25" s="7"/>
      <c r="H25" s="7"/>
      <c r="I25" s="19" t="e">
        <f>SUBTOTAL(9,I21:I24)</f>
        <v>#REF!</v>
      </c>
      <c r="J25" s="49"/>
    </row>
    <row r="26" spans="2:14">
      <c r="B26" s="10"/>
      <c r="I26" s="3"/>
      <c r="J26" s="49"/>
    </row>
    <row r="27" spans="2:14">
      <c r="B27" s="20">
        <v>3</v>
      </c>
      <c r="C27" s="21" t="s">
        <v>72</v>
      </c>
      <c r="D27" s="21"/>
      <c r="I27" s="3"/>
      <c r="J27" s="49"/>
    </row>
    <row r="28" spans="2:14">
      <c r="B28" s="10" t="s">
        <v>73</v>
      </c>
      <c r="C28" t="s">
        <v>55</v>
      </c>
      <c r="E28" s="22" t="e">
        <f>I28/$I$30</f>
        <v>#REF!</v>
      </c>
      <c r="I28" s="19" t="e">
        <f>SUBTOTAL(9,I11:I18)</f>
        <v>#REF!</v>
      </c>
      <c r="J28" s="49"/>
    </row>
    <row r="29" spans="2:14">
      <c r="B29" s="10" t="s">
        <v>74</v>
      </c>
      <c r="C29" t="s">
        <v>65</v>
      </c>
      <c r="E29" s="22" t="e">
        <f>I29/$I$30</f>
        <v>#REF!</v>
      </c>
      <c r="I29" s="23" t="e">
        <f>SUBTOTAL(9,I21:I25)</f>
        <v>#REF!</v>
      </c>
      <c r="J29" s="49"/>
    </row>
    <row r="30" spans="2:14">
      <c r="B30" s="10" t="s">
        <v>75</v>
      </c>
      <c r="C30" t="s">
        <v>72</v>
      </c>
      <c r="I30" s="19" t="e">
        <f>SUM(I28:I29)</f>
        <v>#REF!</v>
      </c>
      <c r="J30" s="49"/>
    </row>
    <row r="31" spans="2:14">
      <c r="B31" s="10"/>
      <c r="I31" s="3"/>
      <c r="J31" s="49"/>
    </row>
    <row r="32" spans="2:14">
      <c r="B32" s="25"/>
      <c r="C32" s="15" t="s">
        <v>72</v>
      </c>
      <c r="D32" s="15"/>
      <c r="E32" s="15"/>
      <c r="F32" s="15"/>
      <c r="G32" s="15"/>
      <c r="H32" s="15"/>
      <c r="I32" s="28" t="e">
        <f>MAX(I13:I31)</f>
        <v>#REF!</v>
      </c>
      <c r="J32" s="52"/>
    </row>
    <row r="34" spans="2:4">
      <c r="B34" s="71" t="s">
        <v>42</v>
      </c>
    </row>
    <row r="36" spans="2:4">
      <c r="B36" s="76" t="s">
        <v>43</v>
      </c>
      <c r="C36" s="77" t="s">
        <v>44</v>
      </c>
      <c r="D36" s="78"/>
    </row>
    <row r="37" spans="2:4">
      <c r="B37" s="79"/>
      <c r="C37" s="66" t="s">
        <v>45</v>
      </c>
      <c r="D37" s="80"/>
    </row>
    <row r="38" spans="2:4">
      <c r="B38" s="81"/>
      <c r="C38" t="s">
        <v>46</v>
      </c>
      <c r="D38" s="80"/>
    </row>
    <row r="39" spans="2:4">
      <c r="B39" s="82"/>
      <c r="C39" s="66" t="s">
        <v>47</v>
      </c>
      <c r="D39" s="80"/>
    </row>
    <row r="40" spans="2:4">
      <c r="B40" s="83"/>
      <c r="C40" s="92" t="s">
        <v>48</v>
      </c>
      <c r="D40" s="84"/>
    </row>
  </sheetData>
  <sheetProtection selectLockedCell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6"/>
  <sheetViews>
    <sheetView topLeftCell="A7" zoomScale="130" zoomScaleNormal="130" workbookViewId="0">
      <selection activeCell="I26" sqref="I26"/>
    </sheetView>
  </sheetViews>
  <sheetFormatPr defaultColWidth="11" defaultRowHeight="15.75"/>
  <cols>
    <col min="1" max="1" width="3.875" customWidth="1"/>
    <col min="2" max="2" width="5.875" style="8" customWidth="1"/>
    <col min="3" max="3" width="34.5" bestFit="1" customWidth="1"/>
    <col min="4" max="9" width="12.875" customWidth="1"/>
    <col min="11" max="11" width="3.625" customWidth="1"/>
  </cols>
  <sheetData>
    <row r="2" spans="2:14">
      <c r="B2" s="9"/>
      <c r="C2" s="1"/>
      <c r="D2" s="1"/>
      <c r="E2" s="1"/>
      <c r="F2" s="1"/>
      <c r="G2" s="1" t="s">
        <v>0</v>
      </c>
      <c r="H2" s="1" t="str">
        <f>'I Totaal'!H2</f>
        <v>Amsterdam UMC Raamovk</v>
      </c>
      <c r="I2" s="1"/>
      <c r="J2" s="2"/>
    </row>
    <row r="3" spans="2:14">
      <c r="B3" s="10"/>
      <c r="G3" t="s">
        <v>2</v>
      </c>
      <c r="H3" t="str">
        <f>'I Totaal'!H3</f>
        <v>Calculatieschema</v>
      </c>
      <c r="J3" s="3"/>
    </row>
    <row r="4" spans="2:14">
      <c r="B4" s="10"/>
      <c r="G4" s="6" t="s">
        <v>4</v>
      </c>
      <c r="H4" s="6">
        <f>'I Totaal'!H4</f>
        <v>45195</v>
      </c>
      <c r="J4" s="3"/>
    </row>
    <row r="5" spans="2:14">
      <c r="B5" s="10"/>
      <c r="G5" t="s">
        <v>5</v>
      </c>
      <c r="H5" t="str">
        <f>'I Totaal'!H5</f>
        <v>EB</v>
      </c>
      <c r="J5" s="3"/>
    </row>
    <row r="6" spans="2:14">
      <c r="B6" s="11"/>
      <c r="C6" s="4"/>
      <c r="D6" s="4"/>
      <c r="E6" s="4"/>
      <c r="F6" s="4"/>
      <c r="G6" s="4" t="s">
        <v>7</v>
      </c>
      <c r="H6" s="4" t="str">
        <f>'I Totaal'!H6</f>
        <v>20230926 eb01</v>
      </c>
      <c r="I6" s="4"/>
      <c r="J6" s="5"/>
    </row>
    <row r="10" spans="2:14">
      <c r="B10" s="24" t="s">
        <v>76</v>
      </c>
      <c r="C10" s="15"/>
      <c r="D10" s="15"/>
      <c r="E10" s="15"/>
      <c r="F10" s="15"/>
      <c r="G10" s="15"/>
      <c r="H10" s="15"/>
      <c r="I10" s="15"/>
      <c r="J10" s="16"/>
    </row>
    <row r="12" spans="2:14">
      <c r="B12" s="25"/>
      <c r="C12" s="15" t="s">
        <v>10</v>
      </c>
      <c r="D12" s="43" t="s">
        <v>11</v>
      </c>
      <c r="E12" s="43" t="s">
        <v>12</v>
      </c>
      <c r="F12" s="43" t="s">
        <v>13</v>
      </c>
      <c r="G12" s="43" t="s">
        <v>53</v>
      </c>
      <c r="H12" s="15"/>
      <c r="I12" s="44" t="s">
        <v>54</v>
      </c>
      <c r="J12" s="55" t="s">
        <v>16</v>
      </c>
    </row>
    <row r="13" spans="2:14">
      <c r="B13" s="17">
        <v>1</v>
      </c>
      <c r="C13" s="18" t="s">
        <v>55</v>
      </c>
      <c r="D13" s="18"/>
      <c r="E13" s="38" t="s">
        <v>52</v>
      </c>
      <c r="F13" s="1"/>
      <c r="G13" s="1"/>
      <c r="H13" s="1"/>
      <c r="I13" s="2"/>
      <c r="J13" s="49"/>
    </row>
    <row r="14" spans="2:14">
      <c r="B14" s="10" t="s">
        <v>18</v>
      </c>
      <c r="C14" t="s">
        <v>58</v>
      </c>
      <c r="I14" s="29">
        <v>800000</v>
      </c>
      <c r="J14" s="49"/>
      <c r="L14" s="12"/>
      <c r="M14" s="13"/>
      <c r="N14" s="14"/>
    </row>
    <row r="15" spans="2:14">
      <c r="B15" s="10" t="s">
        <v>21</v>
      </c>
      <c r="C15" t="s">
        <v>77</v>
      </c>
      <c r="D15" s="73">
        <v>0.1</v>
      </c>
      <c r="E15" s="97">
        <f>'Prijzenblad P1-Werken'!D33</f>
        <v>0</v>
      </c>
      <c r="F15" s="40" t="s">
        <v>13</v>
      </c>
      <c r="G15" s="7">
        <f>I14</f>
        <v>800000</v>
      </c>
      <c r="I15" s="53">
        <f>E15*G15</f>
        <v>0</v>
      </c>
      <c r="J15" s="50" t="str">
        <f>IF(E15&gt;D15,"max "&amp;100*D15&amp;" %","")</f>
        <v/>
      </c>
      <c r="L15" s="12"/>
      <c r="M15" s="13"/>
      <c r="N15" s="14"/>
    </row>
    <row r="16" spans="2:14">
      <c r="B16" s="10" t="s">
        <v>24</v>
      </c>
      <c r="C16" t="s">
        <v>62</v>
      </c>
      <c r="D16" s="54"/>
      <c r="E16" s="54"/>
      <c r="I16" s="29">
        <v>400000</v>
      </c>
      <c r="J16" s="49"/>
      <c r="L16" s="12"/>
      <c r="M16" s="13"/>
      <c r="N16" s="14"/>
    </row>
    <row r="17" spans="2:14">
      <c r="B17" s="10" t="s">
        <v>27</v>
      </c>
      <c r="C17" t="s">
        <v>78</v>
      </c>
      <c r="D17" s="73">
        <v>0.1</v>
      </c>
      <c r="E17" s="97">
        <f>'Prijzenblad P1-Werken'!D34</f>
        <v>0</v>
      </c>
      <c r="F17" s="40" t="s">
        <v>13</v>
      </c>
      <c r="G17" s="7">
        <f>I16</f>
        <v>400000</v>
      </c>
      <c r="I17" s="19">
        <f>E17*G17</f>
        <v>0</v>
      </c>
      <c r="J17" s="50" t="str">
        <f>IF(E17&gt;D17,"max "&amp;100*D17&amp;" %","")</f>
        <v/>
      </c>
      <c r="L17" s="12"/>
      <c r="M17" s="13"/>
      <c r="N17" s="14"/>
    </row>
    <row r="18" spans="2:14">
      <c r="B18" s="10" t="s">
        <v>61</v>
      </c>
      <c r="C18" t="s">
        <v>79</v>
      </c>
      <c r="D18" s="54"/>
      <c r="E18" s="54"/>
      <c r="F18" s="40"/>
      <c r="G18" s="7"/>
      <c r="I18" s="29">
        <v>420000</v>
      </c>
      <c r="J18" s="49"/>
      <c r="L18" s="12"/>
      <c r="M18" s="13"/>
      <c r="N18" s="14"/>
    </row>
    <row r="19" spans="2:14">
      <c r="B19" s="10" t="s">
        <v>63</v>
      </c>
      <c r="C19" t="s">
        <v>80</v>
      </c>
      <c r="D19" s="73">
        <v>0.06</v>
      </c>
      <c r="E19" s="97" t="e">
        <f>'Prijzenblad P1-Werken'!#REF!</f>
        <v>#REF!</v>
      </c>
      <c r="F19" s="40" t="s">
        <v>13</v>
      </c>
      <c r="G19" s="7">
        <f>I18</f>
        <v>420000</v>
      </c>
      <c r="I19" s="19" t="e">
        <f>E19*G19</f>
        <v>#REF!</v>
      </c>
      <c r="J19" s="50" t="e">
        <f>IF(E19&gt;D19,"max "&amp;100*D19&amp;" %","")</f>
        <v>#REF!</v>
      </c>
      <c r="L19" s="12"/>
      <c r="M19" s="13"/>
      <c r="N19" s="14"/>
    </row>
    <row r="20" spans="2:14">
      <c r="B20" s="10" t="s">
        <v>81</v>
      </c>
      <c r="C20" t="s">
        <v>82</v>
      </c>
      <c r="D20" s="54"/>
      <c r="E20" s="86"/>
      <c r="F20" s="40"/>
      <c r="G20" s="40"/>
      <c r="H20" s="7"/>
      <c r="I20" s="29">
        <v>100000</v>
      </c>
      <c r="J20" s="49"/>
      <c r="L20" s="12"/>
      <c r="M20" s="13"/>
      <c r="N20" s="14"/>
    </row>
    <row r="21" spans="2:14">
      <c r="B21" s="10" t="s">
        <v>83</v>
      </c>
      <c r="C21" t="s">
        <v>84</v>
      </c>
      <c r="D21" s="73">
        <v>0.06</v>
      </c>
      <c r="E21" s="97">
        <f>'Prijzenblad P1-Werken'!D47</f>
        <v>0</v>
      </c>
      <c r="F21" s="40" t="s">
        <v>13</v>
      </c>
      <c r="G21" s="93">
        <f>I20</f>
        <v>100000</v>
      </c>
      <c r="H21" s="7"/>
      <c r="I21" s="19">
        <f>E21*G21</f>
        <v>0</v>
      </c>
      <c r="J21" s="50" t="str">
        <f>IF(E21&gt;D21,"max "&amp;100*D21&amp;" %","")</f>
        <v/>
      </c>
      <c r="L21" s="12"/>
      <c r="M21" s="13"/>
      <c r="N21" s="14"/>
    </row>
    <row r="22" spans="2:14">
      <c r="B22" s="10" t="s">
        <v>85</v>
      </c>
      <c r="C22" t="s">
        <v>86</v>
      </c>
      <c r="D22" s="87">
        <v>70</v>
      </c>
      <c r="E22" s="31">
        <v>50000</v>
      </c>
      <c r="F22" s="40" t="s">
        <v>57</v>
      </c>
      <c r="G22" s="103">
        <f>AVERAGE('Prijzenblad P1-Werken'!D14:D14,'Prijzenblad P1-Werken'!D15:D15)</f>
        <v>0</v>
      </c>
      <c r="H22" s="26"/>
      <c r="I22" s="23">
        <f>E22*G22</f>
        <v>0</v>
      </c>
      <c r="J22" s="50" t="str">
        <f>IF(G22&gt;D22,"max "&amp;D22,"")</f>
        <v/>
      </c>
      <c r="L22" s="12"/>
      <c r="M22" s="13"/>
      <c r="N22" s="14"/>
    </row>
    <row r="23" spans="2:14">
      <c r="B23" s="10" t="s">
        <v>87</v>
      </c>
      <c r="C23" t="s">
        <v>64</v>
      </c>
      <c r="D23" s="37"/>
      <c r="I23" s="19" t="e">
        <f>SUBTOTAL(9,I13:I22)</f>
        <v>#REF!</v>
      </c>
      <c r="J23" s="50" t="str">
        <f>IF(E23&gt;D23,"max "&amp;100*D23&amp;" %","")</f>
        <v/>
      </c>
      <c r="L23" s="12"/>
      <c r="M23" s="13"/>
      <c r="N23" s="14"/>
    </row>
    <row r="24" spans="2:14">
      <c r="B24" s="10"/>
      <c r="D24" s="37"/>
      <c r="I24" s="3"/>
      <c r="J24" s="49"/>
    </row>
    <row r="25" spans="2:14">
      <c r="B25" s="20">
        <v>2</v>
      </c>
      <c r="C25" s="21" t="s">
        <v>65</v>
      </c>
      <c r="D25" s="37"/>
      <c r="I25" s="3"/>
      <c r="J25" s="49"/>
      <c r="L25" s="12"/>
    </row>
    <row r="26" spans="2:14">
      <c r="B26" s="10" t="s">
        <v>30</v>
      </c>
      <c r="C26" t="s">
        <v>88</v>
      </c>
      <c r="D26" s="73">
        <v>0.05</v>
      </c>
      <c r="E26" s="90">
        <v>0.05</v>
      </c>
      <c r="F26" s="40" t="s">
        <v>13</v>
      </c>
      <c r="G26" s="7" t="e">
        <f>I23</f>
        <v>#REF!</v>
      </c>
      <c r="I26" s="19" t="e">
        <f>E26*G26</f>
        <v>#REF!</v>
      </c>
      <c r="J26" s="50" t="str">
        <f t="shared" ref="J26:J30" si="0">IF(E26&gt;D26,"max "&amp;100*D26&amp;" %","")</f>
        <v/>
      </c>
      <c r="L26" s="12"/>
      <c r="M26" s="13"/>
      <c r="N26" s="14"/>
    </row>
    <row r="27" spans="2:14">
      <c r="B27" s="10" t="s">
        <v>67</v>
      </c>
      <c r="C27" t="s">
        <v>89</v>
      </c>
      <c r="D27" s="73">
        <v>1.4999999999999999E-2</v>
      </c>
      <c r="E27" s="90">
        <v>1.4999999999999999E-2</v>
      </c>
      <c r="F27" s="40" t="s">
        <v>13</v>
      </c>
      <c r="G27" s="7" t="e">
        <f>I23</f>
        <v>#REF!</v>
      </c>
      <c r="I27" s="19" t="e">
        <f>E27*G27</f>
        <v>#REF!</v>
      </c>
      <c r="J27" s="50" t="str">
        <f t="shared" si="0"/>
        <v/>
      </c>
      <c r="L27" s="12"/>
      <c r="M27" s="13"/>
      <c r="N27" s="14"/>
    </row>
    <row r="28" spans="2:14">
      <c r="B28" s="10" t="s">
        <v>69</v>
      </c>
      <c r="C28" t="s">
        <v>90</v>
      </c>
      <c r="D28" s="73">
        <v>1.4999999999999999E-2</v>
      </c>
      <c r="E28" s="90">
        <v>1.4999999999999999E-2</v>
      </c>
      <c r="F28" s="40" t="s">
        <v>13</v>
      </c>
      <c r="G28" s="7" t="e">
        <f>I23</f>
        <v>#REF!</v>
      </c>
      <c r="I28" s="19" t="e">
        <f>E28*G28</f>
        <v>#REF!</v>
      </c>
      <c r="J28" s="50" t="str">
        <f t="shared" si="0"/>
        <v/>
      </c>
      <c r="L28" s="12"/>
      <c r="M28" s="13"/>
      <c r="N28" s="14"/>
    </row>
    <row r="29" spans="2:14">
      <c r="B29" s="10" t="s">
        <v>32</v>
      </c>
      <c r="C29" t="s">
        <v>91</v>
      </c>
      <c r="D29" s="73">
        <v>0.01</v>
      </c>
      <c r="E29" s="90">
        <v>0.01</v>
      </c>
      <c r="F29" s="40" t="s">
        <v>13</v>
      </c>
      <c r="G29" s="7" t="e">
        <f>I23</f>
        <v>#REF!</v>
      </c>
      <c r="I29" s="19" t="e">
        <f>E29*G29</f>
        <v>#REF!</v>
      </c>
      <c r="J29" s="50" t="str">
        <f>IF(E29&gt;D29,"max "&amp;100*D29&amp;" %","")</f>
        <v/>
      </c>
    </row>
    <row r="30" spans="2:14">
      <c r="B30" s="10" t="s">
        <v>34</v>
      </c>
      <c r="C30" t="s">
        <v>70</v>
      </c>
      <c r="D30" s="73">
        <v>0.06</v>
      </c>
      <c r="E30" s="97">
        <f>'Prijzenblad P1-Werken'!D49</f>
        <v>0</v>
      </c>
      <c r="F30" s="40" t="s">
        <v>13</v>
      </c>
      <c r="G30" s="7" t="e">
        <f>$I$23+SUM(I$25:I29)</f>
        <v>#REF!</v>
      </c>
      <c r="I30" s="23" t="e">
        <f>E30*G30</f>
        <v>#REF!</v>
      </c>
      <c r="J30" s="50" t="str">
        <f t="shared" si="0"/>
        <v/>
      </c>
    </row>
    <row r="31" spans="2:14">
      <c r="B31" s="10" t="s">
        <v>36</v>
      </c>
      <c r="C31" t="s">
        <v>71</v>
      </c>
      <c r="E31" s="22" t="e">
        <f>I31/I23</f>
        <v>#REF!</v>
      </c>
      <c r="F31" s="7"/>
      <c r="G31" s="7"/>
      <c r="H31" s="7"/>
      <c r="I31" s="19" t="e">
        <f>SUBTOTAL(9,I25:I30)</f>
        <v>#REF!</v>
      </c>
      <c r="J31" s="49"/>
    </row>
    <row r="32" spans="2:14">
      <c r="B32" s="10"/>
      <c r="I32" s="19"/>
      <c r="J32" s="49"/>
    </row>
    <row r="33" spans="2:10">
      <c r="B33" s="20">
        <v>3</v>
      </c>
      <c r="C33" s="21" t="s">
        <v>72</v>
      </c>
      <c r="D33" s="21"/>
      <c r="I33" s="3"/>
      <c r="J33" s="49"/>
    </row>
    <row r="34" spans="2:10">
      <c r="B34" s="10" t="s">
        <v>73</v>
      </c>
      <c r="C34" t="s">
        <v>55</v>
      </c>
      <c r="E34" s="22" t="e">
        <f>I34/$I$36</f>
        <v>#REF!</v>
      </c>
      <c r="I34" s="19" t="e">
        <f>SUBTOTAL(9,I13:I23)</f>
        <v>#REF!</v>
      </c>
      <c r="J34" s="49"/>
    </row>
    <row r="35" spans="2:10">
      <c r="B35" s="10" t="s">
        <v>74</v>
      </c>
      <c r="C35" t="s">
        <v>65</v>
      </c>
      <c r="E35" s="22" t="e">
        <f>I35/$I$36</f>
        <v>#REF!</v>
      </c>
      <c r="I35" s="23" t="e">
        <f>SUBTOTAL(9,I25:I31)</f>
        <v>#REF!</v>
      </c>
      <c r="J35" s="49"/>
    </row>
    <row r="36" spans="2:10">
      <c r="B36" s="10" t="s">
        <v>75</v>
      </c>
      <c r="C36" t="s">
        <v>72</v>
      </c>
      <c r="I36" s="19" t="e">
        <f>SUM(I34:I35)</f>
        <v>#REF!</v>
      </c>
      <c r="J36" s="49"/>
    </row>
    <row r="37" spans="2:10">
      <c r="B37" s="10"/>
      <c r="I37" s="3"/>
      <c r="J37" s="51"/>
    </row>
    <row r="38" spans="2:10">
      <c r="B38" s="25"/>
      <c r="C38" s="15" t="s">
        <v>72</v>
      </c>
      <c r="D38" s="15"/>
      <c r="E38" s="15"/>
      <c r="F38" s="15"/>
      <c r="G38" s="15"/>
      <c r="H38" s="15"/>
      <c r="I38" s="28" t="e">
        <f>MAX(I13:I37)</f>
        <v>#REF!</v>
      </c>
      <c r="J38" s="52"/>
    </row>
    <row r="40" spans="2:10">
      <c r="B40" s="71" t="s">
        <v>92</v>
      </c>
    </row>
    <row r="42" spans="2:10">
      <c r="B42" s="76" t="s">
        <v>43</v>
      </c>
      <c r="C42" s="77" t="s">
        <v>44</v>
      </c>
      <c r="D42" s="78"/>
    </row>
    <row r="43" spans="2:10">
      <c r="B43" s="79"/>
      <c r="C43" s="66" t="s">
        <v>45</v>
      </c>
      <c r="D43" s="80"/>
    </row>
    <row r="44" spans="2:10">
      <c r="B44" s="81"/>
      <c r="C44" t="s">
        <v>46</v>
      </c>
      <c r="D44" s="80"/>
    </row>
    <row r="45" spans="2:10">
      <c r="B45" s="82"/>
      <c r="C45" s="66" t="s">
        <v>47</v>
      </c>
      <c r="D45" s="80"/>
    </row>
    <row r="46" spans="2:10">
      <c r="B46" s="83"/>
      <c r="C46" s="92" t="s">
        <v>48</v>
      </c>
      <c r="D46" s="84"/>
    </row>
  </sheetData>
  <sheetProtection selectLockedCells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44"/>
  <sheetViews>
    <sheetView topLeftCell="A12" zoomScale="130" zoomScaleNormal="130" workbookViewId="0">
      <selection activeCell="I26" sqref="I26"/>
    </sheetView>
  </sheetViews>
  <sheetFormatPr defaultColWidth="11" defaultRowHeight="15.75"/>
  <cols>
    <col min="1" max="1" width="3.875" customWidth="1"/>
    <col min="2" max="2" width="5.875" style="8" customWidth="1"/>
    <col min="3" max="3" width="34.5" bestFit="1" customWidth="1"/>
    <col min="4" max="9" width="12.875" customWidth="1"/>
    <col min="11" max="11" width="3.625" customWidth="1"/>
  </cols>
  <sheetData>
    <row r="2" spans="2:14">
      <c r="B2" s="9"/>
      <c r="C2" s="1"/>
      <c r="D2" s="1"/>
      <c r="E2" s="1"/>
      <c r="F2" s="1"/>
      <c r="G2" s="1" t="s">
        <v>0</v>
      </c>
      <c r="H2" s="1" t="str">
        <f>'I Totaal'!H2</f>
        <v>Amsterdam UMC Raamovk</v>
      </c>
      <c r="I2" s="1"/>
      <c r="J2" s="2"/>
    </row>
    <row r="3" spans="2:14">
      <c r="B3" s="10"/>
      <c r="G3" t="s">
        <v>2</v>
      </c>
      <c r="H3" t="str">
        <f>'I Totaal'!H3</f>
        <v>Calculatieschema</v>
      </c>
      <c r="J3" s="3"/>
    </row>
    <row r="4" spans="2:14">
      <c r="B4" s="10"/>
      <c r="G4" s="6" t="s">
        <v>4</v>
      </c>
      <c r="H4" s="6">
        <f>'I Totaal'!H4</f>
        <v>45195</v>
      </c>
      <c r="J4" s="3"/>
    </row>
    <row r="5" spans="2:14">
      <c r="B5" s="10"/>
      <c r="G5" t="s">
        <v>5</v>
      </c>
      <c r="H5" t="str">
        <f>'I Totaal'!H5</f>
        <v>EB</v>
      </c>
      <c r="J5" s="3"/>
    </row>
    <row r="6" spans="2:14">
      <c r="B6" s="11"/>
      <c r="C6" s="4"/>
      <c r="D6" s="4"/>
      <c r="E6" s="4"/>
      <c r="F6" s="4"/>
      <c r="G6" s="4" t="s">
        <v>7</v>
      </c>
      <c r="H6" s="4" t="str">
        <f>'I Totaal'!H6</f>
        <v>20230926 eb01</v>
      </c>
      <c r="I6" s="4"/>
      <c r="J6" s="5"/>
    </row>
    <row r="10" spans="2:14">
      <c r="B10" s="24" t="s">
        <v>93</v>
      </c>
      <c r="C10" s="15"/>
      <c r="D10" s="15"/>
      <c r="E10" s="15"/>
      <c r="F10" s="15"/>
      <c r="G10" s="15"/>
      <c r="H10" s="15"/>
      <c r="I10" s="15"/>
      <c r="J10" s="16"/>
    </row>
    <row r="12" spans="2:14">
      <c r="B12" s="25"/>
      <c r="C12" s="15" t="s">
        <v>10</v>
      </c>
      <c r="D12" s="43" t="s">
        <v>11</v>
      </c>
      <c r="E12" s="43" t="s">
        <v>12</v>
      </c>
      <c r="F12" s="43" t="s">
        <v>13</v>
      </c>
      <c r="G12" s="43" t="s">
        <v>53</v>
      </c>
      <c r="H12" s="15"/>
      <c r="I12" s="44" t="s">
        <v>54</v>
      </c>
      <c r="J12" s="55" t="s">
        <v>16</v>
      </c>
    </row>
    <row r="13" spans="2:14">
      <c r="B13" s="17">
        <v>1</v>
      </c>
      <c r="C13" s="18" t="s">
        <v>55</v>
      </c>
      <c r="D13" s="18"/>
      <c r="E13" s="38" t="s">
        <v>52</v>
      </c>
      <c r="F13" s="1"/>
      <c r="G13" s="1"/>
      <c r="H13" s="1"/>
      <c r="I13" s="2"/>
      <c r="J13" s="49"/>
    </row>
    <row r="14" spans="2:14">
      <c r="B14" s="10" t="s">
        <v>18</v>
      </c>
      <c r="C14" t="s">
        <v>58</v>
      </c>
      <c r="I14" s="29">
        <v>600000</v>
      </c>
      <c r="J14" s="49"/>
      <c r="L14" s="12"/>
      <c r="M14" s="13"/>
      <c r="N14" s="14"/>
    </row>
    <row r="15" spans="2:14">
      <c r="B15" s="10" t="s">
        <v>21</v>
      </c>
      <c r="C15" t="s">
        <v>77</v>
      </c>
      <c r="D15" s="73">
        <v>0.1</v>
      </c>
      <c r="E15" s="97">
        <f>'Prijzenblad P1-Werken'!D33</f>
        <v>0</v>
      </c>
      <c r="F15" s="40" t="s">
        <v>13</v>
      </c>
      <c r="G15" s="7">
        <f>I14</f>
        <v>600000</v>
      </c>
      <c r="I15" s="19">
        <f>E15*G15</f>
        <v>0</v>
      </c>
      <c r="J15" s="50" t="str">
        <f t="shared" ref="J15" si="0">IF(E15&gt;D15,"max "&amp;100*D15&amp;" %","")</f>
        <v/>
      </c>
      <c r="L15" s="12"/>
      <c r="M15" s="13"/>
      <c r="N15" s="14"/>
    </row>
    <row r="16" spans="2:14">
      <c r="B16" s="10" t="s">
        <v>24</v>
      </c>
      <c r="C16" t="s">
        <v>62</v>
      </c>
      <c r="D16" s="54"/>
      <c r="E16" s="54"/>
      <c r="I16" s="29">
        <v>200000</v>
      </c>
      <c r="J16" s="49"/>
      <c r="L16" s="12"/>
      <c r="M16" s="13"/>
      <c r="N16" s="14"/>
    </row>
    <row r="17" spans="2:14">
      <c r="B17" s="10" t="s">
        <v>27</v>
      </c>
      <c r="C17" t="s">
        <v>78</v>
      </c>
      <c r="D17" s="73">
        <v>0.1</v>
      </c>
      <c r="E17" s="97">
        <f>'Prijzenblad P1-Werken'!D34</f>
        <v>0</v>
      </c>
      <c r="F17" s="40" t="s">
        <v>13</v>
      </c>
      <c r="G17" s="7">
        <f>I16</f>
        <v>200000</v>
      </c>
      <c r="I17" s="19">
        <f>E17*G17</f>
        <v>0</v>
      </c>
      <c r="J17" s="50" t="str">
        <f t="shared" ref="J17" si="1">IF(E17&gt;D17,"max "&amp;100*D17&amp;" %","")</f>
        <v/>
      </c>
      <c r="L17" s="12"/>
      <c r="M17" s="13"/>
      <c r="N17" s="14"/>
    </row>
    <row r="18" spans="2:14">
      <c r="B18" s="10" t="s">
        <v>61</v>
      </c>
      <c r="C18" t="s">
        <v>82</v>
      </c>
      <c r="D18" s="54"/>
      <c r="E18" s="54"/>
      <c r="F18" s="40"/>
      <c r="G18" s="40"/>
      <c r="H18" s="7"/>
      <c r="I18" s="29">
        <v>100000</v>
      </c>
      <c r="J18" s="49"/>
      <c r="L18" s="12"/>
      <c r="M18" s="13"/>
      <c r="N18" s="14"/>
    </row>
    <row r="19" spans="2:14">
      <c r="B19" s="10" t="s">
        <v>63</v>
      </c>
      <c r="C19" t="s">
        <v>84</v>
      </c>
      <c r="D19" s="73">
        <v>0.06</v>
      </c>
      <c r="E19" s="97">
        <f>'Prijzenblad P1-Werken'!D47</f>
        <v>0</v>
      </c>
      <c r="F19" s="40" t="s">
        <v>13</v>
      </c>
      <c r="G19" s="93">
        <f>I18</f>
        <v>100000</v>
      </c>
      <c r="H19" s="7"/>
      <c r="I19" s="19">
        <f>E19*G19</f>
        <v>0</v>
      </c>
      <c r="J19" s="50" t="str">
        <f t="shared" ref="J19" si="2">IF(E19&gt;D19,"max "&amp;100*D19&amp;" %","")</f>
        <v/>
      </c>
      <c r="L19" s="12"/>
      <c r="M19" s="13"/>
      <c r="N19" s="14"/>
    </row>
    <row r="20" spans="2:14">
      <c r="B20" s="10" t="s">
        <v>81</v>
      </c>
      <c r="C20" t="s">
        <v>86</v>
      </c>
      <c r="D20" s="87">
        <v>67.5</v>
      </c>
      <c r="E20" s="31">
        <v>20000</v>
      </c>
      <c r="F20" s="40"/>
      <c r="G20" s="104">
        <f>AVERAGE('Prijzenblad P1-Werken'!D10:D10,'Prijzenblad P1-Werken'!D11:D11)</f>
        <v>0</v>
      </c>
      <c r="H20" s="26"/>
      <c r="I20" s="23">
        <f>E20*G20</f>
        <v>0</v>
      </c>
      <c r="J20" s="50" t="str">
        <f>IF(G20&gt;D20,"max "&amp;D20,"")</f>
        <v/>
      </c>
      <c r="L20" s="12"/>
      <c r="M20" s="13"/>
      <c r="N20" s="14"/>
    </row>
    <row r="21" spans="2:14">
      <c r="B21" s="10" t="s">
        <v>83</v>
      </c>
      <c r="C21" t="s">
        <v>64</v>
      </c>
      <c r="I21" s="19">
        <f>SUBTOTAL(9,I13:I20)</f>
        <v>900000</v>
      </c>
      <c r="J21" s="50" t="str">
        <f>IF(E21&gt;D21,"max "&amp;100*D21&amp;" %","")</f>
        <v/>
      </c>
      <c r="L21" s="12"/>
      <c r="M21" s="13"/>
      <c r="N21" s="14"/>
    </row>
    <row r="22" spans="2:14">
      <c r="B22" s="10"/>
      <c r="I22" s="3"/>
      <c r="J22" s="50"/>
    </row>
    <row r="23" spans="2:14">
      <c r="B23" s="20">
        <v>2</v>
      </c>
      <c r="C23" s="21" t="s">
        <v>65</v>
      </c>
      <c r="D23" s="21"/>
      <c r="I23" s="3"/>
      <c r="J23" s="50" t="str">
        <f>IF(E23&gt;D23,"max "&amp;100*D23&amp;" %","")</f>
        <v/>
      </c>
      <c r="L23" s="12"/>
    </row>
    <row r="24" spans="2:14">
      <c r="B24" s="10" t="s">
        <v>30</v>
      </c>
      <c r="C24" t="s">
        <v>94</v>
      </c>
      <c r="D24" s="73">
        <v>0.05</v>
      </c>
      <c r="E24" s="90">
        <v>0.05</v>
      </c>
      <c r="F24" s="40" t="s">
        <v>13</v>
      </c>
      <c r="G24" s="7">
        <f>$I$21</f>
        <v>900000</v>
      </c>
      <c r="H24" s="7"/>
      <c r="I24" s="19">
        <f>E24*G24</f>
        <v>45000</v>
      </c>
      <c r="J24" s="50" t="str">
        <f t="shared" ref="J24:J30" si="3">IF(E24&gt;D24,"max "&amp;100*D24&amp;" %","")</f>
        <v/>
      </c>
      <c r="L24" s="105" t="s">
        <v>95</v>
      </c>
      <c r="M24" s="13"/>
      <c r="N24" s="14"/>
    </row>
    <row r="25" spans="2:14">
      <c r="B25" s="10" t="s">
        <v>67</v>
      </c>
      <c r="C25" t="s">
        <v>89</v>
      </c>
      <c r="D25" s="73">
        <v>1.4999999999999999E-2</v>
      </c>
      <c r="E25" s="90">
        <v>1.4999999999999999E-2</v>
      </c>
      <c r="F25" s="40" t="s">
        <v>13</v>
      </c>
      <c r="G25" s="7">
        <f>$I$21</f>
        <v>900000</v>
      </c>
      <c r="H25" s="7"/>
      <c r="I25" s="19">
        <f>E25*G25</f>
        <v>13500</v>
      </c>
      <c r="J25" s="50" t="str">
        <f t="shared" si="3"/>
        <v/>
      </c>
      <c r="L25" s="105"/>
      <c r="M25" s="13"/>
      <c r="N25" s="14"/>
    </row>
    <row r="26" spans="2:14">
      <c r="B26" s="10" t="s">
        <v>69</v>
      </c>
      <c r="C26" t="s">
        <v>90</v>
      </c>
      <c r="D26" s="73">
        <v>1.4999999999999999E-2</v>
      </c>
      <c r="E26" s="90">
        <v>1.4999999999999999E-2</v>
      </c>
      <c r="F26" s="40" t="s">
        <v>13</v>
      </c>
      <c r="G26" s="7">
        <f>$I$21</f>
        <v>900000</v>
      </c>
      <c r="H26" s="7"/>
      <c r="I26" s="19">
        <f>E26*G26</f>
        <v>13500</v>
      </c>
      <c r="J26" s="50" t="str">
        <f t="shared" si="3"/>
        <v/>
      </c>
      <c r="L26" s="105"/>
      <c r="M26" s="13"/>
      <c r="N26" s="14"/>
    </row>
    <row r="27" spans="2:14">
      <c r="B27" s="10" t="s">
        <v>34</v>
      </c>
      <c r="C27" t="s">
        <v>91</v>
      </c>
      <c r="D27" s="73">
        <v>0.01</v>
      </c>
      <c r="E27" s="90">
        <v>0.01</v>
      </c>
      <c r="F27" s="40" t="s">
        <v>13</v>
      </c>
      <c r="G27" s="7">
        <f>I21</f>
        <v>900000</v>
      </c>
      <c r="I27" s="19">
        <f>E27*G27</f>
        <v>9000</v>
      </c>
      <c r="J27" s="50" t="str">
        <f t="shared" si="3"/>
        <v/>
      </c>
    </row>
    <row r="28" spans="2:14">
      <c r="B28" s="10" t="s">
        <v>32</v>
      </c>
      <c r="C28" t="s">
        <v>70</v>
      </c>
      <c r="D28" s="73">
        <v>0.06</v>
      </c>
      <c r="E28" s="97">
        <f>'Prijzenblad P1-Werken'!D49</f>
        <v>0</v>
      </c>
      <c r="F28" s="40" t="s">
        <v>13</v>
      </c>
      <c r="G28" s="7">
        <f>$I$21+SUM(I$23:I27)</f>
        <v>981000</v>
      </c>
      <c r="H28" s="7"/>
      <c r="I28" s="23">
        <f>E28*G28</f>
        <v>0</v>
      </c>
      <c r="J28" s="50" t="str">
        <f t="shared" si="3"/>
        <v/>
      </c>
    </row>
    <row r="29" spans="2:14">
      <c r="B29" s="10" t="s">
        <v>36</v>
      </c>
      <c r="C29" t="s">
        <v>71</v>
      </c>
      <c r="E29" s="22">
        <f>I29/I21</f>
        <v>0.09</v>
      </c>
      <c r="F29" s="7"/>
      <c r="G29" s="7"/>
      <c r="H29" s="7"/>
      <c r="I29" s="19">
        <f>SUBTOTAL(9,I23:I28)</f>
        <v>81000</v>
      </c>
      <c r="J29" s="50"/>
    </row>
    <row r="30" spans="2:14">
      <c r="B30" s="10"/>
      <c r="I30" s="19"/>
      <c r="J30" s="50" t="str">
        <f t="shared" si="3"/>
        <v/>
      </c>
    </row>
    <row r="31" spans="2:14">
      <c r="B31" s="20">
        <v>3</v>
      </c>
      <c r="C31" s="21" t="s">
        <v>72</v>
      </c>
      <c r="D31" s="21"/>
      <c r="I31" s="3"/>
      <c r="J31" s="49"/>
    </row>
    <row r="32" spans="2:14">
      <c r="B32" s="10" t="s">
        <v>73</v>
      </c>
      <c r="C32" t="s">
        <v>55</v>
      </c>
      <c r="E32" s="22">
        <f>I32/$I$34</f>
        <v>0.91743119266055051</v>
      </c>
      <c r="I32" s="19">
        <f>SUBTOTAL(9,I13:I21)</f>
        <v>900000</v>
      </c>
      <c r="J32" s="49"/>
    </row>
    <row r="33" spans="2:10">
      <c r="B33" s="10" t="s">
        <v>74</v>
      </c>
      <c r="C33" t="s">
        <v>65</v>
      </c>
      <c r="E33" s="22">
        <f>I33/$I$34</f>
        <v>8.2568807339449546E-2</v>
      </c>
      <c r="I33" s="23">
        <f>SUBTOTAL(9,I23:I29)</f>
        <v>81000</v>
      </c>
      <c r="J33" s="49"/>
    </row>
    <row r="34" spans="2:10">
      <c r="B34" s="10" t="s">
        <v>75</v>
      </c>
      <c r="C34" t="s">
        <v>72</v>
      </c>
      <c r="I34" s="19">
        <f>SUM(I32:I33)</f>
        <v>981000</v>
      </c>
      <c r="J34" s="49"/>
    </row>
    <row r="35" spans="2:10">
      <c r="B35" s="10"/>
      <c r="I35" s="3"/>
      <c r="J35" s="49"/>
    </row>
    <row r="36" spans="2:10">
      <c r="B36" s="25"/>
      <c r="C36" s="15" t="s">
        <v>72</v>
      </c>
      <c r="D36" s="15"/>
      <c r="E36" s="15"/>
      <c r="F36" s="15"/>
      <c r="G36" s="15"/>
      <c r="H36" s="15"/>
      <c r="I36" s="28">
        <f>MAX(I13:I35)</f>
        <v>981000</v>
      </c>
      <c r="J36" s="52"/>
    </row>
    <row r="38" spans="2:10">
      <c r="B38" s="71" t="s">
        <v>42</v>
      </c>
    </row>
    <row r="40" spans="2:10">
      <c r="B40" s="76" t="s">
        <v>43</v>
      </c>
      <c r="C40" s="77" t="s">
        <v>44</v>
      </c>
      <c r="D40" s="78"/>
    </row>
    <row r="41" spans="2:10">
      <c r="B41" s="79"/>
      <c r="C41" s="66" t="s">
        <v>45</v>
      </c>
      <c r="D41" s="80"/>
    </row>
    <row r="42" spans="2:10">
      <c r="B42" s="81"/>
      <c r="C42" t="s">
        <v>46</v>
      </c>
      <c r="D42" s="80"/>
    </row>
    <row r="43" spans="2:10">
      <c r="B43" s="82"/>
      <c r="C43" s="66" t="s">
        <v>47</v>
      </c>
      <c r="D43" s="80"/>
    </row>
    <row r="44" spans="2:10">
      <c r="B44" s="83"/>
      <c r="C44" s="92" t="s">
        <v>48</v>
      </c>
      <c r="D44" s="84"/>
    </row>
  </sheetData>
  <sheetProtection selectLockedCells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36"/>
  <sheetViews>
    <sheetView zoomScale="90" zoomScaleNormal="90" workbookViewId="0">
      <selection activeCell="D21" sqref="D21"/>
    </sheetView>
  </sheetViews>
  <sheetFormatPr defaultColWidth="11" defaultRowHeight="15.75"/>
  <cols>
    <col min="1" max="1" width="3.875" customWidth="1"/>
    <col min="2" max="2" width="5.875" style="8" customWidth="1"/>
    <col min="3" max="3" width="34.5" bestFit="1" customWidth="1"/>
    <col min="4" max="9" width="12.875" customWidth="1"/>
    <col min="11" max="11" width="3.625" customWidth="1"/>
  </cols>
  <sheetData>
    <row r="2" spans="2:14">
      <c r="B2" s="9"/>
      <c r="C2" s="1"/>
      <c r="D2" s="1"/>
      <c r="E2" s="1"/>
      <c r="F2" s="1"/>
      <c r="G2" s="1" t="s">
        <v>0</v>
      </c>
      <c r="H2" s="1" t="str">
        <f>'I Totaal'!H2</f>
        <v>Amsterdam UMC Raamovk</v>
      </c>
      <c r="I2" s="1"/>
      <c r="J2" s="2"/>
    </row>
    <row r="3" spans="2:14">
      <c r="B3" s="10"/>
      <c r="G3" t="s">
        <v>2</v>
      </c>
      <c r="H3" t="str">
        <f>'I Totaal'!H3</f>
        <v>Calculatieschema</v>
      </c>
      <c r="J3" s="3"/>
    </row>
    <row r="4" spans="2:14">
      <c r="B4" s="10"/>
      <c r="G4" s="6" t="s">
        <v>4</v>
      </c>
      <c r="H4" s="6">
        <f>'I Totaal'!H4</f>
        <v>45195</v>
      </c>
      <c r="J4" s="3"/>
    </row>
    <row r="5" spans="2:14">
      <c r="B5" s="10"/>
      <c r="G5" t="s">
        <v>5</v>
      </c>
      <c r="H5" t="str">
        <f>'I Totaal'!H5</f>
        <v>EB</v>
      </c>
      <c r="J5" s="3"/>
    </row>
    <row r="6" spans="2:14">
      <c r="B6" s="11"/>
      <c r="C6" s="4"/>
      <c r="D6" s="4"/>
      <c r="E6" s="4"/>
      <c r="F6" s="4"/>
      <c r="G6" s="4" t="s">
        <v>7</v>
      </c>
      <c r="H6" s="4" t="str">
        <f>'I Totaal'!H6</f>
        <v>20230926 eb01</v>
      </c>
      <c r="I6" s="4"/>
      <c r="J6" s="5"/>
    </row>
    <row r="10" spans="2:14">
      <c r="B10" s="24" t="s">
        <v>96</v>
      </c>
      <c r="C10" s="15"/>
      <c r="D10" s="15"/>
      <c r="E10" s="15"/>
      <c r="F10" s="15"/>
      <c r="G10" s="15"/>
      <c r="H10" s="15"/>
      <c r="I10" s="15"/>
      <c r="J10" s="16"/>
    </row>
    <row r="12" spans="2:14">
      <c r="B12" s="25"/>
      <c r="C12" s="15" t="s">
        <v>10</v>
      </c>
      <c r="D12" s="43" t="s">
        <v>11</v>
      </c>
      <c r="E12" s="43" t="s">
        <v>12</v>
      </c>
      <c r="F12" s="43" t="s">
        <v>13</v>
      </c>
      <c r="G12" s="43" t="s">
        <v>53</v>
      </c>
      <c r="H12" s="15"/>
      <c r="I12" s="44" t="s">
        <v>54</v>
      </c>
      <c r="J12" s="55" t="s">
        <v>16</v>
      </c>
    </row>
    <row r="13" spans="2:14">
      <c r="B13" s="17">
        <v>1</v>
      </c>
      <c r="C13" s="18" t="s">
        <v>55</v>
      </c>
      <c r="D13" s="18"/>
      <c r="E13" s="1"/>
      <c r="F13" s="1"/>
      <c r="G13" s="1"/>
      <c r="H13" s="1"/>
      <c r="I13" s="2"/>
      <c r="J13" s="48"/>
    </row>
    <row r="14" spans="2:14">
      <c r="B14" s="10" t="s">
        <v>18</v>
      </c>
      <c r="C14" t="s">
        <v>62</v>
      </c>
      <c r="I14" s="29">
        <v>250000</v>
      </c>
      <c r="J14" s="49"/>
      <c r="L14" s="12"/>
      <c r="M14" s="13"/>
      <c r="N14" s="14"/>
    </row>
    <row r="15" spans="2:14">
      <c r="B15" s="10" t="s">
        <v>21</v>
      </c>
      <c r="C15" t="s">
        <v>97</v>
      </c>
      <c r="D15" s="73">
        <v>0.1</v>
      </c>
      <c r="E15" s="97">
        <f>'Prijzenblad P1-Werken'!D34</f>
        <v>0</v>
      </c>
      <c r="F15" s="40" t="s">
        <v>13</v>
      </c>
      <c r="G15" s="7">
        <f>SUM($I$13:I14)</f>
        <v>250000</v>
      </c>
      <c r="I15" s="30">
        <f>E15*G15</f>
        <v>0</v>
      </c>
      <c r="J15" s="50" t="str">
        <f t="shared" ref="J15" si="0">IF(E15&gt;D15,"max "&amp;100*D15&amp;" %","")</f>
        <v/>
      </c>
      <c r="L15" s="12"/>
      <c r="M15" s="13"/>
      <c r="N15" s="14"/>
    </row>
    <row r="16" spans="2:14">
      <c r="B16" s="10" t="s">
        <v>24</v>
      </c>
      <c r="C16" t="s">
        <v>64</v>
      </c>
      <c r="D16" s="54"/>
      <c r="E16" s="54"/>
      <c r="I16" s="19">
        <f>SUBTOTAL(9,I13:I15)</f>
        <v>250000</v>
      </c>
      <c r="J16" s="49"/>
      <c r="L16" s="12"/>
      <c r="M16" s="13"/>
      <c r="N16" s="14"/>
    </row>
    <row r="17" spans="2:14">
      <c r="B17" s="10"/>
      <c r="D17" s="54"/>
      <c r="E17" s="54"/>
      <c r="I17" s="3"/>
      <c r="J17" s="49"/>
    </row>
    <row r="18" spans="2:14">
      <c r="B18" s="20">
        <v>2</v>
      </c>
      <c r="C18" s="21" t="s">
        <v>65</v>
      </c>
      <c r="D18" s="88"/>
      <c r="E18" s="54"/>
      <c r="I18" s="3"/>
      <c r="J18" s="49"/>
      <c r="L18" s="12"/>
    </row>
    <row r="19" spans="2:14">
      <c r="B19" s="10" t="s">
        <v>30</v>
      </c>
      <c r="C19" t="s">
        <v>98</v>
      </c>
      <c r="D19" s="73">
        <v>0.01</v>
      </c>
      <c r="E19" s="90">
        <v>0.01</v>
      </c>
      <c r="F19" s="40" t="s">
        <v>13</v>
      </c>
      <c r="G19" s="7">
        <f>I16</f>
        <v>250000</v>
      </c>
      <c r="H19" s="7"/>
      <c r="I19" s="19">
        <f>E19*G19</f>
        <v>2500</v>
      </c>
      <c r="J19" s="50" t="str">
        <f t="shared" ref="J19:J20" si="1">IF(E19&gt;D19,"max "&amp;100*D19&amp;" %","")</f>
        <v/>
      </c>
      <c r="L19" s="12"/>
      <c r="M19" s="13"/>
      <c r="N19" s="14"/>
    </row>
    <row r="20" spans="2:14">
      <c r="B20" s="10" t="s">
        <v>67</v>
      </c>
      <c r="C20" t="s">
        <v>70</v>
      </c>
      <c r="D20" s="73">
        <f>'E-Installaties'!D28</f>
        <v>0.06</v>
      </c>
      <c r="E20" s="97">
        <f>'Prijzenblad P1-Werken'!D49</f>
        <v>0</v>
      </c>
      <c r="F20" s="40" t="s">
        <v>13</v>
      </c>
      <c r="G20" s="7">
        <f>$I$16+SUM(I$18:I19)</f>
        <v>252500</v>
      </c>
      <c r="H20" s="7"/>
      <c r="I20" s="23">
        <f>E20*G20</f>
        <v>0</v>
      </c>
      <c r="J20" s="50" t="str">
        <f t="shared" si="1"/>
        <v/>
      </c>
    </row>
    <row r="21" spans="2:14">
      <c r="B21" s="10" t="s">
        <v>69</v>
      </c>
      <c r="C21" t="s">
        <v>71</v>
      </c>
      <c r="D21" s="37"/>
      <c r="E21" s="22">
        <f>I21/I16</f>
        <v>0.01</v>
      </c>
      <c r="F21" s="7"/>
      <c r="G21" s="7"/>
      <c r="H21" s="7"/>
      <c r="I21" s="19">
        <f>SUBTOTAL(9,I18:I20)</f>
        <v>2500</v>
      </c>
      <c r="J21" s="49"/>
    </row>
    <row r="22" spans="2:14">
      <c r="B22" s="10"/>
      <c r="I22" s="19"/>
      <c r="J22" s="49"/>
    </row>
    <row r="23" spans="2:14">
      <c r="B23" s="20">
        <v>3</v>
      </c>
      <c r="C23" s="21" t="s">
        <v>72</v>
      </c>
      <c r="D23" s="21"/>
      <c r="I23" s="3"/>
      <c r="J23" s="49"/>
    </row>
    <row r="24" spans="2:14">
      <c r="B24" s="10" t="s">
        <v>73</v>
      </c>
      <c r="C24" t="s">
        <v>55</v>
      </c>
      <c r="E24" s="22">
        <f>I24/$I$26</f>
        <v>0.99009900990099009</v>
      </c>
      <c r="I24" s="19">
        <f>SUBTOTAL(9,I13:I16)</f>
        <v>250000</v>
      </c>
      <c r="J24" s="49"/>
    </row>
    <row r="25" spans="2:14">
      <c r="B25" s="10" t="s">
        <v>74</v>
      </c>
      <c r="C25" t="s">
        <v>65</v>
      </c>
      <c r="E25" s="22">
        <f>I25/$I$26</f>
        <v>9.9009900990099011E-3</v>
      </c>
      <c r="I25" s="23">
        <f>SUBTOTAL(9,I18:I21)</f>
        <v>2500</v>
      </c>
      <c r="J25" s="49"/>
    </row>
    <row r="26" spans="2:14">
      <c r="B26" s="10" t="s">
        <v>75</v>
      </c>
      <c r="C26" t="s">
        <v>72</v>
      </c>
      <c r="I26" s="19">
        <f>SUM(I24:I25)</f>
        <v>252500</v>
      </c>
      <c r="J26" s="49"/>
    </row>
    <row r="27" spans="2:14">
      <c r="B27" s="10"/>
      <c r="I27" s="3"/>
      <c r="J27" s="49"/>
    </row>
    <row r="28" spans="2:14">
      <c r="B28" s="25"/>
      <c r="C28" s="15" t="s">
        <v>72</v>
      </c>
      <c r="D28" s="15"/>
      <c r="E28" s="15"/>
      <c r="F28" s="15"/>
      <c r="G28" s="15"/>
      <c r="H28" s="15"/>
      <c r="I28" s="28">
        <f>MAX(I13:I27)</f>
        <v>252500</v>
      </c>
      <c r="J28" s="52"/>
    </row>
    <row r="30" spans="2:14">
      <c r="B30" s="71" t="s">
        <v>42</v>
      </c>
    </row>
    <row r="32" spans="2:14">
      <c r="B32" s="76" t="s">
        <v>43</v>
      </c>
      <c r="C32" s="77" t="s">
        <v>44</v>
      </c>
      <c r="D32" s="78"/>
    </row>
    <row r="33" spans="2:4">
      <c r="B33" s="79"/>
      <c r="C33" s="66" t="s">
        <v>45</v>
      </c>
      <c r="D33" s="80"/>
    </row>
    <row r="34" spans="2:4">
      <c r="B34" s="81"/>
      <c r="C34" t="s">
        <v>46</v>
      </c>
      <c r="D34" s="80"/>
    </row>
    <row r="35" spans="2:4">
      <c r="B35" s="82"/>
      <c r="C35" s="66" t="s">
        <v>47</v>
      </c>
      <c r="D35" s="80"/>
    </row>
    <row r="36" spans="2:4">
      <c r="B36" s="83"/>
      <c r="C36" s="92" t="s">
        <v>48</v>
      </c>
      <c r="D36" s="84"/>
    </row>
  </sheetData>
  <sheetProtection selectLockedCells="1"/>
  <pageMargins left="0.7" right="0.7" top="0.75" bottom="0.75" header="0.3" footer="0.3"/>
  <pageSetup paperSize="9"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K39"/>
  <sheetViews>
    <sheetView topLeftCell="A9" zoomScale="120" zoomScaleNormal="120" workbookViewId="0">
      <selection activeCell="I26" sqref="I26"/>
    </sheetView>
  </sheetViews>
  <sheetFormatPr defaultColWidth="11" defaultRowHeight="15.75"/>
  <cols>
    <col min="1" max="1" width="3.875" customWidth="1"/>
    <col min="2" max="2" width="5.875" style="8" customWidth="1"/>
    <col min="3" max="3" width="34.5" bestFit="1" customWidth="1"/>
    <col min="4" max="8" width="12.625" customWidth="1"/>
    <col min="9" max="9" width="3.625" customWidth="1"/>
  </cols>
  <sheetData>
    <row r="2" spans="2:11">
      <c r="B2" s="9"/>
      <c r="C2" s="1"/>
      <c r="D2" s="1"/>
      <c r="E2" s="1"/>
      <c r="F2" s="1" t="s">
        <v>0</v>
      </c>
      <c r="G2" s="1" t="str">
        <f>'I Totaal'!H2</f>
        <v>Amsterdam UMC Raamovk</v>
      </c>
      <c r="H2" s="2"/>
    </row>
    <row r="3" spans="2:11">
      <c r="B3" s="10"/>
      <c r="F3" t="s">
        <v>2</v>
      </c>
      <c r="G3" t="str">
        <f>'I Totaal'!H3</f>
        <v>Calculatieschema</v>
      </c>
      <c r="H3" s="3"/>
    </row>
    <row r="4" spans="2:11">
      <c r="B4" s="10"/>
      <c r="F4" s="6" t="s">
        <v>4</v>
      </c>
      <c r="G4" s="6">
        <f>'I Totaal'!H4</f>
        <v>45195</v>
      </c>
      <c r="H4" s="3"/>
    </row>
    <row r="5" spans="2:11">
      <c r="B5" s="10"/>
      <c r="F5" t="s">
        <v>5</v>
      </c>
      <c r="G5" t="str">
        <f>'I Totaal'!H5</f>
        <v>EB</v>
      </c>
      <c r="H5" s="3"/>
    </row>
    <row r="6" spans="2:11">
      <c r="B6" s="11"/>
      <c r="C6" s="4"/>
      <c r="D6" s="4"/>
      <c r="E6" s="4"/>
      <c r="F6" s="4" t="s">
        <v>7</v>
      </c>
      <c r="G6" s="4" t="str">
        <f>'I Totaal'!H6</f>
        <v>20230926 eb01</v>
      </c>
      <c r="H6" s="5"/>
    </row>
    <row r="10" spans="2:11">
      <c r="B10" s="24" t="s">
        <v>99</v>
      </c>
      <c r="C10" s="15"/>
      <c r="D10" s="15"/>
      <c r="E10" s="15"/>
      <c r="F10" s="15"/>
      <c r="G10" s="15"/>
      <c r="H10" s="16"/>
    </row>
    <row r="12" spans="2:11">
      <c r="B12" s="25"/>
      <c r="C12" s="15" t="s">
        <v>10</v>
      </c>
      <c r="D12" s="43" t="s">
        <v>100</v>
      </c>
      <c r="E12" s="43" t="s">
        <v>101</v>
      </c>
      <c r="F12" s="43" t="s">
        <v>13</v>
      </c>
      <c r="G12" s="43" t="s">
        <v>53</v>
      </c>
      <c r="H12" s="44" t="s">
        <v>53</v>
      </c>
    </row>
    <row r="13" spans="2:11">
      <c r="B13" s="17">
        <v>1</v>
      </c>
      <c r="C13" s="18" t="s">
        <v>102</v>
      </c>
      <c r="D13" s="38"/>
      <c r="E13" s="38"/>
      <c r="F13" s="38"/>
      <c r="G13" s="1"/>
      <c r="H13" s="2"/>
    </row>
    <row r="14" spans="2:11">
      <c r="B14" s="10" t="s">
        <v>18</v>
      </c>
      <c r="C14" t="s">
        <v>89</v>
      </c>
      <c r="D14" s="31">
        <v>250</v>
      </c>
      <c r="E14" s="104" t="e">
        <f>'Prijzenblad P1-Werken'!#REF!</f>
        <v>#REF!</v>
      </c>
      <c r="H14" s="19" t="e">
        <f>D14*E14</f>
        <v>#REF!</v>
      </c>
      <c r="I14" s="12"/>
      <c r="J14" s="13"/>
      <c r="K14" s="14"/>
    </row>
    <row r="15" spans="2:11">
      <c r="B15" s="10" t="s">
        <v>21</v>
      </c>
      <c r="C15" t="s">
        <v>90</v>
      </c>
      <c r="D15" s="31">
        <v>800</v>
      </c>
      <c r="E15" s="104" t="e">
        <f>'Prijzenblad P1-Werken'!#REF!</f>
        <v>#REF!</v>
      </c>
      <c r="H15" s="19" t="e">
        <f>D15*E15</f>
        <v>#REF!</v>
      </c>
      <c r="I15" s="12"/>
      <c r="J15" s="13"/>
      <c r="K15" s="14"/>
    </row>
    <row r="16" spans="2:11">
      <c r="B16" s="10" t="s">
        <v>24</v>
      </c>
      <c r="C16" t="s">
        <v>103</v>
      </c>
      <c r="D16" s="31">
        <v>800</v>
      </c>
      <c r="E16" s="104" t="e">
        <f>Bouwkunde!G14</f>
        <v>#REF!</v>
      </c>
      <c r="H16" s="23" t="e">
        <f>D16*E16</f>
        <v>#REF!</v>
      </c>
      <c r="I16" s="12"/>
      <c r="J16" s="13"/>
      <c r="K16" s="14"/>
    </row>
    <row r="17" spans="2:11">
      <c r="B17" s="10"/>
      <c r="H17" s="19" t="e">
        <f>SUBTOTAL(9,H13:H16)</f>
        <v>#REF!</v>
      </c>
    </row>
    <row r="18" spans="2:11">
      <c r="B18" s="20">
        <v>2</v>
      </c>
      <c r="C18" s="21" t="s">
        <v>91</v>
      </c>
      <c r="H18" s="3"/>
      <c r="I18" s="12"/>
    </row>
    <row r="19" spans="2:11">
      <c r="B19" s="10" t="s">
        <v>30</v>
      </c>
      <c r="C19" t="s">
        <v>104</v>
      </c>
      <c r="D19" s="31">
        <v>50</v>
      </c>
      <c r="E19" s="89">
        <v>1500</v>
      </c>
      <c r="H19" s="19">
        <f>D19*E19</f>
        <v>75000</v>
      </c>
      <c r="I19" s="12"/>
    </row>
    <row r="20" spans="2:11">
      <c r="B20" s="10" t="s">
        <v>67</v>
      </c>
      <c r="C20" t="s">
        <v>105</v>
      </c>
      <c r="D20" s="31">
        <v>30</v>
      </c>
      <c r="E20" s="89">
        <v>1000</v>
      </c>
      <c r="H20" s="23">
        <f>D20*E20</f>
        <v>30000</v>
      </c>
      <c r="I20" s="12"/>
      <c r="J20" s="13"/>
      <c r="K20" s="14"/>
    </row>
    <row r="21" spans="2:11">
      <c r="B21" s="10"/>
      <c r="D21" s="7"/>
      <c r="E21" s="7"/>
      <c r="H21" s="19">
        <f>SUBTOTAL(9,H18:H20)</f>
        <v>105000</v>
      </c>
      <c r="I21" s="12"/>
      <c r="J21" s="13"/>
      <c r="K21" s="14"/>
    </row>
    <row r="22" spans="2:11">
      <c r="B22" s="10" t="s">
        <v>69</v>
      </c>
      <c r="C22" t="s">
        <v>106</v>
      </c>
      <c r="D22" s="37"/>
      <c r="E22" s="7"/>
      <c r="F22" s="7"/>
      <c r="G22" s="7"/>
      <c r="H22" s="19"/>
    </row>
    <row r="23" spans="2:11">
      <c r="B23" s="10" t="s">
        <v>32</v>
      </c>
      <c r="C23" t="s">
        <v>107</v>
      </c>
      <c r="D23" s="22"/>
      <c r="E23" s="7"/>
      <c r="F23" s="7"/>
      <c r="G23" s="7"/>
      <c r="H23" s="19"/>
    </row>
    <row r="24" spans="2:11">
      <c r="B24" s="10" t="s">
        <v>34</v>
      </c>
      <c r="C24" t="s">
        <v>108</v>
      </c>
      <c r="H24" s="19"/>
    </row>
    <row r="25" spans="2:11">
      <c r="B25" s="10" t="s">
        <v>36</v>
      </c>
      <c r="C25" t="s">
        <v>109</v>
      </c>
      <c r="H25" s="19"/>
    </row>
    <row r="26" spans="2:11">
      <c r="B26" s="10" t="s">
        <v>38</v>
      </c>
      <c r="C26" t="s">
        <v>110</v>
      </c>
      <c r="H26" s="19"/>
    </row>
    <row r="27" spans="2:11">
      <c r="B27" s="10" t="s">
        <v>111</v>
      </c>
      <c r="C27" t="s">
        <v>112</v>
      </c>
      <c r="H27" s="19"/>
    </row>
    <row r="28" spans="2:11">
      <c r="B28" s="10" t="s">
        <v>113</v>
      </c>
      <c r="C28" t="s">
        <v>114</v>
      </c>
      <c r="H28" s="23"/>
    </row>
    <row r="29" spans="2:11">
      <c r="B29" s="10"/>
      <c r="D29" s="97" t="e">
        <f>'Prijzenblad P1-Werken'!#REF!</f>
        <v>#REF!</v>
      </c>
      <c r="F29" s="46" t="e">
        <f>Bouwkunde!I19</f>
        <v>#REF!</v>
      </c>
      <c r="H29" s="19" t="e">
        <f>D29*F29</f>
        <v>#REF!</v>
      </c>
    </row>
    <row r="30" spans="2:11">
      <c r="B30" s="10"/>
      <c r="H30" s="19"/>
    </row>
    <row r="31" spans="2:11">
      <c r="B31" s="10"/>
      <c r="H31" s="3"/>
    </row>
    <row r="32" spans="2:11">
      <c r="B32" s="25"/>
      <c r="C32" s="15" t="s">
        <v>72</v>
      </c>
      <c r="D32" s="15"/>
      <c r="E32" s="15"/>
      <c r="F32" s="15"/>
      <c r="G32" s="15"/>
      <c r="H32" s="28" t="e">
        <f>SUBTOTAL(9,H13:H31)</f>
        <v>#REF!</v>
      </c>
    </row>
    <row r="35" spans="2:4">
      <c r="B35" s="76" t="s">
        <v>43</v>
      </c>
      <c r="C35" s="77" t="s">
        <v>44</v>
      </c>
      <c r="D35" s="78"/>
    </row>
    <row r="36" spans="2:4">
      <c r="B36" s="79"/>
      <c r="C36" s="66" t="s">
        <v>45</v>
      </c>
      <c r="D36" s="80"/>
    </row>
    <row r="37" spans="2:4">
      <c r="B37" s="81"/>
      <c r="C37" t="s">
        <v>46</v>
      </c>
      <c r="D37" s="80"/>
    </row>
    <row r="38" spans="2:4">
      <c r="B38" s="82"/>
      <c r="C38" s="66" t="s">
        <v>47</v>
      </c>
      <c r="D38" s="80"/>
    </row>
    <row r="39" spans="2:4">
      <c r="B39" s="83"/>
      <c r="C39" s="92" t="s">
        <v>48</v>
      </c>
      <c r="D39" s="84"/>
    </row>
  </sheetData>
  <sheetProtection selectLockedCell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5"/>
  <sheetViews>
    <sheetView tabSelected="1" view="pageBreakPreview" topLeftCell="A4" zoomScale="90" zoomScaleNormal="100" zoomScaleSheetLayoutView="90" workbookViewId="0">
      <selection activeCell="D12" sqref="D12"/>
    </sheetView>
  </sheetViews>
  <sheetFormatPr defaultColWidth="9" defaultRowHeight="16.5"/>
  <cols>
    <col min="1" max="1" width="1.625" style="94" bestFit="1" customWidth="1"/>
    <col min="2" max="2" width="8" style="94" customWidth="1"/>
    <col min="3" max="3" width="17.5" style="94" customWidth="1"/>
    <col min="4" max="4" width="13.125" style="94" bestFit="1" customWidth="1"/>
    <col min="5" max="5" width="9.5" style="94" customWidth="1"/>
    <col min="6" max="6" width="12.375" style="94" customWidth="1"/>
    <col min="7" max="7" width="1.5" style="94" customWidth="1"/>
    <col min="8" max="8" width="10.5" style="94" bestFit="1" customWidth="1"/>
    <col min="9" max="9" width="17.375" style="94" customWidth="1"/>
    <col min="10" max="10" width="17.375" style="94" bestFit="1" customWidth="1"/>
    <col min="11" max="11" width="15.125" style="94" bestFit="1" customWidth="1"/>
    <col min="12" max="13" width="12.25" style="94" bestFit="1" customWidth="1"/>
    <col min="14" max="14" width="9" style="94"/>
    <col min="15" max="15" width="13.875" style="94" bestFit="1" customWidth="1"/>
    <col min="16" max="16" width="15.375" style="94" bestFit="1" customWidth="1"/>
    <col min="17" max="16384" width="9" style="94"/>
  </cols>
  <sheetData>
    <row r="1" spans="1:16">
      <c r="K1"/>
      <c r="L1"/>
      <c r="M1"/>
      <c r="N1"/>
      <c r="O1"/>
      <c r="P1"/>
    </row>
    <row r="2" spans="1:16">
      <c r="K2"/>
      <c r="L2"/>
      <c r="M2"/>
      <c r="N2"/>
      <c r="O2"/>
      <c r="P2"/>
    </row>
    <row r="3" spans="1:16">
      <c r="K3"/>
      <c r="L3"/>
      <c r="M3"/>
      <c r="N3"/>
      <c r="O3"/>
      <c r="P3"/>
    </row>
    <row r="4" spans="1:16">
      <c r="K4"/>
      <c r="L4"/>
      <c r="M4"/>
      <c r="N4"/>
      <c r="O4"/>
      <c r="P4"/>
    </row>
    <row r="5" spans="1:16">
      <c r="B5" s="94" t="s">
        <v>115</v>
      </c>
      <c r="K5"/>
      <c r="L5"/>
      <c r="M5"/>
      <c r="N5"/>
      <c r="O5"/>
      <c r="P5"/>
    </row>
    <row r="6" spans="1:16" ht="8.25" customHeight="1">
      <c r="K6"/>
      <c r="L6"/>
      <c r="M6"/>
      <c r="N6"/>
      <c r="O6"/>
      <c r="P6"/>
    </row>
    <row r="7" spans="1:16">
      <c r="A7" s="122"/>
      <c r="B7" s="120"/>
      <c r="C7" s="120"/>
      <c r="D7" s="121"/>
      <c r="E7" s="120" t="s">
        <v>116</v>
      </c>
      <c r="F7" s="120" t="s">
        <v>117</v>
      </c>
      <c r="G7" s="122"/>
      <c r="H7" s="123" t="s">
        <v>118</v>
      </c>
      <c r="I7" s="122"/>
      <c r="J7" s="122"/>
      <c r="K7"/>
      <c r="L7"/>
      <c r="M7"/>
      <c r="N7"/>
      <c r="O7"/>
      <c r="P7"/>
    </row>
    <row r="8" spans="1:16" ht="9" customHeight="1">
      <c r="D8" s="95"/>
      <c r="E8" s="95"/>
      <c r="K8"/>
      <c r="L8"/>
      <c r="M8"/>
      <c r="N8"/>
      <c r="O8"/>
      <c r="P8"/>
    </row>
    <row r="9" spans="1:16">
      <c r="A9" s="122"/>
      <c r="B9" s="122" t="s">
        <v>119</v>
      </c>
      <c r="C9" s="122"/>
      <c r="D9" s="124"/>
      <c r="E9" s="124"/>
      <c r="F9" s="122"/>
      <c r="G9" s="122"/>
      <c r="H9" s="122"/>
      <c r="I9" s="122" t="s">
        <v>120</v>
      </c>
      <c r="J9" s="122" t="s">
        <v>121</v>
      </c>
      <c r="K9"/>
      <c r="L9"/>
      <c r="M9"/>
      <c r="N9"/>
      <c r="O9"/>
      <c r="P9"/>
    </row>
    <row r="10" spans="1:16" ht="15.95" customHeight="1">
      <c r="B10" s="94" t="s">
        <v>122</v>
      </c>
      <c r="D10" s="145">
        <v>0</v>
      </c>
      <c r="E10" s="138">
        <v>65</v>
      </c>
      <c r="F10" s="116">
        <v>90</v>
      </c>
      <c r="H10" s="126" t="str">
        <f t="shared" ref="H10:H29" si="0">IF(D10&gt;F10,"max "&amp;1*F10&amp;" Eur",IF(D10&lt;E10,"min "&amp;1*E10&amp;" Eur",""))</f>
        <v>min 65 Eur</v>
      </c>
      <c r="I10" s="119">
        <v>5000</v>
      </c>
      <c r="J10" s="109">
        <f t="shared" ref="J10:J28" si="1">I10*D10</f>
        <v>0</v>
      </c>
      <c r="K10"/>
      <c r="L10"/>
      <c r="M10"/>
      <c r="N10"/>
      <c r="O10"/>
      <c r="P10"/>
    </row>
    <row r="11" spans="1:16" ht="17.100000000000001" customHeight="1">
      <c r="B11" s="94" t="s">
        <v>123</v>
      </c>
      <c r="D11" s="145">
        <v>0</v>
      </c>
      <c r="E11" s="138">
        <v>80</v>
      </c>
      <c r="F11" s="116">
        <v>100</v>
      </c>
      <c r="H11" s="126" t="str">
        <f t="shared" si="0"/>
        <v>min 80 Eur</v>
      </c>
      <c r="I11" s="119">
        <v>1000</v>
      </c>
      <c r="J11" s="109">
        <f t="shared" si="1"/>
        <v>0</v>
      </c>
      <c r="K11"/>
      <c r="L11"/>
      <c r="M11"/>
      <c r="N11"/>
      <c r="O11"/>
      <c r="P11"/>
    </row>
    <row r="12" spans="1:16" ht="17.100000000000001" customHeight="1">
      <c r="B12" s="94" t="s">
        <v>124</v>
      </c>
      <c r="D12" s="145">
        <v>0</v>
      </c>
      <c r="E12" s="138">
        <v>70</v>
      </c>
      <c r="F12" s="116">
        <v>100</v>
      </c>
      <c r="H12" s="126" t="str">
        <f t="shared" ref="H12:H13" si="2">IF(D12&gt;F12,"max "&amp;1*F12&amp;" Eur",IF(D12&lt;E12,"min "&amp;1*E12&amp;" Eur",""))</f>
        <v>min 70 Eur</v>
      </c>
      <c r="I12" s="119">
        <v>1000</v>
      </c>
      <c r="J12" s="109">
        <f t="shared" ref="J12:J13" si="3">I12*D12</f>
        <v>0</v>
      </c>
      <c r="K12"/>
      <c r="L12"/>
      <c r="M12"/>
      <c r="N12"/>
      <c r="O12"/>
      <c r="P12"/>
    </row>
    <row r="13" spans="1:16" ht="17.100000000000001" customHeight="1">
      <c r="B13" s="94" t="s">
        <v>125</v>
      </c>
      <c r="D13" s="146">
        <v>0</v>
      </c>
      <c r="E13" s="116">
        <v>70</v>
      </c>
      <c r="F13" s="116">
        <v>100</v>
      </c>
      <c r="H13" s="126" t="str">
        <f t="shared" si="2"/>
        <v>min 70 Eur</v>
      </c>
      <c r="I13" s="119">
        <v>100</v>
      </c>
      <c r="J13" s="109">
        <f t="shared" si="3"/>
        <v>0</v>
      </c>
      <c r="K13"/>
      <c r="L13"/>
      <c r="M13"/>
      <c r="N13"/>
      <c r="O13"/>
      <c r="P13"/>
    </row>
    <row r="14" spans="1:16" ht="15.95" customHeight="1">
      <c r="B14" s="94" t="s">
        <v>126</v>
      </c>
      <c r="D14" s="145">
        <v>0</v>
      </c>
      <c r="E14" s="138">
        <v>65</v>
      </c>
      <c r="F14" s="116">
        <v>90</v>
      </c>
      <c r="H14" s="126" t="str">
        <f t="shared" si="0"/>
        <v>min 65 Eur</v>
      </c>
      <c r="I14" s="119">
        <v>5000</v>
      </c>
      <c r="J14" s="109">
        <f t="shared" si="1"/>
        <v>0</v>
      </c>
      <c r="K14"/>
      <c r="L14"/>
      <c r="M14"/>
      <c r="N14"/>
      <c r="O14"/>
      <c r="P14"/>
    </row>
    <row r="15" spans="1:16">
      <c r="B15" s="94" t="s">
        <v>127</v>
      </c>
      <c r="D15" s="145">
        <v>0</v>
      </c>
      <c r="E15" s="138">
        <v>80</v>
      </c>
      <c r="F15" s="116">
        <v>100</v>
      </c>
      <c r="H15" s="126" t="str">
        <f t="shared" si="0"/>
        <v>min 80 Eur</v>
      </c>
      <c r="I15" s="119">
        <v>1000</v>
      </c>
      <c r="J15" s="109">
        <f t="shared" si="1"/>
        <v>0</v>
      </c>
      <c r="K15"/>
      <c r="L15"/>
      <c r="M15"/>
      <c r="N15"/>
      <c r="O15"/>
      <c r="P15"/>
    </row>
    <row r="16" spans="1:16">
      <c r="B16" s="94" t="s">
        <v>128</v>
      </c>
      <c r="D16" s="145">
        <v>0</v>
      </c>
      <c r="E16" s="116">
        <v>90</v>
      </c>
      <c r="F16" s="116">
        <v>125</v>
      </c>
      <c r="H16" s="126" t="str">
        <f t="shared" si="0"/>
        <v>min 90 Eur</v>
      </c>
      <c r="I16" s="119">
        <v>10000</v>
      </c>
      <c r="J16" s="109">
        <f t="shared" ref="J16" si="4">I16*D16</f>
        <v>0</v>
      </c>
      <c r="K16"/>
      <c r="L16"/>
      <c r="M16"/>
      <c r="N16"/>
      <c r="O16"/>
      <c r="P16"/>
    </row>
    <row r="17" spans="1:16">
      <c r="B17" s="94" t="s">
        <v>129</v>
      </c>
      <c r="D17" s="145">
        <v>0</v>
      </c>
      <c r="E17" s="116">
        <v>90</v>
      </c>
      <c r="F17" s="116">
        <v>150</v>
      </c>
      <c r="H17" s="126" t="str">
        <f>IF(D17&gt;F17,"max "&amp;1*F17&amp;" Eur",IF(D17&lt;E17,"min "&amp;1*E17&amp;" Eur",""))</f>
        <v>min 90 Eur</v>
      </c>
      <c r="I17" s="119">
        <v>250</v>
      </c>
      <c r="J17" s="109">
        <f t="shared" si="1"/>
        <v>0</v>
      </c>
      <c r="K17"/>
      <c r="L17"/>
      <c r="M17"/>
      <c r="N17"/>
      <c r="O17"/>
      <c r="P17"/>
    </row>
    <row r="18" spans="1:16">
      <c r="B18" s="94" t="s">
        <v>130</v>
      </c>
      <c r="D18" s="145">
        <v>0</v>
      </c>
      <c r="E18" s="116">
        <v>90</v>
      </c>
      <c r="F18" s="116">
        <v>150</v>
      </c>
      <c r="H18" s="126" t="str">
        <f t="shared" si="0"/>
        <v>min 90 Eur</v>
      </c>
      <c r="I18" s="119">
        <v>250</v>
      </c>
      <c r="J18" s="109">
        <f t="shared" si="1"/>
        <v>0</v>
      </c>
      <c r="K18"/>
      <c r="L18"/>
      <c r="M18"/>
      <c r="N18"/>
      <c r="O18"/>
      <c r="P18"/>
    </row>
    <row r="19" spans="1:16">
      <c r="B19" s="94" t="s">
        <v>131</v>
      </c>
      <c r="D19" s="145">
        <v>0</v>
      </c>
      <c r="E19" s="116">
        <v>90</v>
      </c>
      <c r="F19" s="116">
        <v>180</v>
      </c>
      <c r="H19" s="126" t="str">
        <f t="shared" ref="H19" si="5">IF(D19&gt;F19,"max "&amp;1*F19&amp;" Eur",IF(D19&lt;E19,"min "&amp;1*E19&amp;" Eur",""))</f>
        <v>min 90 Eur</v>
      </c>
      <c r="I19" s="119">
        <v>250</v>
      </c>
      <c r="J19" s="109">
        <f t="shared" si="1"/>
        <v>0</v>
      </c>
      <c r="K19"/>
      <c r="L19"/>
      <c r="M19"/>
      <c r="N19"/>
      <c r="O19"/>
      <c r="P19"/>
    </row>
    <row r="20" spans="1:16">
      <c r="B20" s="94" t="s">
        <v>132</v>
      </c>
      <c r="D20" s="145">
        <v>0</v>
      </c>
      <c r="E20" s="116">
        <v>70</v>
      </c>
      <c r="F20" s="116">
        <v>100</v>
      </c>
      <c r="H20" s="126" t="str">
        <f>IF(D20&gt;F20,"max "&amp;1*F20&amp;" Eur",IF(D20&lt;E20,"min "&amp;1*E20&amp;" Eur",""))</f>
        <v>min 70 Eur</v>
      </c>
      <c r="I20" s="119">
        <v>100</v>
      </c>
      <c r="J20" s="109">
        <f t="shared" ref="J20" si="6">I20*D20</f>
        <v>0</v>
      </c>
      <c r="K20"/>
      <c r="L20"/>
      <c r="M20"/>
      <c r="N20"/>
      <c r="O20"/>
      <c r="P20"/>
    </row>
    <row r="21" spans="1:16">
      <c r="B21" s="94" t="s">
        <v>133</v>
      </c>
      <c r="D21" s="145">
        <v>0</v>
      </c>
      <c r="E21" s="116">
        <v>70</v>
      </c>
      <c r="F21" s="116">
        <v>100</v>
      </c>
      <c r="H21" s="126" t="str">
        <f>IF(D21&gt;F21,"max "&amp;1*F21&amp;" Eur",IF(D21&lt;E21,"min "&amp;1*E21&amp;" Eur",""))</f>
        <v>min 70 Eur</v>
      </c>
      <c r="I21" s="119">
        <v>50</v>
      </c>
      <c r="J21" s="109">
        <f t="shared" ref="J21" si="7">I21*D21</f>
        <v>0</v>
      </c>
      <c r="K21"/>
      <c r="L21"/>
      <c r="M21"/>
      <c r="N21"/>
      <c r="O21"/>
      <c r="P21"/>
    </row>
    <row r="22" spans="1:16">
      <c r="B22" s="94" t="s">
        <v>134</v>
      </c>
      <c r="D22" s="146">
        <v>0</v>
      </c>
      <c r="E22" s="116">
        <v>70</v>
      </c>
      <c r="F22" s="116">
        <v>100</v>
      </c>
      <c r="H22" s="126" t="str">
        <f t="shared" si="0"/>
        <v>min 70 Eur</v>
      </c>
      <c r="I22" s="119">
        <v>800</v>
      </c>
      <c r="J22" s="109">
        <f t="shared" si="1"/>
        <v>0</v>
      </c>
      <c r="K22"/>
      <c r="L22"/>
      <c r="M22"/>
      <c r="N22"/>
      <c r="O22"/>
      <c r="P22"/>
    </row>
    <row r="23" spans="1:16">
      <c r="B23" s="94" t="s">
        <v>135</v>
      </c>
      <c r="D23" s="146">
        <v>0</v>
      </c>
      <c r="E23" s="116">
        <v>70</v>
      </c>
      <c r="F23" s="116">
        <v>100</v>
      </c>
      <c r="H23" s="126" t="str">
        <f t="shared" si="0"/>
        <v>min 70 Eur</v>
      </c>
      <c r="I23" s="119">
        <v>800</v>
      </c>
      <c r="J23" s="109">
        <f t="shared" si="1"/>
        <v>0</v>
      </c>
      <c r="K23"/>
      <c r="L23"/>
      <c r="M23"/>
      <c r="N23"/>
      <c r="O23"/>
      <c r="P23"/>
    </row>
    <row r="24" spans="1:16">
      <c r="B24" s="94" t="s">
        <v>136</v>
      </c>
      <c r="D24" s="146">
        <v>0</v>
      </c>
      <c r="E24" s="116">
        <v>70</v>
      </c>
      <c r="F24" s="116">
        <v>140</v>
      </c>
      <c r="H24" s="126" t="str">
        <f t="shared" si="0"/>
        <v>min 70 Eur</v>
      </c>
      <c r="I24" s="119">
        <v>200</v>
      </c>
      <c r="J24" s="109">
        <f t="shared" si="1"/>
        <v>0</v>
      </c>
      <c r="K24"/>
      <c r="L24"/>
      <c r="M24"/>
      <c r="N24"/>
      <c r="O24"/>
      <c r="P24"/>
    </row>
    <row r="25" spans="1:16">
      <c r="B25" s="94" t="s">
        <v>137</v>
      </c>
      <c r="D25" s="146">
        <v>0</v>
      </c>
      <c r="E25" s="116">
        <v>70</v>
      </c>
      <c r="F25" s="116">
        <v>140</v>
      </c>
      <c r="H25" s="126" t="str">
        <f t="shared" ref="H25" si="8">IF(D25&gt;F25,"max "&amp;1*F25&amp;" Eur",IF(D25&lt;E25,"min "&amp;1*E25&amp;" Eur",""))</f>
        <v>min 70 Eur</v>
      </c>
      <c r="I25" s="119">
        <v>200</v>
      </c>
      <c r="J25" s="109">
        <f t="shared" si="1"/>
        <v>0</v>
      </c>
      <c r="K25"/>
      <c r="L25"/>
      <c r="M25"/>
      <c r="N25"/>
      <c r="O25"/>
      <c r="P25"/>
    </row>
    <row r="26" spans="1:16">
      <c r="B26" s="94" t="s">
        <v>138</v>
      </c>
      <c r="D26" s="146">
        <v>0</v>
      </c>
      <c r="E26" s="116">
        <v>75</v>
      </c>
      <c r="F26" s="116">
        <v>125</v>
      </c>
      <c r="H26" s="126" t="str">
        <f t="shared" si="0"/>
        <v>min 75 Eur</v>
      </c>
      <c r="I26" s="119">
        <v>200</v>
      </c>
      <c r="J26" s="109">
        <f t="shared" si="1"/>
        <v>0</v>
      </c>
      <c r="K26"/>
      <c r="L26"/>
      <c r="M26"/>
      <c r="N26"/>
      <c r="O26"/>
      <c r="P26"/>
    </row>
    <row r="27" spans="1:16">
      <c r="B27" s="94" t="s">
        <v>139</v>
      </c>
      <c r="D27" s="146">
        <v>0</v>
      </c>
      <c r="E27" s="116">
        <v>100</v>
      </c>
      <c r="F27" s="116">
        <v>160</v>
      </c>
      <c r="H27" s="126" t="str">
        <f t="shared" si="0"/>
        <v>min 100 Eur</v>
      </c>
      <c r="I27" s="119">
        <v>5000</v>
      </c>
      <c r="J27" s="109">
        <f t="shared" si="1"/>
        <v>0</v>
      </c>
      <c r="K27"/>
      <c r="L27"/>
      <c r="M27"/>
      <c r="N27"/>
      <c r="O27"/>
      <c r="P27"/>
    </row>
    <row r="28" spans="1:16">
      <c r="B28" s="94" t="s">
        <v>140</v>
      </c>
      <c r="D28" s="146">
        <v>0</v>
      </c>
      <c r="E28" s="116">
        <v>90</v>
      </c>
      <c r="F28" s="116">
        <v>140</v>
      </c>
      <c r="H28" s="126" t="str">
        <f t="shared" si="0"/>
        <v>min 90 Eur</v>
      </c>
      <c r="I28" s="119">
        <v>1000</v>
      </c>
      <c r="J28" s="109">
        <f t="shared" si="1"/>
        <v>0</v>
      </c>
      <c r="K28"/>
      <c r="L28"/>
      <c r="M28"/>
      <c r="N28"/>
      <c r="O28"/>
      <c r="P28"/>
    </row>
    <row r="29" spans="1:16">
      <c r="B29" s="94" t="s">
        <v>141</v>
      </c>
      <c r="D29" s="146">
        <v>0</v>
      </c>
      <c r="E29" s="116">
        <v>90</v>
      </c>
      <c r="F29" s="116">
        <v>125</v>
      </c>
      <c r="H29" s="126" t="str">
        <f t="shared" si="0"/>
        <v>min 90 Eur</v>
      </c>
      <c r="I29" s="119">
        <v>100</v>
      </c>
      <c r="J29" s="109">
        <f t="shared" ref="J29" si="9">I29*D29</f>
        <v>0</v>
      </c>
      <c r="K29"/>
      <c r="L29"/>
      <c r="M29"/>
      <c r="N29"/>
      <c r="O29"/>
      <c r="P29"/>
    </row>
    <row r="30" spans="1:16">
      <c r="B30" s="94" t="s">
        <v>142</v>
      </c>
      <c r="D30" s="106"/>
      <c r="E30" s="106" t="s">
        <v>143</v>
      </c>
      <c r="J30" s="109"/>
      <c r="K30"/>
      <c r="L30"/>
      <c r="M30"/>
      <c r="N30"/>
      <c r="O30"/>
      <c r="P30"/>
    </row>
    <row r="31" spans="1:16">
      <c r="D31" s="106"/>
      <c r="E31" s="106"/>
      <c r="J31" s="109"/>
      <c r="K31"/>
      <c r="L31"/>
      <c r="M31"/>
      <c r="N31"/>
      <c r="O31"/>
      <c r="P31"/>
    </row>
    <row r="32" spans="1:16">
      <c r="A32" s="122"/>
      <c r="B32" s="122" t="s">
        <v>144</v>
      </c>
      <c r="C32" s="122"/>
      <c r="D32" s="142"/>
      <c r="E32" s="142"/>
      <c r="F32" s="122"/>
      <c r="G32" s="122"/>
      <c r="H32" s="122"/>
      <c r="I32" s="122"/>
      <c r="J32" s="143"/>
      <c r="K32"/>
      <c r="L32"/>
      <c r="M32"/>
      <c r="N32"/>
      <c r="O32"/>
      <c r="P32"/>
    </row>
    <row r="33" spans="1:16">
      <c r="B33" s="94" t="s">
        <v>145</v>
      </c>
      <c r="D33" s="147">
        <v>0</v>
      </c>
      <c r="E33" s="128">
        <v>0.05</v>
      </c>
      <c r="F33" s="129">
        <v>0.1</v>
      </c>
      <c r="H33" s="130" t="str">
        <f>IF(D33&gt;F33,"max "&amp;100*F33&amp;" %",IF(D33&lt;E33,"min "&amp;100*E33&amp;" %",""))</f>
        <v>min 5 %</v>
      </c>
      <c r="I33" s="119">
        <v>600000</v>
      </c>
      <c r="J33" s="110">
        <f>I33*D33</f>
        <v>0</v>
      </c>
      <c r="K33"/>
      <c r="L33"/>
      <c r="M33"/>
      <c r="N33"/>
      <c r="O33"/>
      <c r="P33"/>
    </row>
    <row r="34" spans="1:16" ht="17.25" thickBot="1">
      <c r="B34" s="94" t="s">
        <v>78</v>
      </c>
      <c r="D34" s="147">
        <v>0</v>
      </c>
      <c r="E34" s="128">
        <v>0.05</v>
      </c>
      <c r="F34" s="129">
        <v>0.1</v>
      </c>
      <c r="H34" s="130" t="str">
        <f>IF(D34&gt;F34,"max "&amp;100*F34&amp;" %",IF(D34&lt;E34,"min "&amp;100*E34&amp;" %",""))</f>
        <v>min 5 %</v>
      </c>
      <c r="I34" s="119">
        <v>200000</v>
      </c>
      <c r="J34" s="110">
        <f>I34*D34</f>
        <v>0</v>
      </c>
      <c r="K34"/>
      <c r="L34"/>
      <c r="M34"/>
      <c r="N34"/>
      <c r="O34"/>
      <c r="P34"/>
    </row>
    <row r="35" spans="1:16" ht="17.25" thickBot="1">
      <c r="H35" s="113"/>
      <c r="I35" s="114" t="s">
        <v>146</v>
      </c>
      <c r="J35" s="115">
        <f>SUM(J10:J34)</f>
        <v>0</v>
      </c>
      <c r="K35"/>
      <c r="L35"/>
      <c r="M35"/>
      <c r="N35"/>
      <c r="O35"/>
      <c r="P35"/>
    </row>
    <row r="36" spans="1:16">
      <c r="A36" s="122"/>
      <c r="B36" s="122" t="s">
        <v>147</v>
      </c>
      <c r="C36" s="122"/>
      <c r="D36" s="124"/>
      <c r="E36" s="124"/>
      <c r="F36" s="122"/>
      <c r="G36" s="122"/>
      <c r="H36" s="122"/>
      <c r="I36" s="122"/>
      <c r="J36" s="122"/>
      <c r="K36"/>
      <c r="L36"/>
      <c r="M36"/>
      <c r="N36"/>
      <c r="O36"/>
      <c r="P36"/>
    </row>
    <row r="37" spans="1:16">
      <c r="B37" s="94" t="s">
        <v>148</v>
      </c>
      <c r="D37" s="148">
        <v>0</v>
      </c>
      <c r="E37" s="107"/>
      <c r="K37"/>
      <c r="L37"/>
      <c r="M37"/>
      <c r="N37"/>
      <c r="O37"/>
      <c r="P37"/>
    </row>
    <row r="38" spans="1:16">
      <c r="K38"/>
      <c r="L38"/>
      <c r="M38"/>
      <c r="N38"/>
      <c r="O38"/>
      <c r="P38"/>
    </row>
    <row r="39" spans="1:16">
      <c r="A39" s="122"/>
      <c r="B39" s="122" t="s">
        <v>149</v>
      </c>
      <c r="C39" s="122"/>
      <c r="D39" s="122"/>
      <c r="E39" s="122"/>
      <c r="F39" s="122"/>
      <c r="G39" s="122"/>
      <c r="H39" s="122"/>
      <c r="I39" s="122"/>
      <c r="J39" s="122"/>
      <c r="K39"/>
      <c r="L39"/>
      <c r="M39"/>
      <c r="N39"/>
      <c r="O39"/>
      <c r="P39"/>
    </row>
    <row r="40" spans="1:16">
      <c r="B40" s="94" t="s">
        <v>150</v>
      </c>
      <c r="D40" s="147">
        <v>0</v>
      </c>
      <c r="E40" s="108"/>
      <c r="K40"/>
      <c r="L40"/>
      <c r="M40"/>
      <c r="N40"/>
      <c r="O40"/>
      <c r="P40"/>
    </row>
    <row r="41" spans="1:16">
      <c r="B41" s="94" t="s">
        <v>151</v>
      </c>
      <c r="D41" s="147">
        <v>0</v>
      </c>
      <c r="E41" s="108"/>
      <c r="K41"/>
      <c r="L41"/>
      <c r="M41"/>
      <c r="N41"/>
      <c r="O41"/>
      <c r="P41"/>
    </row>
    <row r="42" spans="1:16">
      <c r="B42" s="94" t="s">
        <v>152</v>
      </c>
      <c r="D42" s="147">
        <v>0</v>
      </c>
      <c r="E42" s="108"/>
      <c r="K42"/>
      <c r="L42"/>
      <c r="M42"/>
      <c r="N42"/>
      <c r="O42"/>
      <c r="P42"/>
    </row>
    <row r="43" spans="1:16">
      <c r="B43" s="94" t="s">
        <v>153</v>
      </c>
      <c r="D43" s="147">
        <v>0</v>
      </c>
      <c r="E43" s="108"/>
      <c r="K43"/>
      <c r="L43"/>
      <c r="M43"/>
      <c r="N43"/>
      <c r="O43"/>
      <c r="P43"/>
    </row>
    <row r="44" spans="1:16">
      <c r="D44" s="95"/>
      <c r="E44" s="95"/>
      <c r="K44"/>
      <c r="L44"/>
      <c r="M44"/>
      <c r="N44"/>
      <c r="O44"/>
      <c r="P44"/>
    </row>
    <row r="45" spans="1:16">
      <c r="A45" s="122"/>
      <c r="B45" s="122" t="s">
        <v>154</v>
      </c>
      <c r="C45" s="122"/>
      <c r="D45" s="124"/>
      <c r="E45" s="124"/>
      <c r="F45" s="122"/>
      <c r="G45" s="122"/>
      <c r="H45" s="122"/>
      <c r="I45" s="122"/>
      <c r="J45" s="122"/>
      <c r="K45"/>
      <c r="L45"/>
      <c r="M45"/>
      <c r="N45"/>
      <c r="O45"/>
      <c r="P45"/>
    </row>
    <row r="46" spans="1:16">
      <c r="A46" s="122" t="s">
        <v>57</v>
      </c>
      <c r="B46" s="94" t="s">
        <v>99</v>
      </c>
      <c r="C46" s="139"/>
      <c r="D46" s="147">
        <v>0</v>
      </c>
      <c r="E46" s="129">
        <v>0.08</v>
      </c>
      <c r="F46" s="129">
        <v>0.18</v>
      </c>
      <c r="H46" s="130" t="str">
        <f t="shared" ref="H46:H49" si="10">IF(D46&gt;F46,"max "&amp;100*F46&amp;" %",IF(D46&lt;E46,"min "&amp;100*E46&amp;" %",""))</f>
        <v>min 8 %</v>
      </c>
      <c r="I46" s="94" t="s">
        <v>155</v>
      </c>
      <c r="J46" s="110">
        <f>D46*J$35</f>
        <v>0</v>
      </c>
      <c r="K46"/>
      <c r="L46"/>
      <c r="M46"/>
      <c r="N46"/>
      <c r="O46"/>
      <c r="P46"/>
    </row>
    <row r="47" spans="1:16">
      <c r="A47" s="122" t="s">
        <v>57</v>
      </c>
      <c r="B47" s="94" t="s">
        <v>156</v>
      </c>
      <c r="D47" s="149">
        <v>0</v>
      </c>
      <c r="E47" s="128">
        <v>0.02</v>
      </c>
      <c r="F47" s="128">
        <v>0.05</v>
      </c>
      <c r="H47" s="130" t="str">
        <f>IF(D47&gt;F47,"max "&amp;100*F47&amp;" %",IF(D47&lt;E47,"min "&amp;100*E47&amp;" %",""))</f>
        <v>min 2 %</v>
      </c>
      <c r="I47" s="119">
        <v>50000</v>
      </c>
      <c r="J47" s="110">
        <f>I47*D47</f>
        <v>0</v>
      </c>
      <c r="K47"/>
      <c r="L47"/>
      <c r="M47"/>
      <c r="N47"/>
      <c r="O47"/>
      <c r="P47"/>
    </row>
    <row r="48" spans="1:16">
      <c r="A48" s="122" t="s">
        <v>57</v>
      </c>
      <c r="B48" s="94" t="s">
        <v>157</v>
      </c>
      <c r="D48" s="149">
        <v>0</v>
      </c>
      <c r="E48" s="128">
        <v>0.05</v>
      </c>
      <c r="F48" s="128">
        <v>0.09</v>
      </c>
      <c r="H48" s="130" t="str">
        <f t="shared" si="10"/>
        <v>min 5 %</v>
      </c>
      <c r="I48" s="131" t="s">
        <v>158</v>
      </c>
      <c r="J48" s="110">
        <f>D48*($J$35+$J46+$J47)</f>
        <v>0</v>
      </c>
      <c r="K48"/>
      <c r="L48"/>
      <c r="M48"/>
      <c r="N48"/>
      <c r="O48"/>
      <c r="P48"/>
    </row>
    <row r="49" spans="1:16" ht="17.25" thickBot="1">
      <c r="A49" s="122" t="s">
        <v>57</v>
      </c>
      <c r="B49" s="94" t="s">
        <v>159</v>
      </c>
      <c r="D49" s="149">
        <v>0</v>
      </c>
      <c r="E49" s="128">
        <v>0.03</v>
      </c>
      <c r="F49" s="128">
        <v>0.05</v>
      </c>
      <c r="H49" s="130" t="str">
        <f t="shared" si="10"/>
        <v>min 3 %</v>
      </c>
      <c r="I49" s="94" t="s">
        <v>160</v>
      </c>
      <c r="J49" s="112">
        <f>D49*(SUM(J35:J48))</f>
        <v>0</v>
      </c>
      <c r="K49"/>
      <c r="L49"/>
      <c r="M49"/>
      <c r="N49"/>
      <c r="O49"/>
      <c r="P49"/>
    </row>
    <row r="50" spans="1:16" ht="15.95" customHeight="1" thickBot="1">
      <c r="A50" s="122"/>
      <c r="H50" s="152" t="s">
        <v>161</v>
      </c>
      <c r="I50" s="153"/>
      <c r="J50" s="125">
        <f>SUM(J46:J49)+J35</f>
        <v>0</v>
      </c>
      <c r="K50"/>
      <c r="L50"/>
      <c r="M50"/>
      <c r="N50"/>
      <c r="O50"/>
      <c r="P50"/>
    </row>
    <row r="51" spans="1:16" ht="7.5" customHeight="1" thickBot="1">
      <c r="A51" s="122"/>
      <c r="J51" s="109"/>
      <c r="K51"/>
      <c r="L51"/>
      <c r="M51"/>
      <c r="N51"/>
      <c r="O51"/>
      <c r="P51"/>
    </row>
    <row r="52" spans="1:16" ht="17.25" thickBot="1">
      <c r="A52" s="122"/>
      <c r="B52" s="140" t="s">
        <v>162</v>
      </c>
      <c r="C52" s="141"/>
      <c r="D52" s="141"/>
      <c r="E52" s="141"/>
      <c r="F52" s="144">
        <v>1.35</v>
      </c>
      <c r="G52" s="117"/>
      <c r="H52" s="151" t="e">
        <f>IF(J52&gt;F52,"max "&amp;100*F52&amp;" %","")</f>
        <v>#DIV/0!</v>
      </c>
      <c r="I52" s="151"/>
      <c r="J52" s="118" t="e">
        <f>1+SUM(J46:J49)/J35</f>
        <v>#DIV/0!</v>
      </c>
      <c r="K52"/>
      <c r="L52"/>
      <c r="M52"/>
      <c r="N52"/>
      <c r="O52"/>
      <c r="P52"/>
    </row>
    <row r="53" spans="1:16">
      <c r="J53" s="109"/>
      <c r="K53"/>
      <c r="L53"/>
      <c r="M53"/>
      <c r="N53"/>
      <c r="O53"/>
      <c r="P53"/>
    </row>
    <row r="54" spans="1:16" ht="33" customHeight="1">
      <c r="B54" s="150" t="s">
        <v>42</v>
      </c>
      <c r="C54" s="150"/>
      <c r="D54" s="150"/>
      <c r="E54" s="150"/>
      <c r="F54" s="150"/>
      <c r="G54" s="150"/>
      <c r="H54" s="150"/>
      <c r="K54"/>
      <c r="L54"/>
      <c r="M54"/>
      <c r="N54"/>
      <c r="O54"/>
      <c r="P54"/>
    </row>
    <row r="55" spans="1:16">
      <c r="B55" s="132" t="s">
        <v>43</v>
      </c>
      <c r="C55" s="133" t="s">
        <v>44</v>
      </c>
      <c r="D55" s="98"/>
      <c r="E55" s="98"/>
      <c r="F55" s="98"/>
      <c r="G55" s="99"/>
      <c r="K55"/>
      <c r="L55"/>
      <c r="M55"/>
      <c r="N55"/>
      <c r="O55"/>
      <c r="P55"/>
    </row>
    <row r="56" spans="1:16">
      <c r="B56" s="134"/>
      <c r="C56" s="127" t="s">
        <v>163</v>
      </c>
      <c r="G56" s="100"/>
      <c r="K56"/>
      <c r="L56"/>
      <c r="M56"/>
      <c r="N56"/>
      <c r="O56"/>
      <c r="P56"/>
    </row>
    <row r="57" spans="1:16">
      <c r="B57" s="135"/>
      <c r="C57" s="127" t="s">
        <v>46</v>
      </c>
      <c r="G57" s="100"/>
      <c r="K57"/>
      <c r="L57"/>
      <c r="M57"/>
      <c r="N57"/>
      <c r="O57"/>
      <c r="P57"/>
    </row>
    <row r="58" spans="1:16">
      <c r="B58" s="136"/>
      <c r="C58" s="137" t="s">
        <v>48</v>
      </c>
      <c r="D58" s="101"/>
      <c r="E58" s="101"/>
      <c r="F58" s="101"/>
      <c r="G58" s="102"/>
    </row>
    <row r="60" spans="1:16">
      <c r="H60"/>
      <c r="I60"/>
      <c r="J60"/>
      <c r="K60"/>
      <c r="L60"/>
    </row>
    <row r="61" spans="1:16">
      <c r="H61"/>
      <c r="I61"/>
      <c r="J61"/>
      <c r="K61"/>
      <c r="L61"/>
    </row>
    <row r="62" spans="1:16">
      <c r="H62"/>
      <c r="I62"/>
      <c r="J62"/>
      <c r="K62"/>
      <c r="L62"/>
    </row>
    <row r="63" spans="1:16">
      <c r="H63"/>
      <c r="I63"/>
      <c r="J63"/>
      <c r="K63"/>
      <c r="L63"/>
    </row>
    <row r="64" spans="1:16">
      <c r="H64"/>
      <c r="I64"/>
      <c r="J64"/>
      <c r="K64"/>
      <c r="L64"/>
    </row>
    <row r="65" spans="5:12">
      <c r="E65" s="111"/>
      <c r="H65"/>
      <c r="I65"/>
      <c r="J65"/>
      <c r="K65"/>
      <c r="L65"/>
    </row>
  </sheetData>
  <sheetProtection algorithmName="SHA-512" hashValue="EZJHeK0ukkUlDRmSDVJ4RcEeHZMmyA9rLnKL9k1iaJB1+QpWvmtRHTMMtx1Insleq6WUP0TlH+YJrbwwtpxAUw==" saltValue="IZa8Rr9VGLWCN7PiI1qiuw==" spinCount="100000" sheet="1" objects="1" scenarios="1" selectLockedCells="1"/>
  <mergeCells count="3">
    <mergeCell ref="B54:H54"/>
    <mergeCell ref="H52:I52"/>
    <mergeCell ref="H50:I50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&amp;F&amp;RPagina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AC008AE0B45B4B9990AF294B49A246" ma:contentTypeVersion="4" ma:contentTypeDescription="Een nieuw document maken." ma:contentTypeScope="" ma:versionID="9ac7db3623a6ccab10269d8060f18a71">
  <xsd:schema xmlns:xsd="http://www.w3.org/2001/XMLSchema" xmlns:xs="http://www.w3.org/2001/XMLSchema" xmlns:p="http://schemas.microsoft.com/office/2006/metadata/properties" xmlns:ns2="b501dedb-ac11-4e51-a964-2c7afa408d0e" targetNamespace="http://schemas.microsoft.com/office/2006/metadata/properties" ma:root="true" ma:fieldsID="93a28c4d7dd155d5819e6bf6b5dc8eee" ns2:_="">
    <xsd:import namespace="b501dedb-ac11-4e51-a964-2c7afa408d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1dedb-ac11-4e51-a964-2c7afa408d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87D7A9-7719-4F7F-86EA-D50A06CD636A}"/>
</file>

<file path=customXml/itemProps2.xml><?xml version="1.0" encoding="utf-8"?>
<ds:datastoreItem xmlns:ds="http://schemas.openxmlformats.org/officeDocument/2006/customXml" ds:itemID="{0EAEE9F5-25D9-4821-93F2-93F6A9187CE7}"/>
</file>

<file path=customXml/itemProps3.xml><?xml version="1.0" encoding="utf-8"?>
<ds:datastoreItem xmlns:ds="http://schemas.openxmlformats.org/officeDocument/2006/customXml" ds:itemID="{077E1EF5-1B7B-4706-A973-F8F11922D0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Roel Smit</dc:creator>
  <cp:keywords/>
  <dc:description/>
  <cp:lastModifiedBy>Beurden, J.T. van (Jorrit)</cp:lastModifiedBy>
  <cp:revision/>
  <dcterms:created xsi:type="dcterms:W3CDTF">2018-12-30T11:03:51Z</dcterms:created>
  <dcterms:modified xsi:type="dcterms:W3CDTF">2026-01-14T11:46:41Z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0x010100FFAC008AE0B45B4B9990AF294B49A246</vt:lpwstr>
  </property>
  <property fmtid="{D5CDD505-2E9C-101B-9397-08002B2CF9AE}" pid="3" name="MediaServiceImageTags">
    <vt:lpwstr/>
  </property>
</Properties>
</file>