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Innerwaard/Schoonmaak 2025/4. Leidraad/"/>
    </mc:Choice>
  </mc:AlternateContent>
  <xr:revisionPtr revIDLastSave="1102" documentId="13_ncr:1_{C32A8E97-2542-478B-9AA4-8C72BF90F7C3}" xr6:coauthVersionLast="47" xr6:coauthVersionMax="47" xr10:uidLastSave="{C63725DC-EE25-4600-832C-5DDAEFBDE455}"/>
  <bookViews>
    <workbookView xWindow="-120" yWindow="-120" windowWidth="29040" windowHeight="15720" tabRatio="848" firstSheet="2" activeTab="5"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Totalisatie" sheetId="19" r:id="rId11"/>
    <sheet name="Regie en afroep" sheetId="24"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0"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Glasbewassing!$A$1:$I$57</definedName>
    <definedName name="_xlnm.Print_Area" localSheetId="1">'Legenda Handelingen'!$A$1:$B$136</definedName>
    <definedName name="_xlnm.Print_Area" localSheetId="5">Prestatiefactoren!$A$1:$F$57</definedName>
    <definedName name="_xlnm.Print_Area" localSheetId="11">'Regie en afroep'!$A$1:$I$79</definedName>
    <definedName name="_xlnm.Print_Area" localSheetId="6">'Ruimtestaat'!$A$1:$BW$363</definedName>
    <definedName name="_xlnm.Print_Area" localSheetId="4">Tariefsopbouw!$A$1:$Q$42</definedName>
    <definedName name="_xlnm.Print_Area" localSheetId="10">Totalisatie!$A$1:$I$35</definedName>
    <definedName name="_xlnm.Print_Area" localSheetId="7">Vloeronderhoud!$A$1:$J$46</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1" i="13" l="1"/>
  <c r="B60" i="13"/>
  <c r="B59" i="13"/>
  <c r="B58" i="13"/>
  <c r="C60" i="13"/>
  <c r="D60" i="13"/>
  <c r="E60" i="13"/>
  <c r="K60" i="13"/>
  <c r="Q60" i="13"/>
  <c r="T60" i="13"/>
  <c r="V60" i="13" s="1"/>
  <c r="Z60" i="13"/>
  <c r="AB60" i="13" s="1"/>
  <c r="AI60" i="13"/>
  <c r="AR60" i="13" s="1"/>
  <c r="BD60" i="13"/>
  <c r="BE60" i="13" s="1"/>
  <c r="C61" i="13"/>
  <c r="D61" i="13"/>
  <c r="E61" i="13"/>
  <c r="K61" i="13"/>
  <c r="Q61" i="13"/>
  <c r="T61" i="13"/>
  <c r="V61" i="13" s="1"/>
  <c r="Z61" i="13"/>
  <c r="AB61" i="13" s="1"/>
  <c r="AI61" i="13"/>
  <c r="AO61" i="13" s="1"/>
  <c r="BD61" i="13"/>
  <c r="BN61" i="13" s="1"/>
  <c r="C58" i="13"/>
  <c r="D58" i="13"/>
  <c r="E58" i="13"/>
  <c r="K58" i="13"/>
  <c r="Q58" i="13"/>
  <c r="T58" i="13"/>
  <c r="U58" i="13" s="1"/>
  <c r="W58" i="13" s="1"/>
  <c r="Z58" i="13"/>
  <c r="AB58" i="13" s="1"/>
  <c r="AI58" i="13"/>
  <c r="AO58" i="13" s="1"/>
  <c r="BD58" i="13"/>
  <c r="BN58" i="13" s="1"/>
  <c r="C59" i="13"/>
  <c r="D59" i="13"/>
  <c r="E59" i="13"/>
  <c r="K59" i="13"/>
  <c r="Q59" i="13"/>
  <c r="T59" i="13"/>
  <c r="V59" i="13" s="1"/>
  <c r="Z59" i="13"/>
  <c r="AA59" i="13" s="1"/>
  <c r="AC59" i="13" s="1"/>
  <c r="AI59" i="13"/>
  <c r="AQ59" i="13" s="1"/>
  <c r="BD59" i="13"/>
  <c r="BI59" i="13" s="1"/>
  <c r="B37" i="13"/>
  <c r="C37" i="13"/>
  <c r="D37" i="13"/>
  <c r="E37" i="13"/>
  <c r="K37" i="13"/>
  <c r="Q37" i="13"/>
  <c r="T37" i="13"/>
  <c r="U37" i="13" s="1"/>
  <c r="W37" i="13" s="1"/>
  <c r="Z37" i="13"/>
  <c r="AB37" i="13" s="1"/>
  <c r="AI37" i="13"/>
  <c r="AT37" i="13" s="1"/>
  <c r="BD37" i="13"/>
  <c r="BE37" i="13" s="1"/>
  <c r="B19" i="13"/>
  <c r="C19" i="13"/>
  <c r="D19" i="13"/>
  <c r="E19" i="13"/>
  <c r="K19" i="13"/>
  <c r="Q19" i="13"/>
  <c r="T19" i="13"/>
  <c r="U19" i="13" s="1"/>
  <c r="W19" i="13" s="1"/>
  <c r="Z19" i="13"/>
  <c r="AB19" i="13" s="1"/>
  <c r="AI19" i="13"/>
  <c r="AT19" i="13" s="1"/>
  <c r="BD19" i="13"/>
  <c r="BG19" i="13" s="1"/>
  <c r="B18" i="13"/>
  <c r="C18" i="13"/>
  <c r="D18" i="13"/>
  <c r="E18" i="13"/>
  <c r="K18" i="13"/>
  <c r="Q18" i="13"/>
  <c r="T18" i="13"/>
  <c r="V18" i="13" s="1"/>
  <c r="Z18" i="13"/>
  <c r="AB18" i="13" s="1"/>
  <c r="AI18" i="13"/>
  <c r="AL18" i="13" s="1"/>
  <c r="BD18" i="13"/>
  <c r="BH18" i="13" s="1"/>
  <c r="AB59" i="13" l="1"/>
  <c r="AE59" i="13" s="1"/>
  <c r="U60" i="13"/>
  <c r="W60" i="13" s="1"/>
  <c r="AA58" i="13"/>
  <c r="AC58" i="13" s="1"/>
  <c r="AQ19" i="13"/>
  <c r="U59" i="13"/>
  <c r="W59" i="13" s="1"/>
  <c r="BF58" i="13"/>
  <c r="BG61" i="13"/>
  <c r="BE58" i="13"/>
  <c r="BF61" i="13"/>
  <c r="U61" i="13"/>
  <c r="W61" i="13" s="1"/>
  <c r="V58" i="13"/>
  <c r="AE58" i="13" s="1"/>
  <c r="AA61" i="13"/>
  <c r="AC61" i="13" s="1"/>
  <c r="BA60" i="13"/>
  <c r="AZ60" i="13"/>
  <c r="AA60" i="13"/>
  <c r="AC60" i="13" s="1"/>
  <c r="AE60" i="13"/>
  <c r="BV61" i="13"/>
  <c r="AY60" i="13"/>
  <c r="BU61" i="13"/>
  <c r="AX61" i="13"/>
  <c r="AX60" i="13"/>
  <c r="AW61" i="13"/>
  <c r="BT61" i="13"/>
  <c r="AQ60" i="13"/>
  <c r="BS61" i="13"/>
  <c r="AV61" i="13"/>
  <c r="AP60" i="13"/>
  <c r="BW61" i="13"/>
  <c r="BE61" i="13"/>
  <c r="AU61" i="13"/>
  <c r="BL61" i="13"/>
  <c r="AN61" i="13"/>
  <c r="BK61" i="13"/>
  <c r="AM61" i="13"/>
  <c r="BJ61" i="13"/>
  <c r="AL61" i="13"/>
  <c r="BM61" i="13"/>
  <c r="BL58" i="13"/>
  <c r="BI61" i="13"/>
  <c r="AJ61" i="13"/>
  <c r="AO60" i="13"/>
  <c r="BH61" i="13"/>
  <c r="AK61" i="13"/>
  <c r="AN60" i="13"/>
  <c r="AA19" i="13"/>
  <c r="AC19" i="13" s="1"/>
  <c r="V37" i="13"/>
  <c r="AE37" i="13" s="1"/>
  <c r="AL58" i="13"/>
  <c r="AM60" i="13"/>
  <c r="BP60" i="13"/>
  <c r="AL60" i="13"/>
  <c r="AE61" i="13"/>
  <c r="BB60" i="13"/>
  <c r="BR61" i="13"/>
  <c r="BQ61" i="13"/>
  <c r="AZ61" i="13"/>
  <c r="BP61" i="13"/>
  <c r="AY61" i="13"/>
  <c r="BN60" i="13"/>
  <c r="BM60" i="13"/>
  <c r="BO60" i="13"/>
  <c r="BV60" i="13"/>
  <c r="BJ60" i="13"/>
  <c r="AW60" i="13"/>
  <c r="AK60" i="13"/>
  <c r="BU60" i="13"/>
  <c r="BI60" i="13"/>
  <c r="AV60" i="13"/>
  <c r="AJ60" i="13"/>
  <c r="BL60" i="13"/>
  <c r="BW60" i="13"/>
  <c r="BK60" i="13"/>
  <c r="BT60" i="13"/>
  <c r="BH60" i="13"/>
  <c r="AU60" i="13"/>
  <c r="BS60" i="13"/>
  <c r="BR60" i="13"/>
  <c r="BG60" i="13"/>
  <c r="AT60" i="13"/>
  <c r="BF60" i="13"/>
  <c r="AS60" i="13"/>
  <c r="BQ60" i="13"/>
  <c r="AZ58" i="13"/>
  <c r="AY58" i="13"/>
  <c r="AS58" i="13"/>
  <c r="BP58" i="13"/>
  <c r="AP58" i="13"/>
  <c r="BO61" i="13"/>
  <c r="BB61" i="13"/>
  <c r="AP61" i="13"/>
  <c r="AU58" i="13"/>
  <c r="AT61" i="13"/>
  <c r="AS61" i="13"/>
  <c r="AR58" i="13"/>
  <c r="AR61" i="13"/>
  <c r="AQ58" i="13"/>
  <c r="AQ61" i="13"/>
  <c r="AR19" i="13"/>
  <c r="BM58" i="13"/>
  <c r="AN58" i="13"/>
  <c r="BA61" i="13"/>
  <c r="BS59" i="13"/>
  <c r="BJ59" i="13"/>
  <c r="BG59" i="13"/>
  <c r="BH59" i="13"/>
  <c r="BF59" i="13"/>
  <c r="BL59" i="13"/>
  <c r="BM59" i="13"/>
  <c r="BK59" i="13"/>
  <c r="BW59" i="13"/>
  <c r="BV59" i="13"/>
  <c r="BT59" i="13"/>
  <c r="BP59" i="13"/>
  <c r="AU59" i="13"/>
  <c r="BR59" i="13"/>
  <c r="BE59" i="13"/>
  <c r="BQ59" i="13"/>
  <c r="BO59" i="13"/>
  <c r="BN59" i="13"/>
  <c r="BB58" i="13"/>
  <c r="AM58" i="13"/>
  <c r="AK58" i="13"/>
  <c r="AX58" i="13"/>
  <c r="AJ58" i="13"/>
  <c r="BR58" i="13"/>
  <c r="AW58" i="13"/>
  <c r="BQ58" i="13"/>
  <c r="AV58" i="13"/>
  <c r="AX59" i="13"/>
  <c r="AL59" i="13"/>
  <c r="BU58" i="13"/>
  <c r="BI58" i="13"/>
  <c r="AT59" i="13"/>
  <c r="BB59" i="13"/>
  <c r="AP59" i="13"/>
  <c r="AZ59" i="13"/>
  <c r="AN59" i="13"/>
  <c r="BW58" i="13"/>
  <c r="BK58" i="13"/>
  <c r="AW59" i="13"/>
  <c r="AK59" i="13"/>
  <c r="BT58" i="13"/>
  <c r="BH58" i="13"/>
  <c r="BA59" i="13"/>
  <c r="AO59" i="13"/>
  <c r="AY59" i="13"/>
  <c r="AM59" i="13"/>
  <c r="BV58" i="13"/>
  <c r="BJ58" i="13"/>
  <c r="AA37" i="13"/>
  <c r="AC37" i="13" s="1"/>
  <c r="BU59" i="13"/>
  <c r="AV59" i="13"/>
  <c r="AJ59" i="13"/>
  <c r="BS58" i="13"/>
  <c r="BG58" i="13"/>
  <c r="AT58" i="13"/>
  <c r="AS59" i="13"/>
  <c r="AR59" i="13"/>
  <c r="BO58" i="13"/>
  <c r="BA58" i="13"/>
  <c r="BO37" i="13"/>
  <c r="BP37" i="13"/>
  <c r="AX37" i="13"/>
  <c r="AK37" i="13"/>
  <c r="AU37" i="13"/>
  <c r="AW37" i="13"/>
  <c r="BN37" i="13"/>
  <c r="AV37" i="13"/>
  <c r="BM37" i="13"/>
  <c r="BL37" i="13"/>
  <c r="AS37" i="13"/>
  <c r="BK37" i="13"/>
  <c r="AR37" i="13"/>
  <c r="BJ37" i="13"/>
  <c r="AQ37" i="13"/>
  <c r="AP37" i="13"/>
  <c r="BB37" i="13"/>
  <c r="BA37" i="13"/>
  <c r="AN37" i="13"/>
  <c r="BW37" i="13"/>
  <c r="AZ37" i="13"/>
  <c r="AM37" i="13"/>
  <c r="AO37" i="13"/>
  <c r="BV37" i="13"/>
  <c r="AY37" i="13"/>
  <c r="AL37" i="13"/>
  <c r="BU37" i="13"/>
  <c r="BI37" i="13"/>
  <c r="AJ37" i="13"/>
  <c r="V19" i="13"/>
  <c r="AE19" i="13" s="1"/>
  <c r="BT37" i="13"/>
  <c r="BH37" i="13"/>
  <c r="BR18" i="13"/>
  <c r="BS37" i="13"/>
  <c r="BG37" i="13"/>
  <c r="BQ18" i="13"/>
  <c r="BA19" i="13"/>
  <c r="BR37" i="13"/>
  <c r="BF37" i="13"/>
  <c r="AZ19" i="13"/>
  <c r="BQ37" i="13"/>
  <c r="AY19" i="13"/>
  <c r="AS19" i="13"/>
  <c r="AO19" i="13"/>
  <c r="BR19" i="13"/>
  <c r="AP19" i="13"/>
  <c r="BQ19" i="13"/>
  <c r="BF19" i="13"/>
  <c r="AN19" i="13"/>
  <c r="BE19" i="13"/>
  <c r="AM19" i="13"/>
  <c r="BB19" i="13"/>
  <c r="BP19" i="13"/>
  <c r="BO19" i="13"/>
  <c r="BW19" i="13"/>
  <c r="AX19" i="13"/>
  <c r="AL19" i="13"/>
  <c r="AK18" i="13"/>
  <c r="BK19" i="13"/>
  <c r="AJ18" i="13"/>
  <c r="BV19" i="13"/>
  <c r="BJ19" i="13"/>
  <c r="AW19" i="13"/>
  <c r="AK19" i="13"/>
  <c r="BU19" i="13"/>
  <c r="BI19" i="13"/>
  <c r="AV19" i="13"/>
  <c r="AJ19" i="13"/>
  <c r="BN19" i="13"/>
  <c r="BM19" i="13"/>
  <c r="AE18" i="13"/>
  <c r="BL19" i="13"/>
  <c r="BT19" i="13"/>
  <c r="BH19" i="13"/>
  <c r="AU19" i="13"/>
  <c r="U18" i="13"/>
  <c r="W18" i="13" s="1"/>
  <c r="BS19" i="13"/>
  <c r="BK18" i="13"/>
  <c r="BF18" i="13"/>
  <c r="BE18" i="13"/>
  <c r="BV18" i="13"/>
  <c r="BU18" i="13"/>
  <c r="AV18" i="13"/>
  <c r="BJ18" i="13"/>
  <c r="BI18" i="13"/>
  <c r="BG18" i="13"/>
  <c r="BW18" i="13"/>
  <c r="AW18" i="13"/>
  <c r="BS18" i="13"/>
  <c r="AU18" i="13"/>
  <c r="BP18" i="13"/>
  <c r="BB18" i="13"/>
  <c r="AP18" i="13"/>
  <c r="BO18" i="13"/>
  <c r="BA18" i="13"/>
  <c r="AO18" i="13"/>
  <c r="BN18" i="13"/>
  <c r="AZ18" i="13"/>
  <c r="AN18" i="13"/>
  <c r="AT18" i="13"/>
  <c r="AQ18" i="13"/>
  <c r="AS18" i="13"/>
  <c r="AR18" i="13"/>
  <c r="BM18" i="13"/>
  <c r="AY18" i="13"/>
  <c r="AM18" i="13"/>
  <c r="BL18" i="13"/>
  <c r="AX18" i="13"/>
  <c r="AA18" i="13"/>
  <c r="AC18" i="13" s="1"/>
  <c r="BT18" i="13"/>
  <c r="AF61" i="13" l="1"/>
  <c r="AF58" i="13"/>
  <c r="AF59" i="13"/>
  <c r="AF60" i="13"/>
  <c r="AF19" i="13"/>
  <c r="AF37" i="13"/>
  <c r="AF18" i="13"/>
  <c r="D14" i="32"/>
  <c r="B14" i="32"/>
  <c r="D20" i="32"/>
  <c r="B20" i="32"/>
  <c r="B348" i="13"/>
  <c r="C348" i="13"/>
  <c r="D348" i="13"/>
  <c r="E348" i="13"/>
  <c r="K348" i="13"/>
  <c r="Q348" i="13"/>
  <c r="T348" i="13"/>
  <c r="U348" i="13" s="1"/>
  <c r="W348" i="13" s="1"/>
  <c r="Z348" i="13"/>
  <c r="AB348" i="13" s="1"/>
  <c r="AI348" i="13"/>
  <c r="AO348" i="13" s="1"/>
  <c r="BD348" i="13"/>
  <c r="BN348" i="13" s="1"/>
  <c r="D21" i="32"/>
  <c r="B21" i="32"/>
  <c r="B13" i="32"/>
  <c r="D19" i="32"/>
  <c r="D18" i="32"/>
  <c r="D17" i="32"/>
  <c r="D16" i="32"/>
  <c r="D15" i="32"/>
  <c r="D13" i="32"/>
  <c r="B19" i="32"/>
  <c r="B18" i="32"/>
  <c r="D52" i="22"/>
  <c r="G52" i="22"/>
  <c r="H52" i="22" s="1"/>
  <c r="D53" i="22"/>
  <c r="G53" i="22"/>
  <c r="H53" i="22" s="1"/>
  <c r="D54" i="22"/>
  <c r="G54" i="22"/>
  <c r="H54" i="22" s="1"/>
  <c r="D55" i="22"/>
  <c r="G55" i="22"/>
  <c r="H55" i="22" s="1"/>
  <c r="D56" i="22"/>
  <c r="G56" i="22"/>
  <c r="H56" i="22" s="1"/>
  <c r="D44" i="22"/>
  <c r="G44" i="22"/>
  <c r="H44" i="22" s="1"/>
  <c r="D50" i="22"/>
  <c r="D51" i="22"/>
  <c r="G50" i="22"/>
  <c r="H50" i="22" s="1"/>
  <c r="G51" i="22"/>
  <c r="H51" i="22" s="1"/>
  <c r="D41" i="38"/>
  <c r="D42" i="38"/>
  <c r="D43" i="38"/>
  <c r="D44" i="38"/>
  <c r="D45" i="38"/>
  <c r="D35" i="38"/>
  <c r="D36" i="38"/>
  <c r="D37" i="38"/>
  <c r="D38" i="38"/>
  <c r="D39" i="38"/>
  <c r="D40" i="38"/>
  <c r="D34" i="38"/>
  <c r="D33" i="38"/>
  <c r="D29" i="38"/>
  <c r="D27" i="38"/>
  <c r="D25" i="38"/>
  <c r="D26" i="38"/>
  <c r="D28" i="38"/>
  <c r="D30" i="38"/>
  <c r="D31" i="38"/>
  <c r="D32" i="38"/>
  <c r="D24" i="38"/>
  <c r="D23" i="38"/>
  <c r="D22" i="38"/>
  <c r="D21" i="38"/>
  <c r="B41" i="38"/>
  <c r="B42" i="38"/>
  <c r="B43" i="38"/>
  <c r="B44" i="38"/>
  <c r="B45" i="38"/>
  <c r="F41" i="38"/>
  <c r="H41" i="38" s="1"/>
  <c r="I41" i="38" s="1"/>
  <c r="F42" i="38"/>
  <c r="H42" i="38" s="1"/>
  <c r="I42" i="38" s="1"/>
  <c r="F43" i="38"/>
  <c r="H43" i="38" s="1"/>
  <c r="I43" i="38" s="1"/>
  <c r="F44" i="38"/>
  <c r="H44" i="38" s="1"/>
  <c r="I44" i="38" s="1"/>
  <c r="F45" i="38"/>
  <c r="H45" i="38" s="1"/>
  <c r="I45" i="38" s="1"/>
  <c r="B35" i="38"/>
  <c r="B36" i="38"/>
  <c r="B37" i="38"/>
  <c r="B38" i="38"/>
  <c r="B39" i="38"/>
  <c r="B40" i="38"/>
  <c r="F35" i="38"/>
  <c r="H35" i="38" s="1"/>
  <c r="I35" i="38" s="1"/>
  <c r="F36" i="38"/>
  <c r="H36" i="38" s="1"/>
  <c r="I36" i="38" s="1"/>
  <c r="F37" i="38"/>
  <c r="H37" i="38" s="1"/>
  <c r="I37" i="38" s="1"/>
  <c r="F38" i="38"/>
  <c r="H38" i="38" s="1"/>
  <c r="I38" i="38" s="1"/>
  <c r="F39" i="38"/>
  <c r="H39" i="38" s="1"/>
  <c r="I39" i="38" s="1"/>
  <c r="F40" i="38"/>
  <c r="H40" i="38" s="1"/>
  <c r="I40" i="38" s="1"/>
  <c r="D39" i="22"/>
  <c r="G39" i="22"/>
  <c r="H39" i="22" s="1"/>
  <c r="D40" i="22"/>
  <c r="G40" i="22"/>
  <c r="H40" i="22" s="1"/>
  <c r="D41" i="22"/>
  <c r="G41" i="22"/>
  <c r="H41" i="22" s="1"/>
  <c r="D42" i="22"/>
  <c r="G42" i="22"/>
  <c r="H42" i="22" s="1"/>
  <c r="D43" i="22"/>
  <c r="G43" i="22"/>
  <c r="H43" i="22" s="1"/>
  <c r="D45" i="22"/>
  <c r="G45" i="22"/>
  <c r="H45" i="22" s="1"/>
  <c r="D46" i="22"/>
  <c r="G46" i="22"/>
  <c r="H46" i="22" s="1"/>
  <c r="D47" i="22"/>
  <c r="G47" i="22"/>
  <c r="H47" i="22" s="1"/>
  <c r="D48" i="22"/>
  <c r="G48" i="22"/>
  <c r="H48" i="22" s="1"/>
  <c r="D27" i="22"/>
  <c r="G27" i="22"/>
  <c r="H27" i="22" s="1"/>
  <c r="D28" i="22"/>
  <c r="G28" i="22"/>
  <c r="H28" i="22" s="1"/>
  <c r="D29" i="22"/>
  <c r="G29" i="22"/>
  <c r="H29" i="22" s="1"/>
  <c r="D30" i="22"/>
  <c r="G30" i="22"/>
  <c r="H30" i="22" s="1"/>
  <c r="D31" i="22"/>
  <c r="G31" i="22"/>
  <c r="H31" i="22" s="1"/>
  <c r="D32" i="22"/>
  <c r="G32" i="22"/>
  <c r="H32" i="22" s="1"/>
  <c r="D33" i="22"/>
  <c r="G33" i="22"/>
  <c r="H33" i="22" s="1"/>
  <c r="D34" i="22"/>
  <c r="G34" i="22"/>
  <c r="H34" i="22" s="1"/>
  <c r="D35" i="22"/>
  <c r="G35" i="22"/>
  <c r="H35" i="22" s="1"/>
  <c r="D36" i="22"/>
  <c r="G36" i="22"/>
  <c r="H36" i="22" s="1"/>
  <c r="D37" i="22"/>
  <c r="G37" i="22"/>
  <c r="H37" i="22" s="1"/>
  <c r="D38" i="22"/>
  <c r="G38" i="22"/>
  <c r="H38" i="22" s="1"/>
  <c r="D49" i="22"/>
  <c r="G49" i="22"/>
  <c r="H49" i="22" s="1"/>
  <c r="BT348" i="13" l="1"/>
  <c r="BQ348" i="13"/>
  <c r="BM348" i="13"/>
  <c r="BL348" i="13"/>
  <c r="BK348" i="13"/>
  <c r="BJ348" i="13"/>
  <c r="BI348" i="13"/>
  <c r="BH348" i="13"/>
  <c r="AM348" i="13"/>
  <c r="AL348" i="13"/>
  <c r="AK348" i="13"/>
  <c r="AW348" i="13"/>
  <c r="AV348" i="13"/>
  <c r="AU348" i="13"/>
  <c r="AR348" i="13"/>
  <c r="BB348" i="13"/>
  <c r="AZ348" i="13"/>
  <c r="AP348" i="13"/>
  <c r="AN348" i="13"/>
  <c r="V348" i="13"/>
  <c r="AE348" i="13" s="1"/>
  <c r="AA348" i="13"/>
  <c r="AC348" i="13" s="1"/>
  <c r="BW348" i="13"/>
  <c r="AJ348" i="13"/>
  <c r="BV348" i="13"/>
  <c r="BU348" i="13"/>
  <c r="AY348" i="13"/>
  <c r="BE348" i="13"/>
  <c r="BP348" i="13"/>
  <c r="BO348" i="13"/>
  <c r="AX348" i="13"/>
  <c r="BS348" i="13"/>
  <c r="BG348" i="13"/>
  <c r="AT348" i="13"/>
  <c r="BR348" i="13"/>
  <c r="BF348" i="13"/>
  <c r="AS348" i="13"/>
  <c r="AQ348" i="13"/>
  <c r="BA348" i="13"/>
  <c r="B23" i="19"/>
  <c r="B24" i="19"/>
  <c r="B12" i="19"/>
  <c r="C12" i="19"/>
  <c r="B13" i="19"/>
  <c r="C13" i="19"/>
  <c r="F34" i="38"/>
  <c r="H34" i="38" s="1"/>
  <c r="I34" i="38" s="1"/>
  <c r="B34" i="38"/>
  <c r="F33" i="38"/>
  <c r="H33" i="38" s="1"/>
  <c r="I33" i="38" s="1"/>
  <c r="B33" i="38"/>
  <c r="F29" i="38"/>
  <c r="H29" i="38" s="1"/>
  <c r="I29" i="38" s="1"/>
  <c r="B29" i="38"/>
  <c r="F27" i="38"/>
  <c r="H27" i="38" s="1"/>
  <c r="I27" i="38" s="1"/>
  <c r="B27" i="38"/>
  <c r="F25" i="38"/>
  <c r="H25" i="38" s="1"/>
  <c r="I25" i="38" s="1"/>
  <c r="B25" i="38"/>
  <c r="B17" i="32"/>
  <c r="B16" i="32"/>
  <c r="B15" i="32"/>
  <c r="Q5" i="13"/>
  <c r="Q6" i="13"/>
  <c r="Q7" i="13"/>
  <c r="Q8" i="13"/>
  <c r="Q9" i="13"/>
  <c r="Q10" i="13"/>
  <c r="Q11" i="13"/>
  <c r="Q12" i="13"/>
  <c r="Q13" i="13"/>
  <c r="Q14" i="13"/>
  <c r="Q15" i="13"/>
  <c r="Q16" i="13"/>
  <c r="Q17" i="13"/>
  <c r="Q20" i="13"/>
  <c r="Q21" i="13"/>
  <c r="Q22" i="13"/>
  <c r="Q23" i="13"/>
  <c r="Q24" i="13"/>
  <c r="Q25" i="13"/>
  <c r="Q26" i="13"/>
  <c r="Q27" i="13"/>
  <c r="Q28" i="13"/>
  <c r="Q29" i="13"/>
  <c r="Q30" i="13"/>
  <c r="Q31" i="13"/>
  <c r="Q32" i="13"/>
  <c r="Q33" i="13"/>
  <c r="Q34" i="13"/>
  <c r="Q35" i="13"/>
  <c r="Q36" i="13"/>
  <c r="Q38" i="13"/>
  <c r="Q39" i="13"/>
  <c r="Q40" i="13"/>
  <c r="Q41" i="13"/>
  <c r="Q42" i="13"/>
  <c r="Q43" i="13"/>
  <c r="Q44" i="13"/>
  <c r="Q45" i="13"/>
  <c r="Q46" i="13"/>
  <c r="Q47" i="13"/>
  <c r="Q48" i="13"/>
  <c r="Q49" i="13"/>
  <c r="Q50" i="13"/>
  <c r="Q51" i="13"/>
  <c r="Q52" i="13"/>
  <c r="Q53" i="13"/>
  <c r="Q54" i="13"/>
  <c r="Q55" i="13"/>
  <c r="Q56" i="13"/>
  <c r="Q57"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Q315" i="13"/>
  <c r="Q316" i="13"/>
  <c r="Q317" i="13"/>
  <c r="Q318" i="13"/>
  <c r="Q319" i="13"/>
  <c r="Q320" i="13"/>
  <c r="Q321" i="13"/>
  <c r="Q322" i="13"/>
  <c r="Q323" i="13"/>
  <c r="Q324" i="13"/>
  <c r="Q325" i="13"/>
  <c r="Q326" i="13"/>
  <c r="Q327" i="13"/>
  <c r="Q328" i="13"/>
  <c r="Q329" i="13"/>
  <c r="Q330" i="13"/>
  <c r="Q331" i="13"/>
  <c r="Q332" i="13"/>
  <c r="Q333" i="13"/>
  <c r="Q334" i="13"/>
  <c r="Q335" i="13"/>
  <c r="Q336" i="13"/>
  <c r="Q337" i="13"/>
  <c r="Q338" i="13"/>
  <c r="Q339" i="13"/>
  <c r="Q340" i="13"/>
  <c r="Q341" i="13"/>
  <c r="Q342" i="13"/>
  <c r="Q343" i="13"/>
  <c r="Q344" i="13"/>
  <c r="Q345" i="13"/>
  <c r="Q346" i="13"/>
  <c r="Q347" i="13"/>
  <c r="Q349" i="13"/>
  <c r="Q350" i="13"/>
  <c r="Q351" i="13"/>
  <c r="Q352" i="13"/>
  <c r="Q353" i="13"/>
  <c r="Q354" i="13"/>
  <c r="Q355" i="13"/>
  <c r="Q356" i="13"/>
  <c r="Q357" i="13"/>
  <c r="Q358" i="13"/>
  <c r="Q359" i="13"/>
  <c r="Q360" i="13"/>
  <c r="Z363" i="13"/>
  <c r="AB363" i="13" s="1"/>
  <c r="T363" i="13"/>
  <c r="U363" i="13" s="1"/>
  <c r="W363" i="13" s="1"/>
  <c r="Z362" i="13"/>
  <c r="AA362" i="13" s="1"/>
  <c r="AC362" i="13" s="1"/>
  <c r="T362" i="13"/>
  <c r="V362" i="13" s="1"/>
  <c r="Z361" i="13"/>
  <c r="AA361" i="13" s="1"/>
  <c r="AC361" i="13" s="1"/>
  <c r="T361" i="13"/>
  <c r="U361" i="13" s="1"/>
  <c r="W361" i="13" s="1"/>
  <c r="Z360" i="13"/>
  <c r="T360" i="13"/>
  <c r="V360" i="13" s="1"/>
  <c r="Z359" i="13"/>
  <c r="AB359" i="13" s="1"/>
  <c r="T359" i="13"/>
  <c r="Z358" i="13"/>
  <c r="AA358" i="13" s="1"/>
  <c r="AC358" i="13" s="1"/>
  <c r="T358" i="13"/>
  <c r="V358" i="13" s="1"/>
  <c r="Z357" i="13"/>
  <c r="AA357" i="13" s="1"/>
  <c r="AC357" i="13" s="1"/>
  <c r="T357" i="13"/>
  <c r="V357" i="13" s="1"/>
  <c r="Z356" i="13"/>
  <c r="T356" i="13"/>
  <c r="V356" i="13" s="1"/>
  <c r="Z355" i="13"/>
  <c r="AB355" i="13" s="1"/>
  <c r="T355" i="13"/>
  <c r="U355" i="13" s="1"/>
  <c r="W355" i="13" s="1"/>
  <c r="Z354" i="13"/>
  <c r="AA354" i="13" s="1"/>
  <c r="AC354" i="13" s="1"/>
  <c r="T354" i="13"/>
  <c r="V354" i="13" s="1"/>
  <c r="Z353" i="13"/>
  <c r="AB353" i="13" s="1"/>
  <c r="T353" i="13"/>
  <c r="Z352" i="13"/>
  <c r="T352" i="13"/>
  <c r="V352" i="13" s="1"/>
  <c r="Z351" i="13"/>
  <c r="AB351" i="13" s="1"/>
  <c r="T351" i="13"/>
  <c r="V351" i="13" s="1"/>
  <c r="Z350" i="13"/>
  <c r="T350" i="13"/>
  <c r="V350" i="13" s="1"/>
  <c r="Z349" i="13"/>
  <c r="AB349" i="13" s="1"/>
  <c r="T349" i="13"/>
  <c r="U349" i="13" s="1"/>
  <c r="W349" i="13" s="1"/>
  <c r="Z347" i="13"/>
  <c r="T347" i="13"/>
  <c r="V347" i="13" s="1"/>
  <c r="Z346" i="13"/>
  <c r="AB346" i="13" s="1"/>
  <c r="T346" i="13"/>
  <c r="U346" i="13" s="1"/>
  <c r="W346" i="13" s="1"/>
  <c r="Z345" i="13"/>
  <c r="AB345" i="13" s="1"/>
  <c r="T345" i="13"/>
  <c r="V345" i="13" s="1"/>
  <c r="Z344" i="13"/>
  <c r="AB344" i="13" s="1"/>
  <c r="T344" i="13"/>
  <c r="U344" i="13" s="1"/>
  <c r="W344" i="13" s="1"/>
  <c r="Z343" i="13"/>
  <c r="AA343" i="13" s="1"/>
  <c r="AC343" i="13" s="1"/>
  <c r="T343" i="13"/>
  <c r="V343" i="13" s="1"/>
  <c r="Z342" i="13"/>
  <c r="AA342" i="13" s="1"/>
  <c r="AC342" i="13" s="1"/>
  <c r="T342" i="13"/>
  <c r="U342" i="13" s="1"/>
  <c r="W342" i="13" s="1"/>
  <c r="Z341" i="13"/>
  <c r="T341" i="13"/>
  <c r="V341" i="13" s="1"/>
  <c r="Z340" i="13"/>
  <c r="AB340" i="13" s="1"/>
  <c r="T340" i="13"/>
  <c r="Z339" i="13"/>
  <c r="T339" i="13"/>
  <c r="Z338" i="13"/>
  <c r="AB338" i="13" s="1"/>
  <c r="T338" i="13"/>
  <c r="U338" i="13" s="1"/>
  <c r="W338" i="13" s="1"/>
  <c r="Z337" i="13"/>
  <c r="T337" i="13"/>
  <c r="U337" i="13" s="1"/>
  <c r="W337" i="13" s="1"/>
  <c r="Z336" i="13"/>
  <c r="AB336" i="13" s="1"/>
  <c r="T336" i="13"/>
  <c r="U336" i="13" s="1"/>
  <c r="W336" i="13" s="1"/>
  <c r="Z335" i="13"/>
  <c r="AA335" i="13" s="1"/>
  <c r="AC335" i="13" s="1"/>
  <c r="T335" i="13"/>
  <c r="V335" i="13" s="1"/>
  <c r="Z334" i="13"/>
  <c r="AB334" i="13" s="1"/>
  <c r="T334" i="13"/>
  <c r="Z333" i="13"/>
  <c r="AB333" i="13" s="1"/>
  <c r="T333" i="13"/>
  <c r="V333" i="13" s="1"/>
  <c r="Z332" i="13"/>
  <c r="AA332" i="13" s="1"/>
  <c r="AC332" i="13" s="1"/>
  <c r="T332" i="13"/>
  <c r="Z331" i="13"/>
  <c r="AB331" i="13" s="1"/>
  <c r="T331" i="13"/>
  <c r="U331" i="13" s="1"/>
  <c r="W331" i="13" s="1"/>
  <c r="Z330" i="13"/>
  <c r="AA330" i="13" s="1"/>
  <c r="AC330" i="13" s="1"/>
  <c r="T330" i="13"/>
  <c r="U330" i="13" s="1"/>
  <c r="W330" i="13" s="1"/>
  <c r="Z329" i="13"/>
  <c r="AA329" i="13" s="1"/>
  <c r="AC329" i="13" s="1"/>
  <c r="T329" i="13"/>
  <c r="V329" i="13" s="1"/>
  <c r="Z328" i="13"/>
  <c r="T328" i="13"/>
  <c r="U328" i="13" s="1"/>
  <c r="W328" i="13" s="1"/>
  <c r="Z327" i="13"/>
  <c r="AB327" i="13" s="1"/>
  <c r="T327" i="13"/>
  <c r="Z326" i="13"/>
  <c r="AB326" i="13" s="1"/>
  <c r="T326" i="13"/>
  <c r="V326" i="13" s="1"/>
  <c r="Z325" i="13"/>
  <c r="AA325" i="13" s="1"/>
  <c r="AC325" i="13" s="1"/>
  <c r="T325" i="13"/>
  <c r="V325" i="13" s="1"/>
  <c r="Z324" i="13"/>
  <c r="AB324" i="13" s="1"/>
  <c r="T324" i="13"/>
  <c r="V324" i="13" s="1"/>
  <c r="Z323" i="13"/>
  <c r="AA323" i="13" s="1"/>
  <c r="AC323" i="13" s="1"/>
  <c r="T323" i="13"/>
  <c r="V323" i="13" s="1"/>
  <c r="Z322" i="13"/>
  <c r="AB322" i="13" s="1"/>
  <c r="T322" i="13"/>
  <c r="U322" i="13" s="1"/>
  <c r="W322" i="13" s="1"/>
  <c r="Z321" i="13"/>
  <c r="T321" i="13"/>
  <c r="V321" i="13" s="1"/>
  <c r="Z320" i="13"/>
  <c r="AB320" i="13" s="1"/>
  <c r="T320" i="13"/>
  <c r="Z319" i="13"/>
  <c r="AB319" i="13" s="1"/>
  <c r="T319" i="13"/>
  <c r="V319" i="13" s="1"/>
  <c r="Z318" i="13"/>
  <c r="AB318" i="13" s="1"/>
  <c r="T318" i="13"/>
  <c r="U318" i="13" s="1"/>
  <c r="W318" i="13" s="1"/>
  <c r="Z317" i="13"/>
  <c r="AA317" i="13" s="1"/>
  <c r="AC317" i="13" s="1"/>
  <c r="T317" i="13"/>
  <c r="V317" i="13" s="1"/>
  <c r="Z316" i="13"/>
  <c r="AB316" i="13" s="1"/>
  <c r="T316" i="13"/>
  <c r="Z315" i="13"/>
  <c r="AB315" i="13" s="1"/>
  <c r="T315" i="13"/>
  <c r="V315" i="13" s="1"/>
  <c r="Z314" i="13"/>
  <c r="AA314" i="13" s="1"/>
  <c r="AC314" i="13" s="1"/>
  <c r="T314" i="13"/>
  <c r="V314" i="13" s="1"/>
  <c r="Z313" i="13"/>
  <c r="AB313" i="13" s="1"/>
  <c r="T313" i="13"/>
  <c r="Z312" i="13"/>
  <c r="AB312" i="13" s="1"/>
  <c r="T312" i="13"/>
  <c r="U312" i="13" s="1"/>
  <c r="W312" i="13" s="1"/>
  <c r="Z311" i="13"/>
  <c r="T311" i="13"/>
  <c r="U311" i="13" s="1"/>
  <c r="W311" i="13" s="1"/>
  <c r="Z310" i="13"/>
  <c r="T310" i="13"/>
  <c r="U310" i="13" s="1"/>
  <c r="W310" i="13" s="1"/>
  <c r="Z309" i="13"/>
  <c r="AB309" i="13" s="1"/>
  <c r="T309" i="13"/>
  <c r="V309" i="13" s="1"/>
  <c r="Z308" i="13"/>
  <c r="AB308" i="13" s="1"/>
  <c r="T308" i="13"/>
  <c r="U308" i="13" s="1"/>
  <c r="W308" i="13" s="1"/>
  <c r="Z307" i="13"/>
  <c r="AA307" i="13" s="1"/>
  <c r="AC307" i="13" s="1"/>
  <c r="T307" i="13"/>
  <c r="V307" i="13" s="1"/>
  <c r="Z306" i="13"/>
  <c r="AB306" i="13" s="1"/>
  <c r="T306" i="13"/>
  <c r="Z305" i="13"/>
  <c r="AA305" i="13" s="1"/>
  <c r="AC305" i="13" s="1"/>
  <c r="T305" i="13"/>
  <c r="U305" i="13" s="1"/>
  <c r="W305" i="13" s="1"/>
  <c r="Z304" i="13"/>
  <c r="AB304" i="13" s="1"/>
  <c r="T304" i="13"/>
  <c r="U304" i="13" s="1"/>
  <c r="W304" i="13" s="1"/>
  <c r="Z303" i="13"/>
  <c r="T303" i="13"/>
  <c r="V303" i="13" s="1"/>
  <c r="Z302" i="13"/>
  <c r="AB302" i="13" s="1"/>
  <c r="T302" i="13"/>
  <c r="U302" i="13" s="1"/>
  <c r="W302" i="13" s="1"/>
  <c r="Z301" i="13"/>
  <c r="AB301" i="13" s="1"/>
  <c r="T301" i="13"/>
  <c r="V301" i="13" s="1"/>
  <c r="Z300" i="13"/>
  <c r="AB300" i="13" s="1"/>
  <c r="T300" i="13"/>
  <c r="V300" i="13" s="1"/>
  <c r="Z299" i="13"/>
  <c r="AA299" i="13" s="1"/>
  <c r="AC299" i="13" s="1"/>
  <c r="T299" i="13"/>
  <c r="U299" i="13" s="1"/>
  <c r="W299" i="13" s="1"/>
  <c r="Z298" i="13"/>
  <c r="AB298" i="13" s="1"/>
  <c r="T298" i="13"/>
  <c r="Z297" i="13"/>
  <c r="T297" i="13"/>
  <c r="V297" i="13" s="1"/>
  <c r="Z296" i="13"/>
  <c r="T296" i="13"/>
  <c r="V296" i="13" s="1"/>
  <c r="Z295" i="13"/>
  <c r="AB295" i="13" s="1"/>
  <c r="T295" i="13"/>
  <c r="U295" i="13" s="1"/>
  <c r="W295" i="13" s="1"/>
  <c r="Z294" i="13"/>
  <c r="AB294" i="13" s="1"/>
  <c r="T294" i="13"/>
  <c r="U294" i="13" s="1"/>
  <c r="W294" i="13" s="1"/>
  <c r="Z293" i="13"/>
  <c r="AB293" i="13" s="1"/>
  <c r="T293" i="13"/>
  <c r="U293" i="13" s="1"/>
  <c r="W293" i="13" s="1"/>
  <c r="Z292" i="13"/>
  <c r="T292" i="13"/>
  <c r="Z291" i="13"/>
  <c r="AA291" i="13" s="1"/>
  <c r="AC291" i="13" s="1"/>
  <c r="T291" i="13"/>
  <c r="Z290" i="13"/>
  <c r="T290" i="13"/>
  <c r="U290" i="13" s="1"/>
  <c r="W290" i="13" s="1"/>
  <c r="Z289" i="13"/>
  <c r="AB289" i="13" s="1"/>
  <c r="T289" i="13"/>
  <c r="V289" i="13" s="1"/>
  <c r="Z288" i="13"/>
  <c r="AA288" i="13" s="1"/>
  <c r="AC288" i="13" s="1"/>
  <c r="T288" i="13"/>
  <c r="V288" i="13" s="1"/>
  <c r="Z287" i="13"/>
  <c r="T287" i="13"/>
  <c r="U287" i="13" s="1"/>
  <c r="W287" i="13" s="1"/>
  <c r="Z286" i="13"/>
  <c r="AB286" i="13" s="1"/>
  <c r="T286" i="13"/>
  <c r="Z285" i="13"/>
  <c r="AB285" i="13" s="1"/>
  <c r="T285" i="13"/>
  <c r="V285" i="13" s="1"/>
  <c r="Z284" i="13"/>
  <c r="AB284" i="13" s="1"/>
  <c r="T284" i="13"/>
  <c r="V284" i="13" s="1"/>
  <c r="Z283" i="13"/>
  <c r="AB283" i="13" s="1"/>
  <c r="T283" i="13"/>
  <c r="U283" i="13" s="1"/>
  <c r="W283" i="13" s="1"/>
  <c r="Z282" i="13"/>
  <c r="AB282" i="13" s="1"/>
  <c r="T282" i="13"/>
  <c r="U282" i="13" s="1"/>
  <c r="W282" i="13" s="1"/>
  <c r="Z281" i="13"/>
  <c r="AA281" i="13" s="1"/>
  <c r="AC281" i="13" s="1"/>
  <c r="T281" i="13"/>
  <c r="V281" i="13" s="1"/>
  <c r="Z280" i="13"/>
  <c r="AB280" i="13" s="1"/>
  <c r="T280" i="13"/>
  <c r="U280" i="13" s="1"/>
  <c r="W280" i="13" s="1"/>
  <c r="Z279" i="13"/>
  <c r="AB279" i="13" s="1"/>
  <c r="T279" i="13"/>
  <c r="U279" i="13" s="1"/>
  <c r="W279" i="13" s="1"/>
  <c r="Z278" i="13"/>
  <c r="AB278" i="13" s="1"/>
  <c r="T278" i="13"/>
  <c r="V278" i="13" s="1"/>
  <c r="Z277" i="13"/>
  <c r="T277" i="13"/>
  <c r="V277" i="13" s="1"/>
  <c r="Z276" i="13"/>
  <c r="AB276" i="13" s="1"/>
  <c r="T276" i="13"/>
  <c r="Z275" i="13"/>
  <c r="AA275" i="13" s="1"/>
  <c r="AC275" i="13" s="1"/>
  <c r="T275" i="13"/>
  <c r="Z274" i="13"/>
  <c r="AA274" i="13" s="1"/>
  <c r="AC274" i="13" s="1"/>
  <c r="T274" i="13"/>
  <c r="V274" i="13" s="1"/>
  <c r="Z273" i="13"/>
  <c r="AB273" i="13" s="1"/>
  <c r="T273" i="13"/>
  <c r="U273" i="13" s="1"/>
  <c r="W273" i="13" s="1"/>
  <c r="Z272" i="13"/>
  <c r="AB272" i="13" s="1"/>
  <c r="T272" i="13"/>
  <c r="V272" i="13" s="1"/>
  <c r="Z271" i="13"/>
  <c r="T271" i="13"/>
  <c r="V271" i="13" s="1"/>
  <c r="Z270" i="13"/>
  <c r="AB270" i="13" s="1"/>
  <c r="T270" i="13"/>
  <c r="Z269" i="13"/>
  <c r="AB269" i="13" s="1"/>
  <c r="T269" i="13"/>
  <c r="V269" i="13" s="1"/>
  <c r="Z268" i="13"/>
  <c r="AA268" i="13" s="1"/>
  <c r="AC268" i="13" s="1"/>
  <c r="T268" i="13"/>
  <c r="U268" i="13" s="1"/>
  <c r="W268" i="13" s="1"/>
  <c r="Z267" i="13"/>
  <c r="AB267" i="13" s="1"/>
  <c r="T267" i="13"/>
  <c r="U267" i="13" s="1"/>
  <c r="W267" i="13" s="1"/>
  <c r="Z266" i="13"/>
  <c r="AB266" i="13" s="1"/>
  <c r="T266" i="13"/>
  <c r="V266" i="13" s="1"/>
  <c r="Z265" i="13"/>
  <c r="T265" i="13"/>
  <c r="Z264" i="13"/>
  <c r="AB264" i="13" s="1"/>
  <c r="T264" i="13"/>
  <c r="V264" i="13" s="1"/>
  <c r="Z263" i="13"/>
  <c r="AB263" i="13" s="1"/>
  <c r="T263" i="13"/>
  <c r="U263" i="13" s="1"/>
  <c r="W263" i="13" s="1"/>
  <c r="Z262" i="13"/>
  <c r="AA262" i="13" s="1"/>
  <c r="AC262" i="13" s="1"/>
  <c r="T262" i="13"/>
  <c r="U262" i="13" s="1"/>
  <c r="W262" i="13" s="1"/>
  <c r="Z261" i="13"/>
  <c r="T261" i="13"/>
  <c r="U261" i="13" s="1"/>
  <c r="W261" i="13" s="1"/>
  <c r="Z260" i="13"/>
  <c r="AB260" i="13" s="1"/>
  <c r="T260" i="13"/>
  <c r="Z259" i="13"/>
  <c r="AB259" i="13" s="1"/>
  <c r="T259" i="13"/>
  <c r="V259" i="13" s="1"/>
  <c r="Z258" i="13"/>
  <c r="AB258" i="13" s="1"/>
  <c r="T258" i="13"/>
  <c r="V258" i="13" s="1"/>
  <c r="Z257" i="13"/>
  <c r="AB257" i="13" s="1"/>
  <c r="T257" i="13"/>
  <c r="U257" i="13" s="1"/>
  <c r="W257" i="13" s="1"/>
  <c r="Z256" i="13"/>
  <c r="AA256" i="13" s="1"/>
  <c r="AC256" i="13" s="1"/>
  <c r="T256" i="13"/>
  <c r="V256" i="13" s="1"/>
  <c r="Z255" i="13"/>
  <c r="T255" i="13"/>
  <c r="U255" i="13" s="1"/>
  <c r="W255" i="13" s="1"/>
  <c r="Z254" i="13"/>
  <c r="T254" i="13"/>
  <c r="Z253" i="13"/>
  <c r="T253" i="13"/>
  <c r="Z252" i="13"/>
  <c r="T252" i="13"/>
  <c r="Z251" i="13"/>
  <c r="AB251" i="13" s="1"/>
  <c r="T251" i="13"/>
  <c r="V251" i="13" s="1"/>
  <c r="Z250" i="13"/>
  <c r="AA250" i="13" s="1"/>
  <c r="AC250" i="13" s="1"/>
  <c r="T250" i="13"/>
  <c r="V250" i="13" s="1"/>
  <c r="Z249" i="13"/>
  <c r="T249" i="13"/>
  <c r="U249" i="13" s="1"/>
  <c r="W249" i="13" s="1"/>
  <c r="Z248" i="13"/>
  <c r="AB248" i="13" s="1"/>
  <c r="T248" i="13"/>
  <c r="Z247" i="13"/>
  <c r="AA247" i="13" s="1"/>
  <c r="AC247" i="13" s="1"/>
  <c r="T247" i="13"/>
  <c r="V247" i="13" s="1"/>
  <c r="Z246" i="13"/>
  <c r="AB246" i="13" s="1"/>
  <c r="T246" i="13"/>
  <c r="Z245" i="13"/>
  <c r="AB245" i="13" s="1"/>
  <c r="T245" i="13"/>
  <c r="Z244" i="13"/>
  <c r="T244" i="13"/>
  <c r="V244" i="13" s="1"/>
  <c r="Z243" i="13"/>
  <c r="T243" i="13"/>
  <c r="U243" i="13" s="1"/>
  <c r="W243" i="13" s="1"/>
  <c r="Z242" i="13"/>
  <c r="AA242" i="13" s="1"/>
  <c r="AC242" i="13" s="1"/>
  <c r="T242" i="13"/>
  <c r="Z241" i="13"/>
  <c r="AA241" i="13" s="1"/>
  <c r="AC241" i="13" s="1"/>
  <c r="T241" i="13"/>
  <c r="V241" i="13" s="1"/>
  <c r="Z240" i="13"/>
  <c r="T240" i="13"/>
  <c r="V240" i="13" s="1"/>
  <c r="Z239" i="13"/>
  <c r="AA239" i="13" s="1"/>
  <c r="AC239" i="13" s="1"/>
  <c r="T239" i="13"/>
  <c r="V239" i="13" s="1"/>
  <c r="Z238" i="13"/>
  <c r="AA238" i="13" s="1"/>
  <c r="AC238" i="13" s="1"/>
  <c r="T238" i="13"/>
  <c r="V238" i="13" s="1"/>
  <c r="Z237" i="13"/>
  <c r="AB237" i="13" s="1"/>
  <c r="T237" i="13"/>
  <c r="U237" i="13" s="1"/>
  <c r="W237" i="13" s="1"/>
  <c r="Z236" i="13"/>
  <c r="T236" i="13"/>
  <c r="V236" i="13" s="1"/>
  <c r="Z235" i="13"/>
  <c r="AA235" i="13" s="1"/>
  <c r="AC235" i="13" s="1"/>
  <c r="T235" i="13"/>
  <c r="Z234" i="13"/>
  <c r="AB234" i="13" s="1"/>
  <c r="T234" i="13"/>
  <c r="V234" i="13" s="1"/>
  <c r="Z233" i="13"/>
  <c r="AA233" i="13" s="1"/>
  <c r="AC233" i="13" s="1"/>
  <c r="T233" i="13"/>
  <c r="V233" i="13" s="1"/>
  <c r="Z232" i="13"/>
  <c r="AA232" i="13" s="1"/>
  <c r="AC232" i="13" s="1"/>
  <c r="T232" i="13"/>
  <c r="V232" i="13" s="1"/>
  <c r="Z231" i="13"/>
  <c r="AB231" i="13" s="1"/>
  <c r="T231" i="13"/>
  <c r="Z230" i="13"/>
  <c r="AB230" i="13" s="1"/>
  <c r="T230" i="13"/>
  <c r="V230" i="13" s="1"/>
  <c r="Z229" i="13"/>
  <c r="T229" i="13"/>
  <c r="V229" i="13" s="1"/>
  <c r="Z228" i="13"/>
  <c r="AA228" i="13" s="1"/>
  <c r="AC228" i="13" s="1"/>
  <c r="T228" i="13"/>
  <c r="Z227" i="13"/>
  <c r="AA227" i="13" s="1"/>
  <c r="AC227" i="13" s="1"/>
  <c r="T227" i="13"/>
  <c r="Z226" i="13"/>
  <c r="T226" i="13"/>
  <c r="V226" i="13" s="1"/>
  <c r="Z225" i="13"/>
  <c r="T225" i="13"/>
  <c r="U225" i="13" s="1"/>
  <c r="W225" i="13" s="1"/>
  <c r="Z224" i="13"/>
  <c r="AB224" i="13" s="1"/>
  <c r="T224" i="13"/>
  <c r="Z223" i="13"/>
  <c r="AB223" i="13" s="1"/>
  <c r="T223" i="13"/>
  <c r="U223" i="13" s="1"/>
  <c r="W223" i="13" s="1"/>
  <c r="Z222" i="13"/>
  <c r="T222" i="13"/>
  <c r="V222" i="13" s="1"/>
  <c r="Z221" i="13"/>
  <c r="AB221" i="13" s="1"/>
  <c r="T221" i="13"/>
  <c r="V221" i="13" s="1"/>
  <c r="Z220" i="13"/>
  <c r="AA220" i="13" s="1"/>
  <c r="AC220" i="13" s="1"/>
  <c r="T220" i="13"/>
  <c r="V220" i="13" s="1"/>
  <c r="Z219" i="13"/>
  <c r="AB219" i="13" s="1"/>
  <c r="T219" i="13"/>
  <c r="U219" i="13" s="1"/>
  <c r="W219" i="13" s="1"/>
  <c r="Z218" i="13"/>
  <c r="AA218" i="13" s="1"/>
  <c r="AC218" i="13" s="1"/>
  <c r="T218" i="13"/>
  <c r="Z217" i="13"/>
  <c r="AB217" i="13" s="1"/>
  <c r="T217" i="13"/>
  <c r="Z216" i="13"/>
  <c r="AB216" i="13" s="1"/>
  <c r="T216" i="13"/>
  <c r="U216" i="13" s="1"/>
  <c r="W216" i="13" s="1"/>
  <c r="Z215" i="13"/>
  <c r="AB215" i="13" s="1"/>
  <c r="T215" i="13"/>
  <c r="U215" i="13" s="1"/>
  <c r="W215" i="13" s="1"/>
  <c r="Z214" i="13"/>
  <c r="AA214" i="13" s="1"/>
  <c r="AC214" i="13" s="1"/>
  <c r="T214" i="13"/>
  <c r="V214" i="13" s="1"/>
  <c r="Z213" i="13"/>
  <c r="AB213" i="13" s="1"/>
  <c r="T213" i="13"/>
  <c r="Z212" i="13"/>
  <c r="AA212" i="13" s="1"/>
  <c r="AC212" i="13" s="1"/>
  <c r="T212" i="13"/>
  <c r="V212" i="13" s="1"/>
  <c r="Z211" i="13"/>
  <c r="AA211" i="13" s="1"/>
  <c r="AC211" i="13" s="1"/>
  <c r="T211" i="13"/>
  <c r="V211" i="13" s="1"/>
  <c r="Z210" i="13"/>
  <c r="AB210" i="13" s="1"/>
  <c r="T210" i="13"/>
  <c r="Z209" i="13"/>
  <c r="AB209" i="13" s="1"/>
  <c r="T209" i="13"/>
  <c r="Z208" i="13"/>
  <c r="T208" i="13"/>
  <c r="V208" i="13" s="1"/>
  <c r="Z207" i="13"/>
  <c r="T207" i="13"/>
  <c r="U207" i="13" s="1"/>
  <c r="W207" i="13" s="1"/>
  <c r="Z206" i="13"/>
  <c r="AA206" i="13" s="1"/>
  <c r="AC206" i="13" s="1"/>
  <c r="T206" i="13"/>
  <c r="Z205" i="13"/>
  <c r="AA205" i="13" s="1"/>
  <c r="AC205" i="13" s="1"/>
  <c r="T205" i="13"/>
  <c r="V205" i="13" s="1"/>
  <c r="Z204" i="13"/>
  <c r="AA204" i="13" s="1"/>
  <c r="AC204" i="13" s="1"/>
  <c r="T204" i="13"/>
  <c r="V204" i="13" s="1"/>
  <c r="Z203" i="13"/>
  <c r="AA203" i="13" s="1"/>
  <c r="AC203" i="13" s="1"/>
  <c r="T203" i="13"/>
  <c r="U203" i="13" s="1"/>
  <c r="W203" i="13" s="1"/>
  <c r="Z202" i="13"/>
  <c r="AA202" i="13" s="1"/>
  <c r="AC202" i="13" s="1"/>
  <c r="T202" i="13"/>
  <c r="V202" i="13" s="1"/>
  <c r="Z201" i="13"/>
  <c r="T201" i="13"/>
  <c r="U201" i="13" s="1"/>
  <c r="W201" i="13" s="1"/>
  <c r="Z200" i="13"/>
  <c r="T200" i="13"/>
  <c r="Z199" i="13"/>
  <c r="AB199" i="13" s="1"/>
  <c r="T199" i="13"/>
  <c r="V199" i="13" s="1"/>
  <c r="Z198" i="13"/>
  <c r="AA198" i="13" s="1"/>
  <c r="AC198" i="13" s="1"/>
  <c r="T198" i="13"/>
  <c r="U198" i="13" s="1"/>
  <c r="W198" i="13" s="1"/>
  <c r="Z197" i="13"/>
  <c r="AA197" i="13" s="1"/>
  <c r="AC197" i="13" s="1"/>
  <c r="T197" i="13"/>
  <c r="U197" i="13" s="1"/>
  <c r="W197" i="13" s="1"/>
  <c r="Z196" i="13"/>
  <c r="AA196" i="13" s="1"/>
  <c r="AC196" i="13" s="1"/>
  <c r="T196" i="13"/>
  <c r="V196" i="13" s="1"/>
  <c r="Z195" i="13"/>
  <c r="T195" i="13"/>
  <c r="U195" i="13" s="1"/>
  <c r="W195" i="13" s="1"/>
  <c r="Z194" i="13"/>
  <c r="AB194" i="13" s="1"/>
  <c r="T194" i="13"/>
  <c r="Z193" i="13"/>
  <c r="AA193" i="13" s="1"/>
  <c r="AC193" i="13" s="1"/>
  <c r="T193" i="13"/>
  <c r="V193" i="13" s="1"/>
  <c r="Z192" i="13"/>
  <c r="AA192" i="13" s="1"/>
  <c r="AC192" i="13" s="1"/>
  <c r="T192" i="13"/>
  <c r="U192" i="13" s="1"/>
  <c r="W192" i="13" s="1"/>
  <c r="Z191" i="13"/>
  <c r="AA191" i="13" s="1"/>
  <c r="AC191" i="13" s="1"/>
  <c r="T191" i="13"/>
  <c r="U191" i="13" s="1"/>
  <c r="W191" i="13" s="1"/>
  <c r="Z190" i="13"/>
  <c r="AA190" i="13" s="1"/>
  <c r="AC190" i="13" s="1"/>
  <c r="T190" i="13"/>
  <c r="V190" i="13" s="1"/>
  <c r="Z189" i="13"/>
  <c r="T189" i="13"/>
  <c r="U189" i="13" s="1"/>
  <c r="W189" i="13" s="1"/>
  <c r="Z188" i="13"/>
  <c r="AB188" i="13" s="1"/>
  <c r="T188" i="13"/>
  <c r="Z187" i="13"/>
  <c r="AB187" i="13" s="1"/>
  <c r="T187" i="13"/>
  <c r="V187" i="13" s="1"/>
  <c r="Z186" i="13"/>
  <c r="T186" i="13"/>
  <c r="U186" i="13" s="1"/>
  <c r="W186" i="13" s="1"/>
  <c r="Z185" i="13"/>
  <c r="AA185" i="13" s="1"/>
  <c r="AC185" i="13" s="1"/>
  <c r="T185" i="13"/>
  <c r="Z184" i="13"/>
  <c r="AA184" i="13" s="1"/>
  <c r="AC184" i="13" s="1"/>
  <c r="T184" i="13"/>
  <c r="V184" i="13" s="1"/>
  <c r="Z183" i="13"/>
  <c r="T183" i="13"/>
  <c r="U183" i="13" s="1"/>
  <c r="W183" i="13" s="1"/>
  <c r="Z182" i="13"/>
  <c r="AB182" i="13" s="1"/>
  <c r="T182" i="13"/>
  <c r="Z181" i="13"/>
  <c r="AB181" i="13" s="1"/>
  <c r="T181" i="13"/>
  <c r="V181" i="13" s="1"/>
  <c r="Z180" i="13"/>
  <c r="AB180" i="13" s="1"/>
  <c r="T180" i="13"/>
  <c r="V180" i="13" s="1"/>
  <c r="Z179" i="13"/>
  <c r="AB179" i="13" s="1"/>
  <c r="T179" i="13"/>
  <c r="V179" i="13" s="1"/>
  <c r="Z178" i="13"/>
  <c r="AA178" i="13" s="1"/>
  <c r="AC178" i="13" s="1"/>
  <c r="T178" i="13"/>
  <c r="V178" i="13" s="1"/>
  <c r="Z177" i="13"/>
  <c r="T177" i="13"/>
  <c r="U177" i="13" s="1"/>
  <c r="W177" i="13" s="1"/>
  <c r="Z176" i="13"/>
  <c r="AB176" i="13" s="1"/>
  <c r="T176" i="13"/>
  <c r="V176" i="13" s="1"/>
  <c r="Z175" i="13"/>
  <c r="AA175" i="13" s="1"/>
  <c r="AC175" i="13" s="1"/>
  <c r="T175" i="13"/>
  <c r="Z174" i="13"/>
  <c r="AB174" i="13" s="1"/>
  <c r="T174" i="13"/>
  <c r="U174" i="13" s="1"/>
  <c r="W174" i="13" s="1"/>
  <c r="Z173" i="13"/>
  <c r="AB173" i="13" s="1"/>
  <c r="T173" i="13"/>
  <c r="U173" i="13" s="1"/>
  <c r="W173" i="13" s="1"/>
  <c r="Z172" i="13"/>
  <c r="AA172" i="13" s="1"/>
  <c r="AC172" i="13" s="1"/>
  <c r="T172" i="13"/>
  <c r="V172" i="13" s="1"/>
  <c r="Z171" i="13"/>
  <c r="AB171" i="13" s="1"/>
  <c r="T171" i="13"/>
  <c r="U171" i="13" s="1"/>
  <c r="W171" i="13" s="1"/>
  <c r="Z170" i="13"/>
  <c r="AB170" i="13" s="1"/>
  <c r="T170" i="13"/>
  <c r="V170" i="13" s="1"/>
  <c r="Z169" i="13"/>
  <c r="AA169" i="13" s="1"/>
  <c r="AC169" i="13" s="1"/>
  <c r="T169" i="13"/>
  <c r="V169" i="13" s="1"/>
  <c r="Z168" i="13"/>
  <c r="AB168" i="13" s="1"/>
  <c r="T168" i="13"/>
  <c r="U168" i="13" s="1"/>
  <c r="W168" i="13" s="1"/>
  <c r="Z167" i="13"/>
  <c r="AB167" i="13" s="1"/>
  <c r="T167" i="13"/>
  <c r="V167" i="13" s="1"/>
  <c r="Z166" i="13"/>
  <c r="AA166" i="13" s="1"/>
  <c r="AC166" i="13" s="1"/>
  <c r="T166" i="13"/>
  <c r="V166" i="13" s="1"/>
  <c r="Z165" i="13"/>
  <c r="T165" i="13"/>
  <c r="U165" i="13" s="1"/>
  <c r="W165" i="13" s="1"/>
  <c r="Z164" i="13"/>
  <c r="AB164" i="13" s="1"/>
  <c r="T164" i="13"/>
  <c r="Z163" i="13"/>
  <c r="AB163" i="13" s="1"/>
  <c r="T163" i="13"/>
  <c r="V163" i="13" s="1"/>
  <c r="Z162" i="13"/>
  <c r="AB162" i="13" s="1"/>
  <c r="T162" i="13"/>
  <c r="V162" i="13" s="1"/>
  <c r="Z161" i="13"/>
  <c r="AA161" i="13" s="1"/>
  <c r="AC161" i="13" s="1"/>
  <c r="T161" i="13"/>
  <c r="V161" i="13" s="1"/>
  <c r="Z160" i="13"/>
  <c r="AA160" i="13" s="1"/>
  <c r="AC160" i="13" s="1"/>
  <c r="T160" i="13"/>
  <c r="U160" i="13" s="1"/>
  <c r="W160" i="13" s="1"/>
  <c r="Z159" i="13"/>
  <c r="T159" i="13"/>
  <c r="U159" i="13" s="1"/>
  <c r="W159" i="13" s="1"/>
  <c r="Z158" i="13"/>
  <c r="AB158" i="13" s="1"/>
  <c r="T158" i="13"/>
  <c r="Z157" i="13"/>
  <c r="AB157" i="13" s="1"/>
  <c r="T157" i="13"/>
  <c r="V157" i="13" s="1"/>
  <c r="Z156" i="13"/>
  <c r="AA156" i="13" s="1"/>
  <c r="AC156" i="13" s="1"/>
  <c r="T156" i="13"/>
  <c r="V156" i="13" s="1"/>
  <c r="Z155" i="13"/>
  <c r="AB155" i="13" s="1"/>
  <c r="T155" i="13"/>
  <c r="U155" i="13" s="1"/>
  <c r="W155" i="13" s="1"/>
  <c r="Z154" i="13"/>
  <c r="AA154" i="13" s="1"/>
  <c r="AC154" i="13" s="1"/>
  <c r="T154" i="13"/>
  <c r="V154" i="13" s="1"/>
  <c r="Z153" i="13"/>
  <c r="T153" i="13"/>
  <c r="U153" i="13" s="1"/>
  <c r="W153" i="13" s="1"/>
  <c r="Z152" i="13"/>
  <c r="AB152" i="13" s="1"/>
  <c r="T152" i="13"/>
  <c r="Z151" i="13"/>
  <c r="AA151" i="13" s="1"/>
  <c r="AC151" i="13" s="1"/>
  <c r="T151" i="13"/>
  <c r="V151" i="13" s="1"/>
  <c r="Z150" i="13"/>
  <c r="AB150" i="13" s="1"/>
  <c r="T150" i="13"/>
  <c r="V150" i="13" s="1"/>
  <c r="Z149" i="13"/>
  <c r="AB149" i="13" s="1"/>
  <c r="T149" i="13"/>
  <c r="V149" i="13" s="1"/>
  <c r="Z148" i="13"/>
  <c r="AA148" i="13" s="1"/>
  <c r="AC148" i="13" s="1"/>
  <c r="T148" i="13"/>
  <c r="U148" i="13" s="1"/>
  <c r="W148" i="13" s="1"/>
  <c r="Z147" i="13"/>
  <c r="T147" i="13"/>
  <c r="U147" i="13" s="1"/>
  <c r="W147" i="13" s="1"/>
  <c r="Z146" i="13"/>
  <c r="AB146" i="13" s="1"/>
  <c r="T146" i="13"/>
  <c r="Z145" i="13"/>
  <c r="AA145" i="13" s="1"/>
  <c r="AC145" i="13" s="1"/>
  <c r="T145" i="13"/>
  <c r="V145" i="13" s="1"/>
  <c r="Z144" i="13"/>
  <c r="AA144" i="13" s="1"/>
  <c r="AC144" i="13" s="1"/>
  <c r="T144" i="13"/>
  <c r="V144" i="13" s="1"/>
  <c r="Z143" i="13"/>
  <c r="AA143" i="13" s="1"/>
  <c r="AC143" i="13" s="1"/>
  <c r="T143" i="13"/>
  <c r="V143" i="13" s="1"/>
  <c r="Z142" i="13"/>
  <c r="AA142" i="13" s="1"/>
  <c r="AC142" i="13" s="1"/>
  <c r="T142" i="13"/>
  <c r="V142" i="13" s="1"/>
  <c r="Z141" i="13"/>
  <c r="T141" i="13"/>
  <c r="U141" i="13" s="1"/>
  <c r="W141" i="13" s="1"/>
  <c r="Z140" i="13"/>
  <c r="AB140" i="13" s="1"/>
  <c r="T140" i="13"/>
  <c r="Z139" i="13"/>
  <c r="AB139" i="13" s="1"/>
  <c r="T139" i="13"/>
  <c r="V139" i="13" s="1"/>
  <c r="Z138" i="13"/>
  <c r="AB138" i="13" s="1"/>
  <c r="T138" i="13"/>
  <c r="U138" i="13" s="1"/>
  <c r="W138" i="13" s="1"/>
  <c r="Z137" i="13"/>
  <c r="AA137" i="13" s="1"/>
  <c r="AC137" i="13" s="1"/>
  <c r="T137" i="13"/>
  <c r="V137" i="13" s="1"/>
  <c r="Z136" i="13"/>
  <c r="AA136" i="13" s="1"/>
  <c r="AC136" i="13" s="1"/>
  <c r="T136" i="13"/>
  <c r="V136" i="13" s="1"/>
  <c r="Z135" i="13"/>
  <c r="T135" i="13"/>
  <c r="U135" i="13" s="1"/>
  <c r="W135" i="13" s="1"/>
  <c r="Z134" i="13"/>
  <c r="AB134" i="13" s="1"/>
  <c r="T134" i="13"/>
  <c r="Z133" i="13"/>
  <c r="AB133" i="13" s="1"/>
  <c r="T133" i="13"/>
  <c r="V133" i="13" s="1"/>
  <c r="Z132" i="13"/>
  <c r="AB132" i="13" s="1"/>
  <c r="T132" i="13"/>
  <c r="V132" i="13" s="1"/>
  <c r="Z131" i="13"/>
  <c r="AB131" i="13" s="1"/>
  <c r="T131" i="13"/>
  <c r="V131" i="13" s="1"/>
  <c r="Z130" i="13"/>
  <c r="AA130" i="13" s="1"/>
  <c r="AC130" i="13" s="1"/>
  <c r="T130" i="13"/>
  <c r="V130" i="13" s="1"/>
  <c r="Z129" i="13"/>
  <c r="T129" i="13"/>
  <c r="U129" i="13" s="1"/>
  <c r="W129" i="13" s="1"/>
  <c r="Z128" i="13"/>
  <c r="AB128" i="13" s="1"/>
  <c r="T128" i="13"/>
  <c r="Z127" i="13"/>
  <c r="AB127" i="13" s="1"/>
  <c r="T127" i="13"/>
  <c r="V127" i="13" s="1"/>
  <c r="Z126" i="13"/>
  <c r="AB126" i="13" s="1"/>
  <c r="T126" i="13"/>
  <c r="V126" i="13" s="1"/>
  <c r="Z125" i="13"/>
  <c r="AA125" i="13" s="1"/>
  <c r="AC125" i="13" s="1"/>
  <c r="T125" i="13"/>
  <c r="V125" i="13" s="1"/>
  <c r="Z124" i="13"/>
  <c r="AA124" i="13" s="1"/>
  <c r="AC124" i="13" s="1"/>
  <c r="T124" i="13"/>
  <c r="U124" i="13" s="1"/>
  <c r="W124" i="13" s="1"/>
  <c r="Z123" i="13"/>
  <c r="T123" i="13"/>
  <c r="U123" i="13" s="1"/>
  <c r="W123" i="13" s="1"/>
  <c r="Z122" i="13"/>
  <c r="AB122" i="13" s="1"/>
  <c r="T122" i="13"/>
  <c r="Z121" i="13"/>
  <c r="AB121" i="13" s="1"/>
  <c r="T121" i="13"/>
  <c r="V121" i="13" s="1"/>
  <c r="Z120" i="13"/>
  <c r="AA120" i="13" s="1"/>
  <c r="AC120" i="13" s="1"/>
  <c r="T120" i="13"/>
  <c r="V120" i="13" s="1"/>
  <c r="Z119" i="13"/>
  <c r="AB119" i="13" s="1"/>
  <c r="T119" i="13"/>
  <c r="U119" i="13" s="1"/>
  <c r="W119" i="13" s="1"/>
  <c r="Z118" i="13"/>
  <c r="AA118" i="13" s="1"/>
  <c r="AC118" i="13" s="1"/>
  <c r="T118" i="13"/>
  <c r="V118" i="13" s="1"/>
  <c r="Z117" i="13"/>
  <c r="T117" i="13"/>
  <c r="U117" i="13" s="1"/>
  <c r="W117" i="13" s="1"/>
  <c r="Z116" i="13"/>
  <c r="AB116" i="13" s="1"/>
  <c r="T116" i="13"/>
  <c r="Z115" i="13"/>
  <c r="AB115" i="13" s="1"/>
  <c r="T115" i="13"/>
  <c r="V115" i="13" s="1"/>
  <c r="Z114" i="13"/>
  <c r="AB114" i="13" s="1"/>
  <c r="T114" i="13"/>
  <c r="V114" i="13" s="1"/>
  <c r="Z113" i="13"/>
  <c r="AB113" i="13" s="1"/>
  <c r="T113" i="13"/>
  <c r="V113" i="13" s="1"/>
  <c r="Z112" i="13"/>
  <c r="AA112" i="13" s="1"/>
  <c r="AC112" i="13" s="1"/>
  <c r="T112" i="13"/>
  <c r="V112" i="13" s="1"/>
  <c r="Z111" i="13"/>
  <c r="T111" i="13"/>
  <c r="V111" i="13" s="1"/>
  <c r="Z110" i="13"/>
  <c r="AB110" i="13" s="1"/>
  <c r="T110" i="13"/>
  <c r="Z109" i="13"/>
  <c r="AA109" i="13" s="1"/>
  <c r="AC109" i="13" s="1"/>
  <c r="T109" i="13"/>
  <c r="V109" i="13" s="1"/>
  <c r="Z108" i="13"/>
  <c r="AA108" i="13" s="1"/>
  <c r="AC108" i="13" s="1"/>
  <c r="T108" i="13"/>
  <c r="V108" i="13" s="1"/>
  <c r="Z107" i="13"/>
  <c r="AB107" i="13" s="1"/>
  <c r="T107" i="13"/>
  <c r="U107" i="13" s="1"/>
  <c r="W107" i="13" s="1"/>
  <c r="Z106" i="13"/>
  <c r="AB106" i="13" s="1"/>
  <c r="T106" i="13"/>
  <c r="V106" i="13" s="1"/>
  <c r="Z105" i="13"/>
  <c r="T105" i="13"/>
  <c r="V105" i="13" s="1"/>
  <c r="Z104" i="13"/>
  <c r="AB104" i="13" s="1"/>
  <c r="T104" i="13"/>
  <c r="Z103" i="13"/>
  <c r="AA103" i="13" s="1"/>
  <c r="AC103" i="13" s="1"/>
  <c r="T103" i="13"/>
  <c r="V103" i="13" s="1"/>
  <c r="Z102" i="13"/>
  <c r="AB102" i="13" s="1"/>
  <c r="T102" i="13"/>
  <c r="V102" i="13" s="1"/>
  <c r="Z101" i="13"/>
  <c r="AB101" i="13" s="1"/>
  <c r="T101" i="13"/>
  <c r="V101" i="13" s="1"/>
  <c r="Z100" i="13"/>
  <c r="AB100" i="13" s="1"/>
  <c r="T100" i="13"/>
  <c r="V100" i="13" s="1"/>
  <c r="Z99" i="13"/>
  <c r="T99" i="13"/>
  <c r="V99" i="13" s="1"/>
  <c r="Z98" i="13"/>
  <c r="AB98" i="13" s="1"/>
  <c r="T98" i="13"/>
  <c r="Z97" i="13"/>
  <c r="AA97" i="13" s="1"/>
  <c r="AC97" i="13" s="1"/>
  <c r="T97" i="13"/>
  <c r="V97" i="13" s="1"/>
  <c r="Z96" i="13"/>
  <c r="AB96" i="13" s="1"/>
  <c r="T96" i="13"/>
  <c r="V96" i="13" s="1"/>
  <c r="Z95" i="13"/>
  <c r="AA95" i="13" s="1"/>
  <c r="AC95" i="13" s="1"/>
  <c r="T95" i="13"/>
  <c r="V95" i="13" s="1"/>
  <c r="Z94" i="13"/>
  <c r="AB94" i="13" s="1"/>
  <c r="T94" i="13"/>
  <c r="V94" i="13" s="1"/>
  <c r="Z93" i="13"/>
  <c r="T93" i="13"/>
  <c r="V93" i="13" s="1"/>
  <c r="Z92" i="13"/>
  <c r="AB92" i="13" s="1"/>
  <c r="T92" i="13"/>
  <c r="Z91" i="13"/>
  <c r="AA91" i="13" s="1"/>
  <c r="AC91" i="13" s="1"/>
  <c r="T91" i="13"/>
  <c r="V91" i="13" s="1"/>
  <c r="Z90" i="13"/>
  <c r="AB90" i="13" s="1"/>
  <c r="T90" i="13"/>
  <c r="V90" i="13" s="1"/>
  <c r="Z89" i="13"/>
  <c r="AA89" i="13" s="1"/>
  <c r="AC89" i="13" s="1"/>
  <c r="T89" i="13"/>
  <c r="U89" i="13" s="1"/>
  <c r="W89" i="13" s="1"/>
  <c r="Z88" i="13"/>
  <c r="AB88" i="13" s="1"/>
  <c r="T88" i="13"/>
  <c r="U88" i="13" s="1"/>
  <c r="W88" i="13" s="1"/>
  <c r="Z87" i="13"/>
  <c r="T87" i="13"/>
  <c r="V87" i="13" s="1"/>
  <c r="Z86" i="13"/>
  <c r="AB86" i="13" s="1"/>
  <c r="T86" i="13"/>
  <c r="Z85" i="13"/>
  <c r="AB85" i="13" s="1"/>
  <c r="T85" i="13"/>
  <c r="V85" i="13" s="1"/>
  <c r="Z84" i="13"/>
  <c r="AB84" i="13" s="1"/>
  <c r="T84" i="13"/>
  <c r="U84" i="13" s="1"/>
  <c r="W84" i="13" s="1"/>
  <c r="Z83" i="13"/>
  <c r="AB83" i="13" s="1"/>
  <c r="T83" i="13"/>
  <c r="V83" i="13" s="1"/>
  <c r="Z82" i="13"/>
  <c r="AB82" i="13" s="1"/>
  <c r="T82" i="13"/>
  <c r="V82" i="13" s="1"/>
  <c r="Z81" i="13"/>
  <c r="T81" i="13"/>
  <c r="V81" i="13" s="1"/>
  <c r="Z80" i="13"/>
  <c r="AB80" i="13" s="1"/>
  <c r="T80" i="13"/>
  <c r="Z79" i="13"/>
  <c r="AB79" i="13" s="1"/>
  <c r="T79" i="13"/>
  <c r="V79" i="13" s="1"/>
  <c r="Z78" i="13"/>
  <c r="AB78" i="13" s="1"/>
  <c r="T78" i="13"/>
  <c r="V78" i="13" s="1"/>
  <c r="Z77" i="13"/>
  <c r="AB77" i="13" s="1"/>
  <c r="T77" i="13"/>
  <c r="U77" i="13" s="1"/>
  <c r="W77" i="13" s="1"/>
  <c r="Z76" i="13"/>
  <c r="AB76" i="13" s="1"/>
  <c r="T76" i="13"/>
  <c r="V76" i="13" s="1"/>
  <c r="Z75" i="13"/>
  <c r="T75" i="13"/>
  <c r="V75" i="13" s="1"/>
  <c r="Z74" i="13"/>
  <c r="AB74" i="13" s="1"/>
  <c r="T74" i="13"/>
  <c r="Z73" i="13"/>
  <c r="AB73" i="13" s="1"/>
  <c r="T73" i="13"/>
  <c r="V73" i="13" s="1"/>
  <c r="Z72" i="13"/>
  <c r="AA72" i="13" s="1"/>
  <c r="AC72" i="13" s="1"/>
  <c r="T72" i="13"/>
  <c r="U72" i="13" s="1"/>
  <c r="W72" i="13" s="1"/>
  <c r="Z71" i="13"/>
  <c r="AB71" i="13" s="1"/>
  <c r="T71" i="13"/>
  <c r="U71" i="13" s="1"/>
  <c r="W71" i="13" s="1"/>
  <c r="Z70" i="13"/>
  <c r="AA70" i="13" s="1"/>
  <c r="AC70" i="13" s="1"/>
  <c r="T70" i="13"/>
  <c r="U70" i="13" s="1"/>
  <c r="W70" i="13" s="1"/>
  <c r="Z69" i="13"/>
  <c r="AB69" i="13" s="1"/>
  <c r="T69" i="13"/>
  <c r="U69" i="13" s="1"/>
  <c r="W69" i="13" s="1"/>
  <c r="Z68" i="13"/>
  <c r="AA68" i="13" s="1"/>
  <c r="AC68" i="13" s="1"/>
  <c r="T68" i="13"/>
  <c r="V68" i="13" s="1"/>
  <c r="Z67" i="13"/>
  <c r="AB67" i="13" s="1"/>
  <c r="T67" i="13"/>
  <c r="U67" i="13" s="1"/>
  <c r="W67" i="13" s="1"/>
  <c r="Z66" i="13"/>
  <c r="AB66" i="13" s="1"/>
  <c r="T66" i="13"/>
  <c r="V66" i="13" s="1"/>
  <c r="Z65" i="13"/>
  <c r="AB65" i="13" s="1"/>
  <c r="T65" i="13"/>
  <c r="V65" i="13" s="1"/>
  <c r="Z64" i="13"/>
  <c r="AA64" i="13" s="1"/>
  <c r="AC64" i="13" s="1"/>
  <c r="T64" i="13"/>
  <c r="V64" i="13" s="1"/>
  <c r="Z63" i="13"/>
  <c r="AB63" i="13" s="1"/>
  <c r="T63" i="13"/>
  <c r="U63" i="13" s="1"/>
  <c r="W63" i="13" s="1"/>
  <c r="Z62" i="13"/>
  <c r="AA62" i="13" s="1"/>
  <c r="AC62" i="13" s="1"/>
  <c r="T62" i="13"/>
  <c r="V62" i="13" s="1"/>
  <c r="Z57" i="13"/>
  <c r="AB57" i="13" s="1"/>
  <c r="T57" i="13"/>
  <c r="V57" i="13" s="1"/>
  <c r="Z56" i="13"/>
  <c r="AB56" i="13" s="1"/>
  <c r="T56" i="13"/>
  <c r="V56" i="13" s="1"/>
  <c r="Z55" i="13"/>
  <c r="AA55" i="13" s="1"/>
  <c r="AC55" i="13" s="1"/>
  <c r="T55" i="13"/>
  <c r="U55" i="13" s="1"/>
  <c r="W55" i="13" s="1"/>
  <c r="Z54" i="13"/>
  <c r="AB54" i="13" s="1"/>
  <c r="T54" i="13"/>
  <c r="U54" i="13" s="1"/>
  <c r="W54" i="13" s="1"/>
  <c r="Z53" i="13"/>
  <c r="AB53" i="13" s="1"/>
  <c r="T53" i="13"/>
  <c r="V53" i="13" s="1"/>
  <c r="Z52" i="13"/>
  <c r="AA52" i="13" s="1"/>
  <c r="AC52" i="13" s="1"/>
  <c r="T52" i="13"/>
  <c r="V52" i="13" s="1"/>
  <c r="Z51" i="13"/>
  <c r="AB51" i="13" s="1"/>
  <c r="T51" i="13"/>
  <c r="V51" i="13" s="1"/>
  <c r="Z50" i="13"/>
  <c r="AB50" i="13" s="1"/>
  <c r="T50" i="13"/>
  <c r="V50" i="13" s="1"/>
  <c r="Z49" i="13"/>
  <c r="AA49" i="13" s="1"/>
  <c r="AC49" i="13" s="1"/>
  <c r="T49" i="13"/>
  <c r="V49" i="13" s="1"/>
  <c r="Z48" i="13"/>
  <c r="AB48" i="13" s="1"/>
  <c r="T48" i="13"/>
  <c r="U48" i="13" s="1"/>
  <c r="W48" i="13" s="1"/>
  <c r="Z47" i="13"/>
  <c r="AA47" i="13" s="1"/>
  <c r="AC47" i="13" s="1"/>
  <c r="T47" i="13"/>
  <c r="V47" i="13" s="1"/>
  <c r="Z46" i="13"/>
  <c r="AB46" i="13" s="1"/>
  <c r="T46" i="13"/>
  <c r="V46" i="13" s="1"/>
  <c r="Z45" i="13"/>
  <c r="AA45" i="13" s="1"/>
  <c r="AC45" i="13" s="1"/>
  <c r="T45" i="13"/>
  <c r="V45" i="13" s="1"/>
  <c r="Z44" i="13"/>
  <c r="AB44" i="13" s="1"/>
  <c r="T44" i="13"/>
  <c r="V44" i="13" s="1"/>
  <c r="Z43" i="13"/>
  <c r="AA43" i="13" s="1"/>
  <c r="AC43" i="13" s="1"/>
  <c r="T43" i="13"/>
  <c r="U43" i="13" s="1"/>
  <c r="W43" i="13" s="1"/>
  <c r="Z42" i="13"/>
  <c r="AB42" i="13" s="1"/>
  <c r="T42" i="13"/>
  <c r="U42" i="13" s="1"/>
  <c r="W42" i="13" s="1"/>
  <c r="Z41" i="13"/>
  <c r="AB41" i="13" s="1"/>
  <c r="T41" i="13"/>
  <c r="V41" i="13" s="1"/>
  <c r="Z40" i="13"/>
  <c r="AB40" i="13" s="1"/>
  <c r="T40" i="13"/>
  <c r="U40" i="13" s="1"/>
  <c r="W40" i="13" s="1"/>
  <c r="Z39" i="13"/>
  <c r="AB39" i="13" s="1"/>
  <c r="T39" i="13"/>
  <c r="V39" i="13" s="1"/>
  <c r="Z38" i="13"/>
  <c r="AA38" i="13" s="1"/>
  <c r="AC38" i="13" s="1"/>
  <c r="T38" i="13"/>
  <c r="V38" i="13" s="1"/>
  <c r="Z36" i="13"/>
  <c r="AA36" i="13" s="1"/>
  <c r="AC36" i="13" s="1"/>
  <c r="T36" i="13"/>
  <c r="U36" i="13" s="1"/>
  <c r="W36" i="13" s="1"/>
  <c r="Z35" i="13"/>
  <c r="AB35" i="13" s="1"/>
  <c r="T35" i="13"/>
  <c r="U35" i="13" s="1"/>
  <c r="W35" i="13" s="1"/>
  <c r="Z34" i="13"/>
  <c r="AB34" i="13" s="1"/>
  <c r="T34" i="13"/>
  <c r="V34" i="13" s="1"/>
  <c r="Z33" i="13"/>
  <c r="AB33" i="13" s="1"/>
  <c r="T33" i="13"/>
  <c r="V33" i="13" s="1"/>
  <c r="Z32" i="13"/>
  <c r="AA32" i="13" s="1"/>
  <c r="AC32" i="13" s="1"/>
  <c r="T32" i="13"/>
  <c r="V32" i="13" s="1"/>
  <c r="Z31" i="13"/>
  <c r="AB31" i="13" s="1"/>
  <c r="T31" i="13"/>
  <c r="U31" i="13" s="1"/>
  <c r="W31" i="13" s="1"/>
  <c r="Z30" i="13"/>
  <c r="AA30" i="13" s="1"/>
  <c r="AC30" i="13" s="1"/>
  <c r="T30" i="13"/>
  <c r="V30" i="13" s="1"/>
  <c r="Z29" i="13"/>
  <c r="AB29" i="13" s="1"/>
  <c r="T29" i="13"/>
  <c r="U29" i="13" s="1"/>
  <c r="W29" i="13" s="1"/>
  <c r="Z28" i="13"/>
  <c r="AB28" i="13" s="1"/>
  <c r="T28" i="13"/>
  <c r="V28" i="13" s="1"/>
  <c r="Z27" i="13"/>
  <c r="AB27" i="13" s="1"/>
  <c r="T27" i="13"/>
  <c r="V27" i="13" s="1"/>
  <c r="Z26" i="13"/>
  <c r="AA26" i="13" s="1"/>
  <c r="AC26" i="13" s="1"/>
  <c r="T26" i="13"/>
  <c r="V26" i="13" s="1"/>
  <c r="Z25" i="13"/>
  <c r="AB25" i="13" s="1"/>
  <c r="T25" i="13"/>
  <c r="U25" i="13" s="1"/>
  <c r="W25" i="13" s="1"/>
  <c r="Z24" i="13"/>
  <c r="AA24" i="13" s="1"/>
  <c r="AC24" i="13" s="1"/>
  <c r="T24" i="13"/>
  <c r="V24" i="13" s="1"/>
  <c r="Z23" i="13"/>
  <c r="AB23" i="13" s="1"/>
  <c r="T23" i="13"/>
  <c r="V23" i="13" s="1"/>
  <c r="Z22" i="13"/>
  <c r="AB22" i="13" s="1"/>
  <c r="T22" i="13"/>
  <c r="V22" i="13" s="1"/>
  <c r="Z21" i="13"/>
  <c r="AB21" i="13" s="1"/>
  <c r="T21" i="13"/>
  <c r="V21" i="13" s="1"/>
  <c r="Z20" i="13"/>
  <c r="AA20" i="13" s="1"/>
  <c r="AC20" i="13" s="1"/>
  <c r="T20" i="13"/>
  <c r="U20" i="13" s="1"/>
  <c r="W20" i="13" s="1"/>
  <c r="Z17" i="13"/>
  <c r="AB17" i="13" s="1"/>
  <c r="T17" i="13"/>
  <c r="U17" i="13" s="1"/>
  <c r="W17" i="13" s="1"/>
  <c r="Z16" i="13"/>
  <c r="AA16" i="13" s="1"/>
  <c r="AC16" i="13" s="1"/>
  <c r="T16" i="13"/>
  <c r="V16" i="13" s="1"/>
  <c r="Z15" i="13"/>
  <c r="AB15" i="13" s="1"/>
  <c r="T15" i="13"/>
  <c r="V15" i="13" s="1"/>
  <c r="Z14" i="13"/>
  <c r="AB14" i="13" s="1"/>
  <c r="T14" i="13"/>
  <c r="V14" i="13" s="1"/>
  <c r="Z13" i="13"/>
  <c r="AB13" i="13" s="1"/>
  <c r="T13" i="13"/>
  <c r="V13" i="13" s="1"/>
  <c r="Z12" i="13"/>
  <c r="AA12" i="13" s="1"/>
  <c r="AC12" i="13" s="1"/>
  <c r="T12" i="13"/>
  <c r="U12" i="13" s="1"/>
  <c r="W12" i="13" s="1"/>
  <c r="Z11" i="13"/>
  <c r="AB11" i="13" s="1"/>
  <c r="T11" i="13"/>
  <c r="U11" i="13" s="1"/>
  <c r="W11" i="13" s="1"/>
  <c r="Z10" i="13"/>
  <c r="AA10" i="13" s="1"/>
  <c r="AC10" i="13" s="1"/>
  <c r="T10" i="13"/>
  <c r="V10" i="13" s="1"/>
  <c r="Z9" i="13"/>
  <c r="AB9" i="13" s="1"/>
  <c r="T9" i="13"/>
  <c r="U9" i="13" s="1"/>
  <c r="W9" i="13" s="1"/>
  <c r="Z8" i="13"/>
  <c r="AB8" i="13" s="1"/>
  <c r="T8" i="13"/>
  <c r="V8" i="13" s="1"/>
  <c r="Z7" i="13"/>
  <c r="AB7" i="13" s="1"/>
  <c r="T7" i="13"/>
  <c r="V7" i="13" s="1"/>
  <c r="Z6" i="13"/>
  <c r="AA6" i="13" s="1"/>
  <c r="AC6" i="13" s="1"/>
  <c r="T6" i="13"/>
  <c r="V6" i="13" s="1"/>
  <c r="B26" i="38"/>
  <c r="F26" i="38"/>
  <c r="H26" i="38" s="1"/>
  <c r="I26" i="38" s="1"/>
  <c r="B28" i="38"/>
  <c r="B30" i="38"/>
  <c r="F28" i="38"/>
  <c r="H28" i="38" s="1"/>
  <c r="I28" i="38" s="1"/>
  <c r="F30" i="38"/>
  <c r="H30" i="38" s="1"/>
  <c r="I30" i="38" s="1"/>
  <c r="B31" i="38"/>
  <c r="B32" i="38"/>
  <c r="F31" i="38"/>
  <c r="H31" i="38" s="1"/>
  <c r="I31" i="38" s="1"/>
  <c r="F32" i="38"/>
  <c r="H32" i="38" s="1"/>
  <c r="I32" i="38" s="1"/>
  <c r="B22" i="19"/>
  <c r="B21" i="19"/>
  <c r="B20" i="19"/>
  <c r="B19" i="19"/>
  <c r="C10" i="19"/>
  <c r="B10" i="19"/>
  <c r="C9" i="19"/>
  <c r="B9" i="19"/>
  <c r="C8" i="19"/>
  <c r="B8" i="19"/>
  <c r="C7" i="19"/>
  <c r="B7" i="19"/>
  <c r="B25" i="22" s="1"/>
  <c r="B363" i="13"/>
  <c r="B362" i="13"/>
  <c r="B361" i="13"/>
  <c r="B360" i="13"/>
  <c r="B359" i="13"/>
  <c r="B358" i="13"/>
  <c r="B357" i="13"/>
  <c r="B356" i="13"/>
  <c r="B355" i="13"/>
  <c r="B354" i="13"/>
  <c r="B353" i="13"/>
  <c r="B352" i="13"/>
  <c r="B351" i="13"/>
  <c r="B350" i="13"/>
  <c r="B349" i="13"/>
  <c r="B347" i="13"/>
  <c r="B346" i="13"/>
  <c r="B345" i="13"/>
  <c r="B344" i="13"/>
  <c r="B343" i="13"/>
  <c r="B342" i="13"/>
  <c r="C342" i="13"/>
  <c r="C343" i="13"/>
  <c r="C344" i="13"/>
  <c r="C345" i="13"/>
  <c r="C346" i="13"/>
  <c r="C347" i="13"/>
  <c r="C349" i="13"/>
  <c r="C350" i="13"/>
  <c r="C351" i="13"/>
  <c r="C352" i="13"/>
  <c r="C353" i="13"/>
  <c r="C354" i="13"/>
  <c r="C355" i="13"/>
  <c r="C356" i="13"/>
  <c r="C357" i="13"/>
  <c r="C358" i="13"/>
  <c r="C359" i="13"/>
  <c r="C360" i="13"/>
  <c r="C361" i="13"/>
  <c r="C362" i="13"/>
  <c r="C363" i="13"/>
  <c r="D342" i="13"/>
  <c r="D343" i="13"/>
  <c r="D344" i="13"/>
  <c r="D345" i="13"/>
  <c r="D346" i="13"/>
  <c r="D347" i="13"/>
  <c r="D349" i="13"/>
  <c r="D350" i="13"/>
  <c r="D351" i="13"/>
  <c r="D352" i="13"/>
  <c r="D353" i="13"/>
  <c r="D354" i="13"/>
  <c r="D355" i="13"/>
  <c r="D356" i="13"/>
  <c r="D357" i="13"/>
  <c r="D358" i="13"/>
  <c r="D359" i="13"/>
  <c r="D360" i="13"/>
  <c r="D361" i="13"/>
  <c r="D362" i="13"/>
  <c r="D363" i="13"/>
  <c r="E342" i="13"/>
  <c r="E343" i="13"/>
  <c r="E344" i="13"/>
  <c r="E345" i="13"/>
  <c r="E346" i="13"/>
  <c r="E347" i="13"/>
  <c r="E349" i="13"/>
  <c r="E350" i="13"/>
  <c r="E351" i="13"/>
  <c r="E352" i="13"/>
  <c r="E353" i="13"/>
  <c r="E354" i="13"/>
  <c r="E355" i="13"/>
  <c r="E356" i="13"/>
  <c r="E357" i="13"/>
  <c r="E358" i="13"/>
  <c r="E359" i="13"/>
  <c r="E360" i="13"/>
  <c r="E361" i="13"/>
  <c r="E362" i="13"/>
  <c r="E363" i="13"/>
  <c r="K342" i="13"/>
  <c r="K343" i="13"/>
  <c r="K344" i="13"/>
  <c r="K345" i="13"/>
  <c r="K346" i="13"/>
  <c r="K347" i="13"/>
  <c r="K349" i="13"/>
  <c r="K350" i="13"/>
  <c r="K351" i="13"/>
  <c r="K352" i="13"/>
  <c r="K353" i="13"/>
  <c r="K354" i="13"/>
  <c r="K355" i="13"/>
  <c r="K356" i="13"/>
  <c r="K357" i="13"/>
  <c r="K358" i="13"/>
  <c r="K359" i="13"/>
  <c r="K360" i="13"/>
  <c r="K361" i="13"/>
  <c r="K362" i="13"/>
  <c r="K363" i="13"/>
  <c r="Q361" i="13"/>
  <c r="Q362" i="13"/>
  <c r="Q363" i="13"/>
  <c r="AI342" i="13"/>
  <c r="AJ342" i="13" s="1"/>
  <c r="AI343" i="13"/>
  <c r="AJ343" i="13" s="1"/>
  <c r="AI344" i="13"/>
  <c r="BA344" i="13" s="1"/>
  <c r="AI345" i="13"/>
  <c r="AN345" i="13" s="1"/>
  <c r="AI346" i="13"/>
  <c r="AJ346" i="13" s="1"/>
  <c r="AI347" i="13"/>
  <c r="AJ347" i="13" s="1"/>
  <c r="AI349" i="13"/>
  <c r="AO349" i="13" s="1"/>
  <c r="AI350" i="13"/>
  <c r="AO350" i="13" s="1"/>
  <c r="AI351" i="13"/>
  <c r="AJ351" i="13" s="1"/>
  <c r="AI352" i="13"/>
  <c r="AJ352" i="13" s="1"/>
  <c r="AI353" i="13"/>
  <c r="AU353" i="13" s="1"/>
  <c r="AI354" i="13"/>
  <c r="AO354" i="13" s="1"/>
  <c r="AI355" i="13"/>
  <c r="AJ355" i="13" s="1"/>
  <c r="AI356" i="13"/>
  <c r="AJ356" i="13" s="1"/>
  <c r="AI357" i="13"/>
  <c r="AR357" i="13" s="1"/>
  <c r="AI358" i="13"/>
  <c r="AW358" i="13" s="1"/>
  <c r="AI359" i="13"/>
  <c r="AK359" i="13" s="1"/>
  <c r="AI360" i="13"/>
  <c r="AL360" i="13" s="1"/>
  <c r="AI361" i="13"/>
  <c r="AR361" i="13" s="1"/>
  <c r="AI362" i="13"/>
  <c r="AN362" i="13" s="1"/>
  <c r="AI363" i="13"/>
  <c r="AJ363" i="13" s="1"/>
  <c r="BD342" i="13"/>
  <c r="BH342" i="13" s="1"/>
  <c r="BD343" i="13"/>
  <c r="BR343" i="13" s="1"/>
  <c r="BD344" i="13"/>
  <c r="BV344" i="13" s="1"/>
  <c r="BD345" i="13"/>
  <c r="BW345" i="13" s="1"/>
  <c r="BD346" i="13"/>
  <c r="BD347" i="13"/>
  <c r="BD349" i="13"/>
  <c r="BD350" i="13"/>
  <c r="BD351" i="13"/>
  <c r="BR351" i="13" s="1"/>
  <c r="BD352" i="13"/>
  <c r="BE352" i="13" s="1"/>
  <c r="BD353" i="13"/>
  <c r="BL353" i="13" s="1"/>
  <c r="BD354" i="13"/>
  <c r="BO354" i="13" s="1"/>
  <c r="BD355" i="13"/>
  <c r="BT355" i="13" s="1"/>
  <c r="BD356" i="13"/>
  <c r="BD357" i="13"/>
  <c r="BP357" i="13" s="1"/>
  <c r="BD358" i="13"/>
  <c r="BN358" i="13" s="1"/>
  <c r="BD359" i="13"/>
  <c r="BD360" i="13"/>
  <c r="BI360" i="13" s="1"/>
  <c r="BD361" i="13"/>
  <c r="BN361" i="13" s="1"/>
  <c r="BD362" i="13"/>
  <c r="BP362" i="13" s="1"/>
  <c r="BD363"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AI288" i="13"/>
  <c r="AS288" i="13" s="1"/>
  <c r="AI289" i="13"/>
  <c r="AJ289" i="13" s="1"/>
  <c r="AI290" i="13"/>
  <c r="AQ290" i="13" s="1"/>
  <c r="AI291" i="13"/>
  <c r="AX291" i="13" s="1"/>
  <c r="AI292" i="13"/>
  <c r="AI293" i="13"/>
  <c r="AO293" i="13" s="1"/>
  <c r="AI294" i="13"/>
  <c r="AO294" i="13" s="1"/>
  <c r="AI295" i="13"/>
  <c r="AW295" i="13" s="1"/>
  <c r="AI296" i="13"/>
  <c r="BA296" i="13" s="1"/>
  <c r="AI297" i="13"/>
  <c r="AJ297" i="13" s="1"/>
  <c r="AI298" i="13"/>
  <c r="AX298" i="13" s="1"/>
  <c r="AI299" i="13"/>
  <c r="AQ299" i="13" s="1"/>
  <c r="AI300" i="13"/>
  <c r="AI301" i="13"/>
  <c r="AJ301" i="13" s="1"/>
  <c r="AI302" i="13"/>
  <c r="AZ302" i="13" s="1"/>
  <c r="AI303" i="13"/>
  <c r="AK303" i="13" s="1"/>
  <c r="AI304" i="13"/>
  <c r="AJ304" i="13" s="1"/>
  <c r="AI305" i="13"/>
  <c r="AJ305" i="13" s="1"/>
  <c r="AI306" i="13"/>
  <c r="AQ306" i="13" s="1"/>
  <c r="AI307" i="13"/>
  <c r="AJ307" i="13" s="1"/>
  <c r="AI308" i="13"/>
  <c r="AI309" i="13"/>
  <c r="AJ309" i="13" s="1"/>
  <c r="AI310" i="13"/>
  <c r="AY310" i="13" s="1"/>
  <c r="AI311" i="13"/>
  <c r="AL311" i="13" s="1"/>
  <c r="AI312" i="13"/>
  <c r="AL312" i="13" s="1"/>
  <c r="AI313" i="13"/>
  <c r="AN313" i="13" s="1"/>
  <c r="AI314" i="13"/>
  <c r="AR314" i="13" s="1"/>
  <c r="AI315" i="13"/>
  <c r="AY315" i="13" s="1"/>
  <c r="AI316" i="13"/>
  <c r="AI317" i="13"/>
  <c r="AK317" i="13" s="1"/>
  <c r="AI318" i="13"/>
  <c r="AI319" i="13"/>
  <c r="AP319" i="13" s="1"/>
  <c r="AI320" i="13"/>
  <c r="AI321" i="13"/>
  <c r="AQ321" i="13" s="1"/>
  <c r="AI322" i="13"/>
  <c r="AK322" i="13" s="1"/>
  <c r="AI323" i="13"/>
  <c r="AQ323" i="13" s="1"/>
  <c r="AI324" i="13"/>
  <c r="BB324" i="13" s="1"/>
  <c r="BD288" i="13"/>
  <c r="BR288" i="13" s="1"/>
  <c r="BD289" i="13"/>
  <c r="BU289" i="13" s="1"/>
  <c r="BD290" i="13"/>
  <c r="BG290" i="13" s="1"/>
  <c r="BD291" i="13"/>
  <c r="BD292" i="13"/>
  <c r="BD293" i="13"/>
  <c r="BD294" i="13"/>
  <c r="BO294" i="13" s="1"/>
  <c r="BD295" i="13"/>
  <c r="BD296" i="13"/>
  <c r="BV296" i="13" s="1"/>
  <c r="BD297" i="13"/>
  <c r="BN297" i="13" s="1"/>
  <c r="BD298" i="13"/>
  <c r="BD299" i="13"/>
  <c r="BG299" i="13" s="1"/>
  <c r="BD300" i="13"/>
  <c r="BG300" i="13" s="1"/>
  <c r="BD301" i="13"/>
  <c r="BD302" i="13"/>
  <c r="BF302" i="13" s="1"/>
  <c r="BD303" i="13"/>
  <c r="BO303" i="13" s="1"/>
  <c r="BD304" i="13"/>
  <c r="BJ304" i="13" s="1"/>
  <c r="BD305" i="13"/>
  <c r="BK305" i="13" s="1"/>
  <c r="BD306" i="13"/>
  <c r="BD307" i="13"/>
  <c r="BQ307" i="13" s="1"/>
  <c r="BD308" i="13"/>
  <c r="BT308" i="13" s="1"/>
  <c r="BD309" i="13"/>
  <c r="BW309" i="13" s="1"/>
  <c r="BD310" i="13"/>
  <c r="BD311" i="13"/>
  <c r="BD312" i="13"/>
  <c r="BN312" i="13" s="1"/>
  <c r="BD313" i="13"/>
  <c r="BK313" i="13" s="1"/>
  <c r="BD314" i="13"/>
  <c r="BO314" i="13" s="1"/>
  <c r="BD315" i="13"/>
  <c r="BW315" i="13" s="1"/>
  <c r="BD316" i="13"/>
  <c r="BK316" i="13" s="1"/>
  <c r="BD317" i="13"/>
  <c r="BI317" i="13" s="1"/>
  <c r="BD318" i="13"/>
  <c r="BF318" i="13" s="1"/>
  <c r="BD319" i="13"/>
  <c r="BJ319" i="13" s="1"/>
  <c r="BD320" i="13"/>
  <c r="BJ320" i="13" s="1"/>
  <c r="BD321" i="13"/>
  <c r="BD322" i="13"/>
  <c r="BI322" i="13" s="1"/>
  <c r="BD323" i="13"/>
  <c r="BD324" i="13"/>
  <c r="BK324" i="13" s="1"/>
  <c r="C325" i="13"/>
  <c r="C326" i="13"/>
  <c r="C327" i="13"/>
  <c r="C328" i="13"/>
  <c r="C329" i="13"/>
  <c r="C330" i="13"/>
  <c r="C331" i="13"/>
  <c r="C332" i="13"/>
  <c r="C333" i="13"/>
  <c r="C334" i="13"/>
  <c r="C335" i="13"/>
  <c r="C336" i="13"/>
  <c r="C337" i="13"/>
  <c r="C338" i="13"/>
  <c r="C339" i="13"/>
  <c r="C340" i="13"/>
  <c r="C341" i="13"/>
  <c r="D325" i="13"/>
  <c r="D326" i="13"/>
  <c r="D327" i="13"/>
  <c r="D328" i="13"/>
  <c r="D329" i="13"/>
  <c r="D330" i="13"/>
  <c r="D331" i="13"/>
  <c r="D332" i="13"/>
  <c r="D333" i="13"/>
  <c r="D334" i="13"/>
  <c r="D335" i="13"/>
  <c r="D336" i="13"/>
  <c r="D337" i="13"/>
  <c r="D338" i="13"/>
  <c r="D339" i="13"/>
  <c r="D340" i="13"/>
  <c r="D341" i="13"/>
  <c r="E325" i="13"/>
  <c r="E326" i="13"/>
  <c r="E327" i="13"/>
  <c r="E328" i="13"/>
  <c r="E329" i="13"/>
  <c r="E330" i="13"/>
  <c r="E331" i="13"/>
  <c r="E332" i="13"/>
  <c r="E333" i="13"/>
  <c r="E334" i="13"/>
  <c r="E335" i="13"/>
  <c r="E336" i="13"/>
  <c r="E337" i="13"/>
  <c r="E338" i="13"/>
  <c r="E339" i="13"/>
  <c r="E340" i="13"/>
  <c r="E341" i="13"/>
  <c r="K325" i="13"/>
  <c r="K326" i="13"/>
  <c r="K327" i="13"/>
  <c r="K328" i="13"/>
  <c r="K329" i="13"/>
  <c r="K330" i="13"/>
  <c r="K331" i="13"/>
  <c r="K332" i="13"/>
  <c r="K333" i="13"/>
  <c r="K334" i="13"/>
  <c r="K335" i="13"/>
  <c r="K336" i="13"/>
  <c r="K337" i="13"/>
  <c r="K338" i="13"/>
  <c r="K339" i="13"/>
  <c r="K340" i="13"/>
  <c r="K341" i="13"/>
  <c r="AI325" i="13"/>
  <c r="AI326" i="13"/>
  <c r="AL326" i="13" s="1"/>
  <c r="AI327" i="13"/>
  <c r="AJ327" i="13" s="1"/>
  <c r="AI328" i="13"/>
  <c r="AL328" i="13" s="1"/>
  <c r="AI329" i="13"/>
  <c r="AI330" i="13"/>
  <c r="AL330" i="13" s="1"/>
  <c r="AI331" i="13"/>
  <c r="AX331" i="13" s="1"/>
  <c r="AI332" i="13"/>
  <c r="AJ332" i="13" s="1"/>
  <c r="AI333" i="13"/>
  <c r="AI334" i="13"/>
  <c r="AI335" i="13"/>
  <c r="AI336" i="13"/>
  <c r="AQ336" i="13" s="1"/>
  <c r="AI337" i="13"/>
  <c r="AI338" i="13"/>
  <c r="AX338" i="13" s="1"/>
  <c r="AI339" i="13"/>
  <c r="AI340" i="13"/>
  <c r="AO340" i="13" s="1"/>
  <c r="AI341" i="13"/>
  <c r="BD325" i="13"/>
  <c r="BO325" i="13" s="1"/>
  <c r="BD326" i="13"/>
  <c r="BN326" i="13" s="1"/>
  <c r="BD327" i="13"/>
  <c r="BV327" i="13" s="1"/>
  <c r="BD328" i="13"/>
  <c r="BJ328" i="13" s="1"/>
  <c r="BD329" i="13"/>
  <c r="BK329" i="13" s="1"/>
  <c r="BD330" i="13"/>
  <c r="BH330" i="13" s="1"/>
  <c r="BD331" i="13"/>
  <c r="BU331" i="13" s="1"/>
  <c r="BD332" i="13"/>
  <c r="BI332" i="13" s="1"/>
  <c r="BD333" i="13"/>
  <c r="BH333" i="13" s="1"/>
  <c r="BD334" i="13"/>
  <c r="BN334" i="13" s="1"/>
  <c r="BD335" i="13"/>
  <c r="BK335" i="13" s="1"/>
  <c r="BD336" i="13"/>
  <c r="BD337" i="13"/>
  <c r="BD338" i="13"/>
  <c r="BS338" i="13" s="1"/>
  <c r="BD339" i="13"/>
  <c r="BG339" i="13" s="1"/>
  <c r="BD340" i="13"/>
  <c r="BO340" i="13" s="1"/>
  <c r="BD341" i="13"/>
  <c r="BU341" i="13" s="1"/>
  <c r="AI246" i="13"/>
  <c r="AK246" i="13" s="1"/>
  <c r="B216" i="13"/>
  <c r="C216" i="13"/>
  <c r="D216" i="13"/>
  <c r="E216" i="13"/>
  <c r="K216" i="13"/>
  <c r="AI216" i="13"/>
  <c r="AU216" i="13" s="1"/>
  <c r="BD216" i="13"/>
  <c r="BP216" i="13" s="1"/>
  <c r="B227" i="13"/>
  <c r="B226" i="13"/>
  <c r="B225" i="13"/>
  <c r="B224" i="13"/>
  <c r="B223" i="13"/>
  <c r="B222" i="13"/>
  <c r="B221" i="13"/>
  <c r="C221" i="13"/>
  <c r="C222" i="13"/>
  <c r="C223" i="13"/>
  <c r="C224" i="13"/>
  <c r="C225" i="13"/>
  <c r="C226" i="13"/>
  <c r="C227" i="13"/>
  <c r="D221" i="13"/>
  <c r="D222" i="13"/>
  <c r="D223" i="13"/>
  <c r="D224" i="13"/>
  <c r="D225" i="13"/>
  <c r="D226" i="13"/>
  <c r="D227" i="13"/>
  <c r="E221" i="13"/>
  <c r="E222" i="13"/>
  <c r="E223" i="13"/>
  <c r="E224" i="13"/>
  <c r="E225" i="13"/>
  <c r="E226" i="13"/>
  <c r="E227" i="13"/>
  <c r="K221" i="13"/>
  <c r="K222" i="13"/>
  <c r="K223" i="13"/>
  <c r="K224" i="13"/>
  <c r="K225" i="13"/>
  <c r="K226" i="13"/>
  <c r="K227" i="13"/>
  <c r="AI221" i="13"/>
  <c r="AI222" i="13"/>
  <c r="AL222" i="13" s="1"/>
  <c r="AI223" i="13"/>
  <c r="AP223" i="13" s="1"/>
  <c r="AI224" i="13"/>
  <c r="AO224" i="13" s="1"/>
  <c r="AI225" i="13"/>
  <c r="AI226" i="13"/>
  <c r="AL226" i="13" s="1"/>
  <c r="AI227" i="13"/>
  <c r="BD221" i="13"/>
  <c r="BL221" i="13" s="1"/>
  <c r="BD222" i="13"/>
  <c r="BT222" i="13" s="1"/>
  <c r="BD223" i="13"/>
  <c r="BD224" i="13"/>
  <c r="BH224" i="13" s="1"/>
  <c r="BD225" i="13"/>
  <c r="BD226" i="13"/>
  <c r="BN226" i="13" s="1"/>
  <c r="BD227" i="13"/>
  <c r="B220" i="13"/>
  <c r="B219" i="13"/>
  <c r="B218" i="13"/>
  <c r="B217" i="13"/>
  <c r="B215" i="13"/>
  <c r="B214" i="13"/>
  <c r="B213" i="13"/>
  <c r="C213" i="13"/>
  <c r="C214" i="13"/>
  <c r="C215" i="13"/>
  <c r="C217" i="13"/>
  <c r="C218" i="13"/>
  <c r="C219" i="13"/>
  <c r="C220" i="13"/>
  <c r="D213" i="13"/>
  <c r="D214" i="13"/>
  <c r="D215" i="13"/>
  <c r="D217" i="13"/>
  <c r="D218" i="13"/>
  <c r="D219" i="13"/>
  <c r="D220" i="13"/>
  <c r="E213" i="13"/>
  <c r="E214" i="13"/>
  <c r="E215" i="13"/>
  <c r="E217" i="13"/>
  <c r="E218" i="13"/>
  <c r="E219" i="13"/>
  <c r="E220" i="13"/>
  <c r="K213" i="13"/>
  <c r="K214" i="13"/>
  <c r="K215" i="13"/>
  <c r="K217" i="13"/>
  <c r="K218" i="13"/>
  <c r="K219" i="13"/>
  <c r="K220" i="13"/>
  <c r="AI213" i="13"/>
  <c r="AI214" i="13"/>
  <c r="AV214" i="13" s="1"/>
  <c r="AI215" i="13"/>
  <c r="AZ215" i="13" s="1"/>
  <c r="AI217" i="13"/>
  <c r="BA217" i="13" s="1"/>
  <c r="AI218" i="13"/>
  <c r="AL218" i="13" s="1"/>
  <c r="AI219" i="13"/>
  <c r="AI220" i="13"/>
  <c r="AP220" i="13" s="1"/>
  <c r="BD213" i="13"/>
  <c r="BL213" i="13" s="1"/>
  <c r="BD214" i="13"/>
  <c r="BT214" i="13" s="1"/>
  <c r="BD215" i="13"/>
  <c r="BD217" i="13"/>
  <c r="BJ217" i="13" s="1"/>
  <c r="BD218" i="13"/>
  <c r="BL218" i="13" s="1"/>
  <c r="BD219" i="13"/>
  <c r="BO219" i="13" s="1"/>
  <c r="BD220" i="13"/>
  <c r="BP220" i="13" s="1"/>
  <c r="B198" i="13"/>
  <c r="B197" i="13"/>
  <c r="B196" i="13"/>
  <c r="B195" i="13"/>
  <c r="B194" i="13"/>
  <c r="B193" i="13"/>
  <c r="B192" i="13"/>
  <c r="B191" i="13"/>
  <c r="B190" i="13"/>
  <c r="B189" i="13"/>
  <c r="B188" i="13"/>
  <c r="B187" i="13"/>
  <c r="B186" i="13"/>
  <c r="B185" i="13"/>
  <c r="B184" i="13"/>
  <c r="B183" i="13"/>
  <c r="B182" i="13"/>
  <c r="C182" i="13"/>
  <c r="C183" i="13"/>
  <c r="C184" i="13"/>
  <c r="C185" i="13"/>
  <c r="C186" i="13"/>
  <c r="C187" i="13"/>
  <c r="C188" i="13"/>
  <c r="C189" i="13"/>
  <c r="C190" i="13"/>
  <c r="C191" i="13"/>
  <c r="D182" i="13"/>
  <c r="D183" i="13"/>
  <c r="D184" i="13"/>
  <c r="D185" i="13"/>
  <c r="D186" i="13"/>
  <c r="D187" i="13"/>
  <c r="D188" i="13"/>
  <c r="D189" i="13"/>
  <c r="D190" i="13"/>
  <c r="D191" i="13"/>
  <c r="E182" i="13"/>
  <c r="E183" i="13"/>
  <c r="E184" i="13"/>
  <c r="E185" i="13"/>
  <c r="E186" i="13"/>
  <c r="E187" i="13"/>
  <c r="E188" i="13"/>
  <c r="E189" i="13"/>
  <c r="E190" i="13"/>
  <c r="E191" i="13"/>
  <c r="K182" i="13"/>
  <c r="K183" i="13"/>
  <c r="K184" i="13"/>
  <c r="K185" i="13"/>
  <c r="K186" i="13"/>
  <c r="K187" i="13"/>
  <c r="K188" i="13"/>
  <c r="K189" i="13"/>
  <c r="K190" i="13"/>
  <c r="K191" i="13"/>
  <c r="AI182" i="13"/>
  <c r="AJ182" i="13" s="1"/>
  <c r="AI183" i="13"/>
  <c r="AI184" i="13"/>
  <c r="AY184" i="13" s="1"/>
  <c r="AI185" i="13"/>
  <c r="AS185" i="13" s="1"/>
  <c r="AI186" i="13"/>
  <c r="AP186" i="13" s="1"/>
  <c r="AI187" i="13"/>
  <c r="AI188" i="13"/>
  <c r="AV188" i="13" s="1"/>
  <c r="AI189" i="13"/>
  <c r="AI190" i="13"/>
  <c r="AI191" i="13"/>
  <c r="AK191" i="13" s="1"/>
  <c r="BD182" i="13"/>
  <c r="BJ182" i="13" s="1"/>
  <c r="BD183" i="13"/>
  <c r="BL183" i="13" s="1"/>
  <c r="BD184" i="13"/>
  <c r="BO184" i="13" s="1"/>
  <c r="BD185" i="13"/>
  <c r="BD186" i="13"/>
  <c r="BD187" i="13"/>
  <c r="BH187" i="13" s="1"/>
  <c r="BD188" i="13"/>
  <c r="BE188" i="13" s="1"/>
  <c r="BD189" i="13"/>
  <c r="BP189" i="13" s="1"/>
  <c r="BD190" i="13"/>
  <c r="BI190" i="13" s="1"/>
  <c r="BD191" i="13"/>
  <c r="BQ191" i="13" s="1"/>
  <c r="C192" i="13"/>
  <c r="C193" i="13"/>
  <c r="C194" i="13"/>
  <c r="C195" i="13"/>
  <c r="C196" i="13"/>
  <c r="D192" i="13"/>
  <c r="D193" i="13"/>
  <c r="D194" i="13"/>
  <c r="D195" i="13"/>
  <c r="D196" i="13"/>
  <c r="E192" i="13"/>
  <c r="E193" i="13"/>
  <c r="E194" i="13"/>
  <c r="E195" i="13"/>
  <c r="E196" i="13"/>
  <c r="K192" i="13"/>
  <c r="K193" i="13"/>
  <c r="K194" i="13"/>
  <c r="K195" i="13"/>
  <c r="K196" i="13"/>
  <c r="AI192" i="13"/>
  <c r="AI193" i="13"/>
  <c r="AI194" i="13"/>
  <c r="AJ194" i="13" s="1"/>
  <c r="AI195" i="13"/>
  <c r="AM195" i="13" s="1"/>
  <c r="AI196" i="13"/>
  <c r="BD192" i="13"/>
  <c r="BK192" i="13" s="1"/>
  <c r="BD193" i="13"/>
  <c r="BP193" i="13" s="1"/>
  <c r="BD194" i="13"/>
  <c r="BD195" i="13"/>
  <c r="BK195" i="13" s="1"/>
  <c r="BD196" i="13"/>
  <c r="C197" i="13"/>
  <c r="C198" i="13"/>
  <c r="D197" i="13"/>
  <c r="D198" i="13"/>
  <c r="E197" i="13"/>
  <c r="E198" i="13"/>
  <c r="K197" i="13"/>
  <c r="K198" i="13"/>
  <c r="AI197" i="13"/>
  <c r="AV197" i="13" s="1"/>
  <c r="AI198" i="13"/>
  <c r="AJ198" i="13" s="1"/>
  <c r="BD197" i="13"/>
  <c r="BG197" i="13" s="1"/>
  <c r="BD198" i="13"/>
  <c r="BT198" i="13" s="1"/>
  <c r="B159" i="13"/>
  <c r="B158" i="13"/>
  <c r="B157" i="13"/>
  <c r="C158" i="13"/>
  <c r="D158" i="13"/>
  <c r="E158" i="13"/>
  <c r="K158" i="13"/>
  <c r="AI158" i="13"/>
  <c r="AK158" i="13" s="1"/>
  <c r="BD158" i="13"/>
  <c r="C157" i="13"/>
  <c r="D157" i="13"/>
  <c r="E157" i="13"/>
  <c r="K157" i="13"/>
  <c r="AI157" i="13"/>
  <c r="BD157" i="13"/>
  <c r="BF157" i="13" s="1"/>
  <c r="C159" i="13"/>
  <c r="D159" i="13"/>
  <c r="E159" i="13"/>
  <c r="K159" i="13"/>
  <c r="AI159" i="13"/>
  <c r="AL159" i="13" s="1"/>
  <c r="BD159" i="13"/>
  <c r="BG159" i="13" s="1"/>
  <c r="B170" i="13"/>
  <c r="C170" i="13"/>
  <c r="D170" i="13"/>
  <c r="E170" i="13"/>
  <c r="K170" i="13"/>
  <c r="AI170" i="13"/>
  <c r="AL170" i="13" s="1"/>
  <c r="BD170" i="13"/>
  <c r="BG170" i="13" s="1"/>
  <c r="B168" i="13"/>
  <c r="B167" i="13"/>
  <c r="B166" i="13"/>
  <c r="B165" i="13"/>
  <c r="B164" i="13"/>
  <c r="B163" i="13"/>
  <c r="B162" i="13"/>
  <c r="B161" i="13"/>
  <c r="C162" i="13"/>
  <c r="C163" i="13"/>
  <c r="C164" i="13"/>
  <c r="C165" i="13"/>
  <c r="C166" i="13"/>
  <c r="D162" i="13"/>
  <c r="D163" i="13"/>
  <c r="D164" i="13"/>
  <c r="D165" i="13"/>
  <c r="D166" i="13"/>
  <c r="E162" i="13"/>
  <c r="E163" i="13"/>
  <c r="E164" i="13"/>
  <c r="E165" i="13"/>
  <c r="E166" i="13"/>
  <c r="K162" i="13"/>
  <c r="K163" i="13"/>
  <c r="K164" i="13"/>
  <c r="K165" i="13"/>
  <c r="K166" i="13"/>
  <c r="AI162" i="13"/>
  <c r="AK162" i="13" s="1"/>
  <c r="AI163" i="13"/>
  <c r="AJ163" i="13" s="1"/>
  <c r="AI164" i="13"/>
  <c r="AL164" i="13" s="1"/>
  <c r="AI165" i="13"/>
  <c r="AL165" i="13" s="1"/>
  <c r="AI166" i="13"/>
  <c r="AK166" i="13" s="1"/>
  <c r="BD162" i="13"/>
  <c r="BF162" i="13" s="1"/>
  <c r="BD163" i="13"/>
  <c r="BE163" i="13" s="1"/>
  <c r="BD164" i="13"/>
  <c r="BF164" i="13" s="1"/>
  <c r="BD165" i="13"/>
  <c r="BG165" i="13" s="1"/>
  <c r="BD166" i="13"/>
  <c r="BF166" i="13" s="1"/>
  <c r="C161" i="13"/>
  <c r="C167" i="13"/>
  <c r="C168" i="13"/>
  <c r="D161" i="13"/>
  <c r="D167" i="13"/>
  <c r="D168" i="13"/>
  <c r="E161" i="13"/>
  <c r="E167" i="13"/>
  <c r="E168" i="13"/>
  <c r="K161" i="13"/>
  <c r="K167" i="13"/>
  <c r="K168" i="13"/>
  <c r="AI161" i="13"/>
  <c r="AJ161" i="13" s="1"/>
  <c r="AI167" i="13"/>
  <c r="AL167" i="13" s="1"/>
  <c r="AI168" i="13"/>
  <c r="AK168" i="13" s="1"/>
  <c r="BD161" i="13"/>
  <c r="BE161" i="13" s="1"/>
  <c r="BD167" i="13"/>
  <c r="BG167" i="13" s="1"/>
  <c r="BD168" i="13"/>
  <c r="BG168" i="13" s="1"/>
  <c r="B169" i="13"/>
  <c r="B160" i="13"/>
  <c r="B156" i="13"/>
  <c r="B155" i="13"/>
  <c r="B154" i="13"/>
  <c r="B153" i="13"/>
  <c r="B152" i="13"/>
  <c r="B151" i="13"/>
  <c r="B150" i="13"/>
  <c r="B149" i="13"/>
  <c r="B148" i="13"/>
  <c r="B147" i="13"/>
  <c r="B146" i="13"/>
  <c r="B145" i="13"/>
  <c r="C145" i="13"/>
  <c r="C146" i="13"/>
  <c r="C147" i="13"/>
  <c r="C148" i="13"/>
  <c r="C149" i="13"/>
  <c r="C150" i="13"/>
  <c r="C151" i="13"/>
  <c r="C152" i="13"/>
  <c r="D145" i="13"/>
  <c r="D146" i="13"/>
  <c r="D147" i="13"/>
  <c r="D148" i="13"/>
  <c r="D149" i="13"/>
  <c r="D150" i="13"/>
  <c r="D151" i="13"/>
  <c r="D152" i="13"/>
  <c r="E145" i="13"/>
  <c r="E146" i="13"/>
  <c r="E147" i="13"/>
  <c r="E148" i="13"/>
  <c r="E149" i="13"/>
  <c r="E150" i="13"/>
  <c r="E151" i="13"/>
  <c r="E152" i="13"/>
  <c r="K145" i="13"/>
  <c r="K146" i="13"/>
  <c r="K147" i="13"/>
  <c r="K148" i="13"/>
  <c r="K149" i="13"/>
  <c r="K150" i="13"/>
  <c r="K151" i="13"/>
  <c r="K152" i="13"/>
  <c r="AI145" i="13"/>
  <c r="AW145" i="13" s="1"/>
  <c r="AI146" i="13"/>
  <c r="AV146" i="13" s="1"/>
  <c r="AI147" i="13"/>
  <c r="AJ147" i="13" s="1"/>
  <c r="AI148" i="13"/>
  <c r="AJ148" i="13" s="1"/>
  <c r="AI149" i="13"/>
  <c r="AI150" i="13"/>
  <c r="AR150" i="13" s="1"/>
  <c r="AI151" i="13"/>
  <c r="AR151" i="13" s="1"/>
  <c r="AI152" i="13"/>
  <c r="AJ152" i="13" s="1"/>
  <c r="BD145" i="13"/>
  <c r="BG145" i="13" s="1"/>
  <c r="BD146" i="13"/>
  <c r="BL146" i="13" s="1"/>
  <c r="BD147" i="13"/>
  <c r="BU147" i="13" s="1"/>
  <c r="BD148" i="13"/>
  <c r="BJ148" i="13" s="1"/>
  <c r="BD149" i="13"/>
  <c r="BO149" i="13" s="1"/>
  <c r="BD150" i="13"/>
  <c r="BI150" i="13" s="1"/>
  <c r="BD151" i="13"/>
  <c r="BF151" i="13" s="1"/>
  <c r="BD152" i="13"/>
  <c r="BJ152" i="13" s="1"/>
  <c r="C153" i="13"/>
  <c r="C154" i="13"/>
  <c r="C155" i="13"/>
  <c r="C156" i="13"/>
  <c r="D153" i="13"/>
  <c r="D154" i="13"/>
  <c r="D155" i="13"/>
  <c r="D156" i="13"/>
  <c r="E153" i="13"/>
  <c r="E154" i="13"/>
  <c r="E155" i="13"/>
  <c r="E156" i="13"/>
  <c r="K153" i="13"/>
  <c r="K154" i="13"/>
  <c r="K155" i="13"/>
  <c r="K156" i="13"/>
  <c r="AI153" i="13"/>
  <c r="AK153" i="13" s="1"/>
  <c r="AI154" i="13"/>
  <c r="AI155" i="13"/>
  <c r="AL155" i="13" s="1"/>
  <c r="AI156" i="13"/>
  <c r="AK156" i="13" s="1"/>
  <c r="BD153" i="13"/>
  <c r="BF153" i="13" s="1"/>
  <c r="BD154" i="13"/>
  <c r="BR154" i="13" s="1"/>
  <c r="BD155" i="13"/>
  <c r="BF155" i="13" s="1"/>
  <c r="BD156" i="13"/>
  <c r="BE156" i="13" s="1"/>
  <c r="C160" i="13"/>
  <c r="C169" i="13"/>
  <c r="D160" i="13"/>
  <c r="D169" i="13"/>
  <c r="E160" i="13"/>
  <c r="E169" i="13"/>
  <c r="K160" i="13"/>
  <c r="K169" i="13"/>
  <c r="AI160" i="13"/>
  <c r="AJ160" i="13" s="1"/>
  <c r="AI169" i="13"/>
  <c r="AJ169" i="13" s="1"/>
  <c r="BD160" i="13"/>
  <c r="BE160" i="13" s="1"/>
  <c r="BD169" i="13"/>
  <c r="BF169" i="13" s="1"/>
  <c r="B133" i="13"/>
  <c r="B132" i="13"/>
  <c r="B134" i="13"/>
  <c r="B131" i="13"/>
  <c r="C131" i="13"/>
  <c r="D131" i="13"/>
  <c r="E131" i="13"/>
  <c r="K131" i="13"/>
  <c r="AI131" i="13"/>
  <c r="AK131" i="13" s="1"/>
  <c r="BD131" i="13"/>
  <c r="BF131" i="13" s="1"/>
  <c r="C132" i="13"/>
  <c r="D132" i="13"/>
  <c r="E132" i="13"/>
  <c r="K132" i="13"/>
  <c r="AI132" i="13"/>
  <c r="AK132" i="13" s="1"/>
  <c r="BD132" i="13"/>
  <c r="BF132" i="13" s="1"/>
  <c r="C133" i="13"/>
  <c r="D133" i="13"/>
  <c r="E133" i="13"/>
  <c r="K133" i="13"/>
  <c r="AI133" i="13"/>
  <c r="AK133" i="13" s="1"/>
  <c r="BD133" i="13"/>
  <c r="BG133" i="13" s="1"/>
  <c r="B130" i="13"/>
  <c r="B129" i="13"/>
  <c r="B128" i="13"/>
  <c r="B127" i="13"/>
  <c r="B126" i="13"/>
  <c r="C130" i="13"/>
  <c r="D130" i="13"/>
  <c r="E130" i="13"/>
  <c r="K130" i="13"/>
  <c r="AI130" i="13"/>
  <c r="AP130" i="13" s="1"/>
  <c r="BD130" i="13"/>
  <c r="BI130" i="13" s="1"/>
  <c r="C126" i="13"/>
  <c r="C127" i="13"/>
  <c r="D126" i="13"/>
  <c r="D127" i="13"/>
  <c r="E126" i="13"/>
  <c r="E127" i="13"/>
  <c r="K126" i="13"/>
  <c r="K127" i="13"/>
  <c r="AI126" i="13"/>
  <c r="AO126" i="13" s="1"/>
  <c r="AI127" i="13"/>
  <c r="AJ127" i="13" s="1"/>
  <c r="BD126" i="13"/>
  <c r="BF126" i="13" s="1"/>
  <c r="BD127" i="13"/>
  <c r="BJ127" i="13" s="1"/>
  <c r="C128" i="13"/>
  <c r="D128" i="13"/>
  <c r="E128" i="13"/>
  <c r="K128" i="13"/>
  <c r="AI128" i="13"/>
  <c r="BD128" i="13"/>
  <c r="BI128" i="13" s="1"/>
  <c r="C129" i="13"/>
  <c r="D129" i="13"/>
  <c r="E129" i="13"/>
  <c r="K129" i="13"/>
  <c r="AI129" i="13"/>
  <c r="AM129" i="13" s="1"/>
  <c r="BD129" i="13"/>
  <c r="BI129" i="13" s="1"/>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AI235" i="13"/>
  <c r="BB235" i="13" s="1"/>
  <c r="AI236" i="13"/>
  <c r="AL236" i="13" s="1"/>
  <c r="AI237" i="13"/>
  <c r="AR237" i="13" s="1"/>
  <c r="AI238" i="13"/>
  <c r="AK238" i="13" s="1"/>
  <c r="AI239" i="13"/>
  <c r="AM239" i="13" s="1"/>
  <c r="AI240" i="13"/>
  <c r="BA240" i="13" s="1"/>
  <c r="AI241" i="13"/>
  <c r="AM241" i="13" s="1"/>
  <c r="AI242" i="13"/>
  <c r="AI243" i="13"/>
  <c r="AS243" i="13" s="1"/>
  <c r="AI244" i="13"/>
  <c r="AZ244" i="13" s="1"/>
  <c r="AI245" i="13"/>
  <c r="AQ245" i="13" s="1"/>
  <c r="AI247" i="13"/>
  <c r="AV247" i="13" s="1"/>
  <c r="AI248" i="13"/>
  <c r="AY248" i="13" s="1"/>
  <c r="AI249" i="13"/>
  <c r="AW249" i="13" s="1"/>
  <c r="AI250" i="13"/>
  <c r="AX250" i="13" s="1"/>
  <c r="AI251" i="13"/>
  <c r="AV251" i="13" s="1"/>
  <c r="AI252" i="13"/>
  <c r="AU252" i="13" s="1"/>
  <c r="AI253" i="13"/>
  <c r="AV253" i="13" s="1"/>
  <c r="AI254" i="13"/>
  <c r="AX254" i="13" s="1"/>
  <c r="AI255" i="13"/>
  <c r="BB255" i="13" s="1"/>
  <c r="AI256" i="13"/>
  <c r="AQ256" i="13" s="1"/>
  <c r="AI257" i="13"/>
  <c r="BB257" i="13" s="1"/>
  <c r="AI258" i="13"/>
  <c r="AJ258" i="13" s="1"/>
  <c r="AI259" i="13"/>
  <c r="AM259" i="13" s="1"/>
  <c r="AI260" i="13"/>
  <c r="AX260" i="13" s="1"/>
  <c r="AI261" i="13"/>
  <c r="AT261" i="13" s="1"/>
  <c r="AI262" i="13"/>
  <c r="AN262" i="13" s="1"/>
  <c r="AI263" i="13"/>
  <c r="AJ263" i="13" s="1"/>
  <c r="AI264" i="13"/>
  <c r="AN264" i="13" s="1"/>
  <c r="AI265" i="13"/>
  <c r="AK265" i="13" s="1"/>
  <c r="AI266" i="13"/>
  <c r="AY266" i="13" s="1"/>
  <c r="AI267" i="13"/>
  <c r="AW267" i="13" s="1"/>
  <c r="AI268" i="13"/>
  <c r="AM268" i="13" s="1"/>
  <c r="AI269" i="13"/>
  <c r="AP269" i="13" s="1"/>
  <c r="AI270" i="13"/>
  <c r="AZ270" i="13" s="1"/>
  <c r="BD235" i="13"/>
  <c r="BE235" i="13" s="1"/>
  <c r="BD236" i="13"/>
  <c r="BH236" i="13" s="1"/>
  <c r="BD237" i="13"/>
  <c r="BE237" i="13" s="1"/>
  <c r="BD238" i="13"/>
  <c r="BW238" i="13" s="1"/>
  <c r="BD239" i="13"/>
  <c r="BF239" i="13" s="1"/>
  <c r="BD240" i="13"/>
  <c r="BV240" i="13" s="1"/>
  <c r="BD241" i="13"/>
  <c r="BN241" i="13" s="1"/>
  <c r="BD242" i="13"/>
  <c r="BW242" i="13" s="1"/>
  <c r="BD243" i="13"/>
  <c r="BH243" i="13" s="1"/>
  <c r="BD244" i="13"/>
  <c r="BH244" i="13" s="1"/>
  <c r="BD245" i="13"/>
  <c r="BD246" i="13"/>
  <c r="BD247" i="13"/>
  <c r="BE247" i="13" s="1"/>
  <c r="BD248" i="13"/>
  <c r="BV248" i="13" s="1"/>
  <c r="BD249" i="13"/>
  <c r="BL249" i="13" s="1"/>
  <c r="BD250" i="13"/>
  <c r="BE250" i="13" s="1"/>
  <c r="BD251" i="13"/>
  <c r="BH251" i="13" s="1"/>
  <c r="BD252" i="13"/>
  <c r="BL252" i="13" s="1"/>
  <c r="BD253" i="13"/>
  <c r="BD254" i="13"/>
  <c r="BF254" i="13" s="1"/>
  <c r="BD255" i="13"/>
  <c r="BP255" i="13" s="1"/>
  <c r="BD256" i="13"/>
  <c r="BE256" i="13" s="1"/>
  <c r="BD257" i="13"/>
  <c r="BK257" i="13" s="1"/>
  <c r="BD258" i="13"/>
  <c r="BE258" i="13" s="1"/>
  <c r="BD259" i="13"/>
  <c r="BE259" i="13" s="1"/>
  <c r="BD260" i="13"/>
  <c r="BE260" i="13" s="1"/>
  <c r="BD261" i="13"/>
  <c r="BP261" i="13" s="1"/>
  <c r="BD262" i="13"/>
  <c r="BJ262" i="13" s="1"/>
  <c r="BD263" i="13"/>
  <c r="BE263" i="13" s="1"/>
  <c r="BD264" i="13"/>
  <c r="BD265" i="13"/>
  <c r="BF265" i="13" s="1"/>
  <c r="BD266" i="13"/>
  <c r="BE266" i="13" s="1"/>
  <c r="BD267" i="13"/>
  <c r="BH267" i="13" s="1"/>
  <c r="BD268" i="13"/>
  <c r="BJ268" i="13" s="1"/>
  <c r="BD269" i="13"/>
  <c r="BG269" i="13" s="1"/>
  <c r="BD270" i="13"/>
  <c r="BE270" i="13" s="1"/>
  <c r="C271" i="13"/>
  <c r="C272" i="13"/>
  <c r="C273" i="13"/>
  <c r="C274" i="13"/>
  <c r="C275" i="13"/>
  <c r="C276" i="13"/>
  <c r="C277" i="13"/>
  <c r="C278" i="13"/>
  <c r="C279" i="13"/>
  <c r="C280" i="13"/>
  <c r="C281" i="13"/>
  <c r="C282" i="13"/>
  <c r="C283" i="13"/>
  <c r="C284" i="13"/>
  <c r="C285" i="13"/>
  <c r="C286" i="13"/>
  <c r="C287" i="13"/>
  <c r="D271" i="13"/>
  <c r="D272" i="13"/>
  <c r="D273" i="13"/>
  <c r="D274" i="13"/>
  <c r="D275" i="13"/>
  <c r="D276" i="13"/>
  <c r="D277" i="13"/>
  <c r="D278" i="13"/>
  <c r="D279" i="13"/>
  <c r="D280" i="13"/>
  <c r="D281" i="13"/>
  <c r="D282" i="13"/>
  <c r="D283" i="13"/>
  <c r="D284" i="13"/>
  <c r="D285" i="13"/>
  <c r="D286" i="13"/>
  <c r="D287" i="13"/>
  <c r="E271" i="13"/>
  <c r="E272" i="13"/>
  <c r="E273" i="13"/>
  <c r="E274" i="13"/>
  <c r="E275" i="13"/>
  <c r="E276" i="13"/>
  <c r="E277" i="13"/>
  <c r="E278" i="13"/>
  <c r="E279" i="13"/>
  <c r="E280" i="13"/>
  <c r="E281" i="13"/>
  <c r="E282" i="13"/>
  <c r="E283" i="13"/>
  <c r="E284" i="13"/>
  <c r="E285" i="13"/>
  <c r="E286" i="13"/>
  <c r="E287" i="13"/>
  <c r="K271" i="13"/>
  <c r="K272" i="13"/>
  <c r="K273" i="13"/>
  <c r="K274" i="13"/>
  <c r="K275" i="13"/>
  <c r="K276" i="13"/>
  <c r="K277" i="13"/>
  <c r="K278" i="13"/>
  <c r="K279" i="13"/>
  <c r="K280" i="13"/>
  <c r="K281" i="13"/>
  <c r="K282" i="13"/>
  <c r="K283" i="13"/>
  <c r="K284" i="13"/>
  <c r="K285" i="13"/>
  <c r="K286" i="13"/>
  <c r="K287" i="13"/>
  <c r="AI271" i="13"/>
  <c r="AI272" i="13"/>
  <c r="BA272" i="13" s="1"/>
  <c r="AI273" i="13"/>
  <c r="AR273" i="13" s="1"/>
  <c r="AI274" i="13"/>
  <c r="AK274" i="13" s="1"/>
  <c r="AI275" i="13"/>
  <c r="AR275" i="13" s="1"/>
  <c r="AI276" i="13"/>
  <c r="AU276" i="13" s="1"/>
  <c r="AI277" i="13"/>
  <c r="AM277" i="13" s="1"/>
  <c r="AI278" i="13"/>
  <c r="AV278" i="13" s="1"/>
  <c r="AI279" i="13"/>
  <c r="AQ279" i="13" s="1"/>
  <c r="AI280" i="13"/>
  <c r="AY280" i="13" s="1"/>
  <c r="AI281" i="13"/>
  <c r="AM281" i="13" s="1"/>
  <c r="AI282" i="13"/>
  <c r="AK282" i="13" s="1"/>
  <c r="AI283" i="13"/>
  <c r="AV283" i="13" s="1"/>
  <c r="AI284" i="13"/>
  <c r="AJ284" i="13" s="1"/>
  <c r="AI285" i="13"/>
  <c r="AT285" i="13" s="1"/>
  <c r="AI286" i="13"/>
  <c r="AI287" i="13"/>
  <c r="BD271" i="13"/>
  <c r="BE271" i="13" s="1"/>
  <c r="BD272" i="13"/>
  <c r="BF272" i="13" s="1"/>
  <c r="BD273" i="13"/>
  <c r="BG273" i="13" s="1"/>
  <c r="BD274" i="13"/>
  <c r="BN274" i="13" s="1"/>
  <c r="BD275" i="13"/>
  <c r="BG275" i="13" s="1"/>
  <c r="BD276" i="13"/>
  <c r="BP276" i="13" s="1"/>
  <c r="BD277" i="13"/>
  <c r="BF277" i="13" s="1"/>
  <c r="BD278" i="13"/>
  <c r="BJ278" i="13" s="1"/>
  <c r="BD279" i="13"/>
  <c r="BJ279" i="13" s="1"/>
  <c r="BD280" i="13"/>
  <c r="BF280" i="13" s="1"/>
  <c r="BD281" i="13"/>
  <c r="BD282" i="13"/>
  <c r="BP282" i="13" s="1"/>
  <c r="BD283" i="13"/>
  <c r="BI283" i="13" s="1"/>
  <c r="BD284" i="13"/>
  <c r="BT284" i="13" s="1"/>
  <c r="BD285" i="13"/>
  <c r="BL285" i="13" s="1"/>
  <c r="BD286" i="13"/>
  <c r="BJ286" i="13" s="1"/>
  <c r="BD287" i="13"/>
  <c r="BH287" i="13" s="1"/>
  <c r="B48" i="22" l="1"/>
  <c r="B49" i="22"/>
  <c r="B47" i="22"/>
  <c r="B50" i="22"/>
  <c r="B51" i="22"/>
  <c r="B28" i="22"/>
  <c r="B30" i="22"/>
  <c r="B29" i="22"/>
  <c r="B27" i="22"/>
  <c r="B31" i="22"/>
  <c r="B53" i="22"/>
  <c r="B55" i="22"/>
  <c r="B52" i="22"/>
  <c r="B54" i="22"/>
  <c r="B56" i="22"/>
  <c r="B32" i="22"/>
  <c r="B36" i="22"/>
  <c r="B35" i="22"/>
  <c r="B33" i="22"/>
  <c r="B34" i="22"/>
  <c r="B40" i="22"/>
  <c r="B37" i="22"/>
  <c r="B39" i="22"/>
  <c r="B38" i="22"/>
  <c r="AF348" i="13"/>
  <c r="V263" i="13"/>
  <c r="AE263" i="13" s="1"/>
  <c r="U211" i="13"/>
  <c r="W211" i="13" s="1"/>
  <c r="AF211" i="13" s="1"/>
  <c r="BE277" i="13"/>
  <c r="AB130" i="13"/>
  <c r="AE130" i="13" s="1"/>
  <c r="V216" i="13"/>
  <c r="AE216" i="13" s="1"/>
  <c r="AA46" i="13"/>
  <c r="AC46" i="13" s="1"/>
  <c r="AB137" i="13"/>
  <c r="AE137" i="13" s="1"/>
  <c r="AA115" i="13"/>
  <c r="AC115" i="13" s="1"/>
  <c r="AB185" i="13"/>
  <c r="U351" i="13"/>
  <c r="W351" i="13" s="1"/>
  <c r="AA215" i="13"/>
  <c r="AC215" i="13" s="1"/>
  <c r="AF215" i="13" s="1"/>
  <c r="U300" i="13"/>
  <c r="W300" i="13" s="1"/>
  <c r="U329" i="13"/>
  <c r="W329" i="13" s="1"/>
  <c r="AF329" i="13" s="1"/>
  <c r="AA300" i="13"/>
  <c r="AC300" i="13" s="1"/>
  <c r="V70" i="13"/>
  <c r="AA179" i="13"/>
  <c r="AC179" i="13" s="1"/>
  <c r="U229" i="13"/>
  <c r="W229" i="13" s="1"/>
  <c r="V268" i="13"/>
  <c r="V336" i="13"/>
  <c r="AE336" i="13" s="1"/>
  <c r="U347" i="13"/>
  <c r="W347" i="13" s="1"/>
  <c r="BB355" i="13"/>
  <c r="V290" i="13"/>
  <c r="V318" i="13"/>
  <c r="AE318" i="13" s="1"/>
  <c r="AB145" i="13"/>
  <c r="AE145" i="13" s="1"/>
  <c r="AA336" i="13"/>
  <c r="AC336" i="13" s="1"/>
  <c r="AF336" i="13" s="1"/>
  <c r="AZ355" i="13"/>
  <c r="V135" i="13"/>
  <c r="AB197" i="13"/>
  <c r="V203" i="13"/>
  <c r="AA258" i="13"/>
  <c r="AC258" i="13" s="1"/>
  <c r="U38" i="13"/>
  <c r="W38" i="13" s="1"/>
  <c r="AF38" i="13" s="1"/>
  <c r="V363" i="13"/>
  <c r="AE363" i="13" s="1"/>
  <c r="AB125" i="13"/>
  <c r="AE125" i="13" s="1"/>
  <c r="AB203" i="13"/>
  <c r="V361" i="13"/>
  <c r="AB64" i="13"/>
  <c r="AE64" i="13" s="1"/>
  <c r="AA133" i="13"/>
  <c r="AC133" i="13" s="1"/>
  <c r="U301" i="13"/>
  <c r="W301" i="13" s="1"/>
  <c r="V177" i="13"/>
  <c r="AB193" i="13"/>
  <c r="AE193" i="13" s="1"/>
  <c r="AA248" i="13"/>
  <c r="AC248" i="13" s="1"/>
  <c r="AA270" i="13"/>
  <c r="AC270" i="13" s="1"/>
  <c r="U356" i="13"/>
  <c r="W356" i="13" s="1"/>
  <c r="AB233" i="13"/>
  <c r="AE233" i="13" s="1"/>
  <c r="U238" i="13"/>
  <c r="W238" i="13" s="1"/>
  <c r="AF238" i="13" s="1"/>
  <c r="U23" i="13"/>
  <c r="W23" i="13" s="1"/>
  <c r="U64" i="13"/>
  <c r="W64" i="13" s="1"/>
  <c r="AF64" i="13" s="1"/>
  <c r="V107" i="13"/>
  <c r="AE107" i="13" s="1"/>
  <c r="U112" i="13"/>
  <c r="W112" i="13" s="1"/>
  <c r="AF112" i="13" s="1"/>
  <c r="AB151" i="13"/>
  <c r="AE151" i="13" s="1"/>
  <c r="AB156" i="13"/>
  <c r="AE156" i="13" s="1"/>
  <c r="V173" i="13"/>
  <c r="AE173" i="13" s="1"/>
  <c r="AA209" i="13"/>
  <c r="AC209" i="13" s="1"/>
  <c r="U214" i="13"/>
  <c r="W214" i="13" s="1"/>
  <c r="AF214" i="13" s="1"/>
  <c r="V223" i="13"/>
  <c r="AE223" i="13" s="1"/>
  <c r="U233" i="13"/>
  <c r="W233" i="13" s="1"/>
  <c r="AF233" i="13" s="1"/>
  <c r="AB241" i="13"/>
  <c r="AE241" i="13" s="1"/>
  <c r="AA267" i="13"/>
  <c r="AC267" i="13" s="1"/>
  <c r="AF267" i="13" s="1"/>
  <c r="U319" i="13"/>
  <c r="W319" i="13" s="1"/>
  <c r="U323" i="13"/>
  <c r="W323" i="13" s="1"/>
  <c r="AF323" i="13" s="1"/>
  <c r="V9" i="13"/>
  <c r="AE9" i="13" s="1"/>
  <c r="U333" i="13"/>
  <c r="W333" i="13" s="1"/>
  <c r="V168" i="13"/>
  <c r="AE168" i="13" s="1"/>
  <c r="U205" i="13"/>
  <c r="W205" i="13" s="1"/>
  <c r="AF205" i="13" s="1"/>
  <c r="AA257" i="13"/>
  <c r="AC257" i="13" s="1"/>
  <c r="AF257" i="13" s="1"/>
  <c r="AB32" i="13"/>
  <c r="AE32" i="13" s="1"/>
  <c r="V337" i="13"/>
  <c r="AB95" i="13"/>
  <c r="AE95" i="13" s="1"/>
  <c r="AA282" i="13"/>
  <c r="AC282" i="13" s="1"/>
  <c r="AF282" i="13" s="1"/>
  <c r="AB91" i="13"/>
  <c r="AE91" i="13" s="1"/>
  <c r="AB112" i="13"/>
  <c r="AE112" i="13" s="1"/>
  <c r="AA319" i="13"/>
  <c r="AC319" i="13" s="1"/>
  <c r="AA338" i="13"/>
  <c r="AC338" i="13" s="1"/>
  <c r="AF338" i="13" s="1"/>
  <c r="V344" i="13"/>
  <c r="AE344" i="13" s="1"/>
  <c r="AB72" i="13"/>
  <c r="AB143" i="13"/>
  <c r="AE143" i="13" s="1"/>
  <c r="V148" i="13"/>
  <c r="AB205" i="13"/>
  <c r="AE205" i="13" s="1"/>
  <c r="V55" i="13"/>
  <c r="AY352" i="13"/>
  <c r="AB38" i="13"/>
  <c r="AE38" i="13" s="1"/>
  <c r="U161" i="13"/>
  <c r="W161" i="13" s="1"/>
  <c r="AF161" i="13" s="1"/>
  <c r="AA322" i="13"/>
  <c r="AC322" i="13" s="1"/>
  <c r="AF322" i="13" s="1"/>
  <c r="AB68" i="13"/>
  <c r="AE68" i="13" s="1"/>
  <c r="AA126" i="13"/>
  <c r="AC126" i="13" s="1"/>
  <c r="AX352" i="13"/>
  <c r="V20" i="13"/>
  <c r="U144" i="13"/>
  <c r="W144" i="13" s="1"/>
  <c r="AF144" i="13" s="1"/>
  <c r="U234" i="13"/>
  <c r="W234" i="13" s="1"/>
  <c r="U274" i="13"/>
  <c r="W274" i="13" s="1"/>
  <c r="AF274" i="13" s="1"/>
  <c r="AA320" i="13"/>
  <c r="AC320" i="13" s="1"/>
  <c r="AA302" i="13"/>
  <c r="AC302" i="13" s="1"/>
  <c r="AF302" i="13" s="1"/>
  <c r="AO353" i="13"/>
  <c r="AA31" i="13"/>
  <c r="AC31" i="13" s="1"/>
  <c r="AF31" i="13" s="1"/>
  <c r="AB47" i="13"/>
  <c r="AE47" i="13" s="1"/>
  <c r="U53" i="13"/>
  <c r="W53" i="13" s="1"/>
  <c r="V71" i="13"/>
  <c r="AE71" i="13" s="1"/>
  <c r="V88" i="13"/>
  <c r="AE88" i="13" s="1"/>
  <c r="AB109" i="13"/>
  <c r="AE109" i="13" s="1"/>
  <c r="AB211" i="13"/>
  <c r="AE211" i="13" s="1"/>
  <c r="U221" i="13"/>
  <c r="W221" i="13" s="1"/>
  <c r="U244" i="13"/>
  <c r="W244" i="13" s="1"/>
  <c r="V255" i="13"/>
  <c r="V311" i="13"/>
  <c r="AO352" i="13"/>
  <c r="U130" i="13"/>
  <c r="W130" i="13" s="1"/>
  <c r="AF130" i="13" s="1"/>
  <c r="U226" i="13"/>
  <c r="W226" i="13" s="1"/>
  <c r="AA234" i="13"/>
  <c r="AC234" i="13" s="1"/>
  <c r="U156" i="13"/>
  <c r="W156" i="13" s="1"/>
  <c r="AF156" i="13" s="1"/>
  <c r="AB256" i="13"/>
  <c r="AE256" i="13" s="1"/>
  <c r="AB227" i="13"/>
  <c r="V299" i="13"/>
  <c r="U32" i="13"/>
  <c r="W32" i="13" s="1"/>
  <c r="AF32" i="13" s="1"/>
  <c r="U120" i="13"/>
  <c r="W120" i="13" s="1"/>
  <c r="AF120" i="13" s="1"/>
  <c r="AA286" i="13"/>
  <c r="AC286" i="13" s="1"/>
  <c r="AA306" i="13"/>
  <c r="AC306" i="13" s="1"/>
  <c r="AA326" i="13"/>
  <c r="AC326" i="13" s="1"/>
  <c r="AB357" i="13"/>
  <c r="AE357" i="13" s="1"/>
  <c r="U10" i="13"/>
  <c r="W10" i="13" s="1"/>
  <c r="AF10" i="13" s="1"/>
  <c r="AA39" i="13"/>
  <c r="AC39" i="13" s="1"/>
  <c r="V84" i="13"/>
  <c r="AE84" i="13" s="1"/>
  <c r="V89" i="13"/>
  <c r="AA98" i="13"/>
  <c r="AC98" i="13" s="1"/>
  <c r="AA107" i="13"/>
  <c r="AC107" i="13" s="1"/>
  <c r="AF107" i="13" s="1"/>
  <c r="AA181" i="13"/>
  <c r="AC181" i="13" s="1"/>
  <c r="AB190" i="13"/>
  <c r="AE190" i="13" s="1"/>
  <c r="U208" i="13"/>
  <c r="W208" i="13" s="1"/>
  <c r="U220" i="13"/>
  <c r="W220" i="13" s="1"/>
  <c r="AF220" i="13" s="1"/>
  <c r="AB238" i="13"/>
  <c r="AE238" i="13" s="1"/>
  <c r="U247" i="13"/>
  <c r="W247" i="13" s="1"/>
  <c r="AF247" i="13" s="1"/>
  <c r="AA251" i="13"/>
  <c r="AC251" i="13" s="1"/>
  <c r="U256" i="13"/>
  <c r="W256" i="13" s="1"/>
  <c r="AF256" i="13" s="1"/>
  <c r="U259" i="13"/>
  <c r="W259" i="13" s="1"/>
  <c r="AE264" i="13"/>
  <c r="V330" i="13"/>
  <c r="V342" i="13"/>
  <c r="AB358" i="13"/>
  <c r="AE358" i="13" s="1"/>
  <c r="AT360" i="13"/>
  <c r="U6" i="13"/>
  <c r="W6" i="13" s="1"/>
  <c r="AF6" i="13" s="1"/>
  <c r="AB26" i="13"/>
  <c r="AE26" i="13" s="1"/>
  <c r="AA35" i="13"/>
  <c r="AC35" i="13" s="1"/>
  <c r="AF35" i="13" s="1"/>
  <c r="AB45" i="13"/>
  <c r="AE45" i="13" s="1"/>
  <c r="U49" i="13"/>
  <c r="W49" i="13" s="1"/>
  <c r="AF49" i="13" s="1"/>
  <c r="AB103" i="13"/>
  <c r="AE103" i="13" s="1"/>
  <c r="V124" i="13"/>
  <c r="U132" i="13"/>
  <c r="W132" i="13" s="1"/>
  <c r="AB144" i="13"/>
  <c r="AE144" i="13" s="1"/>
  <c r="AB161" i="13"/>
  <c r="AE161" i="13" s="1"/>
  <c r="U166" i="13"/>
  <c r="W166" i="13" s="1"/>
  <c r="AF166" i="13" s="1"/>
  <c r="AB169" i="13"/>
  <c r="AE169" i="13" s="1"/>
  <c r="AA173" i="13"/>
  <c r="AC173" i="13" s="1"/>
  <c r="AF173" i="13" s="1"/>
  <c r="V195" i="13"/>
  <c r="U212" i="13"/>
  <c r="W212" i="13" s="1"/>
  <c r="AF212" i="13" s="1"/>
  <c r="AB232" i="13"/>
  <c r="AE232" i="13" s="1"/>
  <c r="AA264" i="13"/>
  <c r="AC264" i="13" s="1"/>
  <c r="AB288" i="13"/>
  <c r="AE288" i="13" s="1"/>
  <c r="AA318" i="13"/>
  <c r="AC318" i="13" s="1"/>
  <c r="AF318" i="13" s="1"/>
  <c r="AA346" i="13"/>
  <c r="AC346" i="13" s="1"/>
  <c r="AF346" i="13" s="1"/>
  <c r="AA355" i="13"/>
  <c r="AC355" i="13" s="1"/>
  <c r="AF355" i="13" s="1"/>
  <c r="AA363" i="13"/>
  <c r="AC363" i="13" s="1"/>
  <c r="AF363" i="13" s="1"/>
  <c r="U149" i="13"/>
  <c r="W149" i="13" s="1"/>
  <c r="U178" i="13"/>
  <c r="W178" i="13" s="1"/>
  <c r="AF178" i="13" s="1"/>
  <c r="U239" i="13"/>
  <c r="W239" i="13" s="1"/>
  <c r="AF239" i="13" s="1"/>
  <c r="AB247" i="13"/>
  <c r="AE247" i="13" s="1"/>
  <c r="U315" i="13"/>
  <c r="W315" i="13" s="1"/>
  <c r="U335" i="13"/>
  <c r="W335" i="13" s="1"/>
  <c r="AF335" i="13" s="1"/>
  <c r="U16" i="13"/>
  <c r="W16" i="13" s="1"/>
  <c r="AF16" i="13" s="1"/>
  <c r="V36" i="13"/>
  <c r="U46" i="13"/>
  <c r="W46" i="13" s="1"/>
  <c r="U108" i="13"/>
  <c r="W108" i="13" s="1"/>
  <c r="AF108" i="13" s="1"/>
  <c r="AA182" i="13"/>
  <c r="AC182" i="13" s="1"/>
  <c r="AB191" i="13"/>
  <c r="AB220" i="13"/>
  <c r="AE220" i="13" s="1"/>
  <c r="AB120" i="13"/>
  <c r="AE120" i="13" s="1"/>
  <c r="U125" i="13"/>
  <c r="W125" i="13" s="1"/>
  <c r="AF125" i="13" s="1"/>
  <c r="U137" i="13"/>
  <c r="W137" i="13" s="1"/>
  <c r="AF137" i="13" s="1"/>
  <c r="AA162" i="13"/>
  <c r="AC162" i="13" s="1"/>
  <c r="AB166" i="13"/>
  <c r="AE166" i="13" s="1"/>
  <c r="AA170" i="13"/>
  <c r="AC170" i="13" s="1"/>
  <c r="AA187" i="13"/>
  <c r="AC187" i="13" s="1"/>
  <c r="U196" i="13"/>
  <c r="W196" i="13" s="1"/>
  <c r="AF196" i="13" s="1"/>
  <c r="U236" i="13"/>
  <c r="W236" i="13" s="1"/>
  <c r="U285" i="13"/>
  <c r="W285" i="13" s="1"/>
  <c r="AA289" i="13"/>
  <c r="AC289" i="13" s="1"/>
  <c r="AA294" i="13"/>
  <c r="AC294" i="13" s="1"/>
  <c r="AF294" i="13" s="1"/>
  <c r="U307" i="13"/>
  <c r="W307" i="13" s="1"/>
  <c r="AF307" i="13" s="1"/>
  <c r="AA331" i="13"/>
  <c r="AC331" i="13" s="1"/>
  <c r="AF331" i="13" s="1"/>
  <c r="V12" i="13"/>
  <c r="AB108" i="13"/>
  <c r="AE108" i="13" s="1"/>
  <c r="AB142" i="13"/>
  <c r="AE142" i="13" s="1"/>
  <c r="AB154" i="13"/>
  <c r="AE154" i="13" s="1"/>
  <c r="V159" i="13"/>
  <c r="BA361" i="13"/>
  <c r="AB12" i="13"/>
  <c r="U24" i="13"/>
  <c r="W24" i="13" s="1"/>
  <c r="AF24" i="13" s="1"/>
  <c r="V29" i="13"/>
  <c r="AE29" i="13" s="1"/>
  <c r="U56" i="13"/>
  <c r="W56" i="13" s="1"/>
  <c r="AA78" i="13"/>
  <c r="AC78" i="13" s="1"/>
  <c r="U83" i="13"/>
  <c r="W83" i="13" s="1"/>
  <c r="AA101" i="13"/>
  <c r="AC101" i="13" s="1"/>
  <c r="U113" i="13"/>
  <c r="W113" i="13" s="1"/>
  <c r="AB175" i="13"/>
  <c r="AA188" i="13"/>
  <c r="AC188" i="13" s="1"/>
  <c r="AB202" i="13"/>
  <c r="AE202" i="13" s="1"/>
  <c r="U241" i="13"/>
  <c r="W241" i="13" s="1"/>
  <c r="AF241" i="13" s="1"/>
  <c r="AA245" i="13"/>
  <c r="AC245" i="13" s="1"/>
  <c r="V267" i="13"/>
  <c r="AE267" i="13" s="1"/>
  <c r="V282" i="13"/>
  <c r="AE282" i="13" s="1"/>
  <c r="AA295" i="13"/>
  <c r="AC295" i="13" s="1"/>
  <c r="AF295" i="13" s="1"/>
  <c r="V304" i="13"/>
  <c r="AE304" i="13" s="1"/>
  <c r="V308" i="13"/>
  <c r="AE308" i="13" s="1"/>
  <c r="AA312" i="13"/>
  <c r="AC312" i="13" s="1"/>
  <c r="AF312" i="13" s="1"/>
  <c r="U317" i="13"/>
  <c r="W317" i="13" s="1"/>
  <c r="AF317" i="13" s="1"/>
  <c r="AB323" i="13"/>
  <c r="AE323" i="13" s="1"/>
  <c r="AA344" i="13"/>
  <c r="AC344" i="13" s="1"/>
  <c r="AF344" i="13" s="1"/>
  <c r="U354" i="13"/>
  <c r="W354" i="13" s="1"/>
  <c r="AF354" i="13" s="1"/>
  <c r="BE332" i="13"/>
  <c r="BA360" i="13"/>
  <c r="U97" i="13"/>
  <c r="W97" i="13" s="1"/>
  <c r="AF97" i="13" s="1"/>
  <c r="V147" i="13"/>
  <c r="V160" i="13"/>
  <c r="AB184" i="13"/>
  <c r="AE184" i="13" s="1"/>
  <c r="AB218" i="13"/>
  <c r="AA230" i="13"/>
  <c r="AC230" i="13" s="1"/>
  <c r="AB20" i="13"/>
  <c r="U30" i="13"/>
  <c r="W30" i="13" s="1"/>
  <c r="AF30" i="13" s="1"/>
  <c r="U79" i="13"/>
  <c r="W79" i="13" s="1"/>
  <c r="AA83" i="13"/>
  <c r="AC83" i="13" s="1"/>
  <c r="AB118" i="13"/>
  <c r="AE118" i="13" s="1"/>
  <c r="V123" i="13"/>
  <c r="V305" i="13"/>
  <c r="U309" i="13"/>
  <c r="W309" i="13" s="1"/>
  <c r="AA313" i="13"/>
  <c r="AC313" i="13" s="1"/>
  <c r="AA324" i="13"/>
  <c r="AC324" i="13" s="1"/>
  <c r="AB354" i="13"/>
  <c r="AE354" i="13" s="1"/>
  <c r="AB160" i="13"/>
  <c r="V183" i="13"/>
  <c r="V201" i="13"/>
  <c r="AA224" i="13"/>
  <c r="AC224" i="13" s="1"/>
  <c r="AA308" i="13"/>
  <c r="AC308" i="13" s="1"/>
  <c r="AF308" i="13" s="1"/>
  <c r="AE7" i="13"/>
  <c r="AB10" i="13"/>
  <c r="AE10" i="13" s="1"/>
  <c r="AA13" i="13"/>
  <c r="AC13" i="13" s="1"/>
  <c r="AB16" i="13"/>
  <c r="AE16" i="13" s="1"/>
  <c r="AA21" i="13"/>
  <c r="AC21" i="13" s="1"/>
  <c r="AB24" i="13"/>
  <c r="AE24" i="13" s="1"/>
  <c r="AA27" i="13"/>
  <c r="AC27" i="13" s="1"/>
  <c r="AB30" i="13"/>
  <c r="AE30" i="13" s="1"/>
  <c r="AA33" i="13"/>
  <c r="AC33" i="13" s="1"/>
  <c r="V40" i="13"/>
  <c r="AE40" i="13" s="1"/>
  <c r="V43" i="13"/>
  <c r="V67" i="13"/>
  <c r="AE67" i="13" s="1"/>
  <c r="V77" i="13"/>
  <c r="AE77" i="13" s="1"/>
  <c r="AB89" i="13"/>
  <c r="U102" i="13"/>
  <c r="W102" i="13" s="1"/>
  <c r="AA110" i="13"/>
  <c r="AC110" i="13" s="1"/>
  <c r="AA113" i="13"/>
  <c r="AC113" i="13" s="1"/>
  <c r="V119" i="13"/>
  <c r="AE119" i="13" s="1"/>
  <c r="AA121" i="13"/>
  <c r="AC121" i="13" s="1"/>
  <c r="AA132" i="13"/>
  <c r="AC132" i="13" s="1"/>
  <c r="U136" i="13"/>
  <c r="W136" i="13" s="1"/>
  <c r="AF136" i="13" s="1"/>
  <c r="V138" i="13"/>
  <c r="AE138" i="13" s="1"/>
  <c r="AA149" i="13"/>
  <c r="AC149" i="13" s="1"/>
  <c r="V155" i="13"/>
  <c r="AE155" i="13" s="1"/>
  <c r="AA157" i="13"/>
  <c r="AC157" i="13" s="1"/>
  <c r="AA168" i="13"/>
  <c r="AC168" i="13" s="1"/>
  <c r="AF168" i="13" s="1"/>
  <c r="V171" i="13"/>
  <c r="AE171" i="13" s="1"/>
  <c r="V174" i="13"/>
  <c r="AE174" i="13" s="1"/>
  <c r="U180" i="13"/>
  <c r="W180" i="13" s="1"/>
  <c r="V186" i="13"/>
  <c r="V192" i="13"/>
  <c r="V198" i="13"/>
  <c r="U204" i="13"/>
  <c r="W204" i="13" s="1"/>
  <c r="AF204" i="13" s="1"/>
  <c r="AB206" i="13"/>
  <c r="AB212" i="13"/>
  <c r="AE212" i="13" s="1"/>
  <c r="V219" i="13"/>
  <c r="AE219" i="13" s="1"/>
  <c r="AA221" i="13"/>
  <c r="AC221" i="13" s="1"/>
  <c r="AA231" i="13"/>
  <c r="AC231" i="13" s="1"/>
  <c r="AB239" i="13"/>
  <c r="AE239" i="13" s="1"/>
  <c r="AB242" i="13"/>
  <c r="V249" i="13"/>
  <c r="V262" i="13"/>
  <c r="AB268" i="13"/>
  <c r="AB275" i="13"/>
  <c r="V280" i="13"/>
  <c r="AE280" i="13" s="1"/>
  <c r="V283" i="13"/>
  <c r="AE283" i="13" s="1"/>
  <c r="V293" i="13"/>
  <c r="AE293" i="13" s="1"/>
  <c r="AA315" i="13"/>
  <c r="AC315" i="13" s="1"/>
  <c r="AA327" i="13"/>
  <c r="AC327" i="13" s="1"/>
  <c r="AB330" i="13"/>
  <c r="AA333" i="13"/>
  <c r="AC333" i="13" s="1"/>
  <c r="AB342" i="13"/>
  <c r="U345" i="13"/>
  <c r="W345" i="13" s="1"/>
  <c r="AA351" i="13"/>
  <c r="AC351" i="13" s="1"/>
  <c r="AB361" i="13"/>
  <c r="AB6" i="13"/>
  <c r="AE6" i="13" s="1"/>
  <c r="AB55" i="13"/>
  <c r="V141" i="13"/>
  <c r="V189" i="13"/>
  <c r="U289" i="13"/>
  <c r="W289" i="13" s="1"/>
  <c r="AE33" i="13"/>
  <c r="AA7" i="13"/>
  <c r="AC7" i="13" s="1"/>
  <c r="V11" i="13"/>
  <c r="AE11" i="13" s="1"/>
  <c r="V17" i="13"/>
  <c r="AE17" i="13" s="1"/>
  <c r="V25" i="13"/>
  <c r="AE25" i="13" s="1"/>
  <c r="V31" i="13"/>
  <c r="AE31" i="13" s="1"/>
  <c r="AA40" i="13"/>
  <c r="AC40" i="13" s="1"/>
  <c r="AF40" i="13" s="1"/>
  <c r="AE44" i="13"/>
  <c r="AA77" i="13"/>
  <c r="AC77" i="13" s="1"/>
  <c r="AF77" i="13" s="1"/>
  <c r="AA80" i="13"/>
  <c r="AC80" i="13" s="1"/>
  <c r="AA96" i="13"/>
  <c r="AC96" i="13" s="1"/>
  <c r="U100" i="13"/>
  <c r="W100" i="13" s="1"/>
  <c r="AA119" i="13"/>
  <c r="AC119" i="13" s="1"/>
  <c r="AF119" i="13" s="1"/>
  <c r="AA127" i="13"/>
  <c r="AC127" i="13" s="1"/>
  <c r="AA138" i="13"/>
  <c r="AC138" i="13" s="1"/>
  <c r="AF138" i="13" s="1"/>
  <c r="U142" i="13"/>
  <c r="W142" i="13" s="1"/>
  <c r="AF142" i="13" s="1"/>
  <c r="AA155" i="13"/>
  <c r="AC155" i="13" s="1"/>
  <c r="AF155" i="13" s="1"/>
  <c r="AA163" i="13"/>
  <c r="AC163" i="13" s="1"/>
  <c r="U184" i="13"/>
  <c r="W184" i="13" s="1"/>
  <c r="AF184" i="13" s="1"/>
  <c r="U190" i="13"/>
  <c r="W190" i="13" s="1"/>
  <c r="AF190" i="13" s="1"/>
  <c r="AB198" i="13"/>
  <c r="U202" i="13"/>
  <c r="W202" i="13" s="1"/>
  <c r="AF202" i="13" s="1"/>
  <c r="V207" i="13"/>
  <c r="AA210" i="13"/>
  <c r="AC210" i="13" s="1"/>
  <c r="AA219" i="13"/>
  <c r="AC219" i="13" s="1"/>
  <c r="AF219" i="13" s="1"/>
  <c r="V225" i="13"/>
  <c r="AB228" i="13"/>
  <c r="U232" i="13"/>
  <c r="W232" i="13" s="1"/>
  <c r="AF232" i="13" s="1"/>
  <c r="AA237" i="13"/>
  <c r="AC237" i="13" s="1"/>
  <c r="AF237" i="13" s="1"/>
  <c r="U240" i="13"/>
  <c r="W240" i="13" s="1"/>
  <c r="V243" i="13"/>
  <c r="AA246" i="13"/>
  <c r="AC246" i="13" s="1"/>
  <c r="AE259" i="13"/>
  <c r="AB262" i="13"/>
  <c r="U266" i="13"/>
  <c r="W266" i="13" s="1"/>
  <c r="V273" i="13"/>
  <c r="AE273" i="13" s="1"/>
  <c r="AA283" i="13"/>
  <c r="AC283" i="13" s="1"/>
  <c r="AF283" i="13" s="1"/>
  <c r="U297" i="13"/>
  <c r="W297" i="13" s="1"/>
  <c r="V331" i="13"/>
  <c r="AE331" i="13" s="1"/>
  <c r="U343" i="13"/>
  <c r="W343" i="13" s="1"/>
  <c r="AF343" i="13" s="1"/>
  <c r="AA345" i="13"/>
  <c r="AC345" i="13" s="1"/>
  <c r="AA349" i="13"/>
  <c r="AC349" i="13" s="1"/>
  <c r="AF349" i="13" s="1"/>
  <c r="U362" i="13"/>
  <c r="W362" i="13" s="1"/>
  <c r="AF362" i="13" s="1"/>
  <c r="AB124" i="13"/>
  <c r="V302" i="13"/>
  <c r="AE302" i="13" s="1"/>
  <c r="BB344" i="13"/>
  <c r="AA50" i="13"/>
  <c r="AC50" i="13" s="1"/>
  <c r="AA53" i="13"/>
  <c r="AC53" i="13" s="1"/>
  <c r="U65" i="13"/>
  <c r="W65" i="13" s="1"/>
  <c r="AA71" i="13"/>
  <c r="AC71" i="13" s="1"/>
  <c r="AF71" i="13" s="1"/>
  <c r="AA74" i="13"/>
  <c r="AC74" i="13" s="1"/>
  <c r="AA90" i="13"/>
  <c r="AC90" i="13" s="1"/>
  <c r="U94" i="13"/>
  <c r="W94" i="13" s="1"/>
  <c r="AA102" i="13"/>
  <c r="AC102" i="13" s="1"/>
  <c r="U106" i="13"/>
  <c r="W106" i="13" s="1"/>
  <c r="U114" i="13"/>
  <c r="W114" i="13" s="1"/>
  <c r="V117" i="13"/>
  <c r="U131" i="13"/>
  <c r="W131" i="13" s="1"/>
  <c r="AB136" i="13"/>
  <c r="AE136" i="13" s="1"/>
  <c r="U150" i="13"/>
  <c r="W150" i="13" s="1"/>
  <c r="V153" i="13"/>
  <c r="U167" i="13"/>
  <c r="W167" i="13" s="1"/>
  <c r="U172" i="13"/>
  <c r="W172" i="13" s="1"/>
  <c r="AF172" i="13" s="1"/>
  <c r="U187" i="13"/>
  <c r="W187" i="13" s="1"/>
  <c r="U193" i="13"/>
  <c r="W193" i="13" s="1"/>
  <c r="AF193" i="13" s="1"/>
  <c r="AB204" i="13"/>
  <c r="AE204" i="13" s="1"/>
  <c r="AA216" i="13"/>
  <c r="AC216" i="13" s="1"/>
  <c r="AF216" i="13" s="1"/>
  <c r="U222" i="13"/>
  <c r="W222" i="13" s="1"/>
  <c r="U250" i="13"/>
  <c r="W250" i="13" s="1"/>
  <c r="AF250" i="13" s="1"/>
  <c r="V257" i="13"/>
  <c r="AE257" i="13" s="1"/>
  <c r="AA259" i="13"/>
  <c r="AC259" i="13" s="1"/>
  <c r="AA269" i="13"/>
  <c r="AC269" i="13" s="1"/>
  <c r="U281" i="13"/>
  <c r="W281" i="13" s="1"/>
  <c r="AF281" i="13" s="1"/>
  <c r="V287" i="13"/>
  <c r="V294" i="13"/>
  <c r="AE294" i="13" s="1"/>
  <c r="AA309" i="13"/>
  <c r="AC309" i="13" s="1"/>
  <c r="AA316" i="13"/>
  <c r="AC316" i="13" s="1"/>
  <c r="V322" i="13"/>
  <c r="AE322" i="13" s="1"/>
  <c r="AA334" i="13"/>
  <c r="AC334" i="13" s="1"/>
  <c r="AB299" i="13"/>
  <c r="AX344" i="13"/>
  <c r="AA11" i="13"/>
  <c r="AC11" i="13" s="1"/>
  <c r="AF11" i="13" s="1"/>
  <c r="AA17" i="13"/>
  <c r="AC17" i="13" s="1"/>
  <c r="AF17" i="13" s="1"/>
  <c r="AA25" i="13"/>
  <c r="AC25" i="13" s="1"/>
  <c r="AF25" i="13" s="1"/>
  <c r="AA44" i="13"/>
  <c r="AC44" i="13" s="1"/>
  <c r="AA56" i="13"/>
  <c r="AC56" i="13" s="1"/>
  <c r="AB62" i="13"/>
  <c r="AE62" i="13" s="1"/>
  <c r="AB178" i="13"/>
  <c r="AE178" i="13" s="1"/>
  <c r="AB196" i="13"/>
  <c r="AE196" i="13" s="1"/>
  <c r="U199" i="13"/>
  <c r="W199" i="13" s="1"/>
  <c r="AZ344" i="13"/>
  <c r="U73" i="13"/>
  <c r="W73" i="13" s="1"/>
  <c r="AW357" i="13"/>
  <c r="U15" i="13"/>
  <c r="W15" i="13" s="1"/>
  <c r="U41" i="13"/>
  <c r="W41" i="13" s="1"/>
  <c r="AA65" i="13"/>
  <c r="AC65" i="13" s="1"/>
  <c r="U78" i="13"/>
  <c r="W78" i="13" s="1"/>
  <c r="U341" i="13"/>
  <c r="W341" i="13" s="1"/>
  <c r="AB343" i="13"/>
  <c r="AE343" i="13" s="1"/>
  <c r="V346" i="13"/>
  <c r="AE346" i="13" s="1"/>
  <c r="U350" i="13"/>
  <c r="W350" i="13" s="1"/>
  <c r="U360" i="13"/>
  <c r="W360" i="13" s="1"/>
  <c r="AB362" i="13"/>
  <c r="AE362" i="13" s="1"/>
  <c r="AB36" i="13"/>
  <c r="AV356" i="13"/>
  <c r="U26" i="13"/>
  <c r="W26" i="13" s="1"/>
  <c r="AF26" i="13" s="1"/>
  <c r="AA54" i="13"/>
  <c r="AC54" i="13" s="1"/>
  <c r="AF54" i="13" s="1"/>
  <c r="V63" i="13"/>
  <c r="AE63" i="13" s="1"/>
  <c r="V72" i="13"/>
  <c r="U82" i="13"/>
  <c r="W82" i="13" s="1"/>
  <c r="U91" i="13"/>
  <c r="W91" i="13" s="1"/>
  <c r="AF91" i="13" s="1"/>
  <c r="U101" i="13"/>
  <c r="W101" i="13" s="1"/>
  <c r="U103" i="13"/>
  <c r="W103" i="13" s="1"/>
  <c r="AF103" i="13" s="1"/>
  <c r="AA114" i="13"/>
  <c r="AC114" i="13" s="1"/>
  <c r="U118" i="13"/>
  <c r="W118" i="13" s="1"/>
  <c r="AF118" i="13" s="1"/>
  <c r="AA131" i="13"/>
  <c r="AC131" i="13" s="1"/>
  <c r="AA139" i="13"/>
  <c r="AC139" i="13" s="1"/>
  <c r="AA150" i="13"/>
  <c r="AC150" i="13" s="1"/>
  <c r="U154" i="13"/>
  <c r="W154" i="13" s="1"/>
  <c r="AF154" i="13" s="1"/>
  <c r="AA167" i="13"/>
  <c r="AC167" i="13" s="1"/>
  <c r="U179" i="13"/>
  <c r="W179" i="13" s="1"/>
  <c r="V197" i="13"/>
  <c r="AA199" i="13"/>
  <c r="AC199" i="13" s="1"/>
  <c r="AA217" i="13"/>
  <c r="AC217" i="13" s="1"/>
  <c r="AB250" i="13"/>
  <c r="AE250" i="13" s="1"/>
  <c r="AA260" i="13"/>
  <c r="AC260" i="13" s="1"/>
  <c r="AA263" i="13"/>
  <c r="AC263" i="13" s="1"/>
  <c r="AF263" i="13" s="1"/>
  <c r="AA284" i="13"/>
  <c r="AC284" i="13" s="1"/>
  <c r="U288" i="13"/>
  <c r="W288" i="13" s="1"/>
  <c r="AF288" i="13" s="1"/>
  <c r="AA298" i="13"/>
  <c r="AC298" i="13" s="1"/>
  <c r="AB307" i="13"/>
  <c r="AE307" i="13" s="1"/>
  <c r="U326" i="13"/>
  <c r="W326" i="13" s="1"/>
  <c r="AB52" i="13"/>
  <c r="AE52" i="13" s="1"/>
  <c r="BA357" i="13"/>
  <c r="U39" i="13"/>
  <c r="W39" i="13" s="1"/>
  <c r="V48" i="13"/>
  <c r="AE48" i="13" s="1"/>
  <c r="AA51" i="13"/>
  <c r="AC51" i="13" s="1"/>
  <c r="U57" i="13"/>
  <c r="W57" i="13" s="1"/>
  <c r="U76" i="13"/>
  <c r="W76" i="13" s="1"/>
  <c r="AA84" i="13"/>
  <c r="AC84" i="13" s="1"/>
  <c r="AF84" i="13" s="1"/>
  <c r="U95" i="13"/>
  <c r="W95" i="13" s="1"/>
  <c r="AF95" i="13" s="1"/>
  <c r="AB97" i="13"/>
  <c r="AE97" i="13" s="1"/>
  <c r="U126" i="13"/>
  <c r="W126" i="13" s="1"/>
  <c r="V129" i="13"/>
  <c r="U143" i="13"/>
  <c r="W143" i="13" s="1"/>
  <c r="AF143" i="13" s="1"/>
  <c r="AB148" i="13"/>
  <c r="U162" i="13"/>
  <c r="W162" i="13" s="1"/>
  <c r="V165" i="13"/>
  <c r="U170" i="13"/>
  <c r="W170" i="13" s="1"/>
  <c r="U272" i="13"/>
  <c r="W272" i="13" s="1"/>
  <c r="V42" i="13"/>
  <c r="AE42" i="13" s="1"/>
  <c r="AA63" i="13"/>
  <c r="AC63" i="13" s="1"/>
  <c r="AF63" i="13" s="1"/>
  <c r="U66" i="13"/>
  <c r="W66" i="13" s="1"/>
  <c r="AA176" i="13"/>
  <c r="AC176" i="13" s="1"/>
  <c r="V215" i="13"/>
  <c r="AE215" i="13" s="1"/>
  <c r="AB235" i="13"/>
  <c r="U251" i="13"/>
  <c r="W251" i="13" s="1"/>
  <c r="U258" i="13"/>
  <c r="W258" i="13" s="1"/>
  <c r="V261" i="13"/>
  <c r="AB274" i="13"/>
  <c r="AE274" i="13" s="1"/>
  <c r="V279" i="13"/>
  <c r="AE279" i="13" s="1"/>
  <c r="AB291" i="13"/>
  <c r="V295" i="13"/>
  <c r="AE295" i="13" s="1"/>
  <c r="AB317" i="13"/>
  <c r="AE317" i="13" s="1"/>
  <c r="AB332" i="13"/>
  <c r="AB335" i="13"/>
  <c r="AE335" i="13" s="1"/>
  <c r="V338" i="13"/>
  <c r="AE338" i="13" s="1"/>
  <c r="BE240" i="13"/>
  <c r="BE239" i="13"/>
  <c r="BE238" i="13"/>
  <c r="AE187" i="13"/>
  <c r="B24" i="22"/>
  <c r="B26" i="22"/>
  <c r="B23" i="22"/>
  <c r="B22" i="22"/>
  <c r="BE236" i="13"/>
  <c r="BE242" i="13"/>
  <c r="BE241" i="13"/>
  <c r="BB352" i="13"/>
  <c r="AZ352" i="13"/>
  <c r="AY347" i="13"/>
  <c r="AX347" i="13"/>
  <c r="AW352" i="13"/>
  <c r="AV352" i="13"/>
  <c r="AS360" i="13"/>
  <c r="AP352" i="13"/>
  <c r="AE57" i="13"/>
  <c r="AE76" i="13"/>
  <c r="AE106" i="13"/>
  <c r="AE230" i="13"/>
  <c r="BA363" i="13"/>
  <c r="BA352" i="13"/>
  <c r="AY360" i="13"/>
  <c r="AY343" i="13"/>
  <c r="AW347" i="13"/>
  <c r="AR343" i="13"/>
  <c r="AE41" i="13"/>
  <c r="AE53" i="13"/>
  <c r="BB363" i="13"/>
  <c r="BB343" i="13"/>
  <c r="BA347" i="13"/>
  <c r="AZ356" i="13"/>
  <c r="AZ343" i="13"/>
  <c r="AY356" i="13"/>
  <c r="AW360" i="13"/>
  <c r="AU352" i="13"/>
  <c r="AE114" i="13"/>
  <c r="AE278" i="13"/>
  <c r="AP363" i="13"/>
  <c r="BA346" i="13"/>
  <c r="AY351" i="13"/>
  <c r="AX359" i="13"/>
  <c r="AZ363" i="13"/>
  <c r="AS359" i="13"/>
  <c r="AQ351" i="13"/>
  <c r="AP346" i="13"/>
  <c r="AN363" i="13"/>
  <c r="AE170" i="13"/>
  <c r="BB342" i="13"/>
  <c r="AY359" i="13"/>
  <c r="AW359" i="13"/>
  <c r="AW346" i="13"/>
  <c r="AU360" i="13"/>
  <c r="AT359" i="13"/>
  <c r="AS351" i="13"/>
  <c r="AE13" i="13"/>
  <c r="AE100" i="13"/>
  <c r="BB351" i="13"/>
  <c r="BA351" i="13"/>
  <c r="AZ359" i="13"/>
  <c r="AZ351" i="13"/>
  <c r="AV351" i="13"/>
  <c r="AU359" i="13"/>
  <c r="AR359" i="13"/>
  <c r="AO359" i="13"/>
  <c r="AN359" i="13"/>
  <c r="AE272" i="13"/>
  <c r="BB359" i="13"/>
  <c r="BA359" i="13"/>
  <c r="AZ346" i="13"/>
  <c r="AV359" i="13"/>
  <c r="AR351" i="13"/>
  <c r="AQ359" i="13"/>
  <c r="AN346" i="13"/>
  <c r="AE56" i="13"/>
  <c r="AE79" i="13"/>
  <c r="AE82" i="13"/>
  <c r="AE176" i="13"/>
  <c r="AE180" i="13"/>
  <c r="AE326" i="13"/>
  <c r="AE21" i="13"/>
  <c r="AE27" i="13"/>
  <c r="AE46" i="13"/>
  <c r="AE73" i="13"/>
  <c r="AE94" i="13"/>
  <c r="AE285" i="13"/>
  <c r="AE132" i="13"/>
  <c r="AE150" i="13"/>
  <c r="AE221" i="13"/>
  <c r="AE284" i="13"/>
  <c r="AE324" i="13"/>
  <c r="AE15" i="13"/>
  <c r="AE181" i="13"/>
  <c r="AE199" i="13"/>
  <c r="AE266" i="13"/>
  <c r="AE351" i="13"/>
  <c r="AE66" i="13"/>
  <c r="AE315" i="13"/>
  <c r="AE333" i="13"/>
  <c r="AE345" i="13"/>
  <c r="AN360" i="13"/>
  <c r="AJ360" i="13"/>
  <c r="AE23" i="13"/>
  <c r="AE39" i="13"/>
  <c r="AE50" i="13"/>
  <c r="AE65" i="13"/>
  <c r="AE85" i="13"/>
  <c r="AE126" i="13"/>
  <c r="AE162" i="13"/>
  <c r="AE269" i="13"/>
  <c r="AE300" i="13"/>
  <c r="AE309" i="13"/>
  <c r="BE146" i="13"/>
  <c r="AR360" i="13"/>
  <c r="AQ355" i="13"/>
  <c r="AP359" i="13"/>
  <c r="AM359" i="13"/>
  <c r="AP354" i="13"/>
  <c r="AR358" i="13"/>
  <c r="AF124" i="13"/>
  <c r="AF148" i="13"/>
  <c r="AF160" i="13"/>
  <c r="AF262" i="13"/>
  <c r="AF12" i="13"/>
  <c r="AF36" i="13"/>
  <c r="AE8" i="13"/>
  <c r="AE14" i="13"/>
  <c r="AE34" i="13"/>
  <c r="AF20" i="13"/>
  <c r="AE22" i="13"/>
  <c r="AF72" i="13"/>
  <c r="AF43" i="13"/>
  <c r="AE28" i="13"/>
  <c r="AF70" i="13"/>
  <c r="V80" i="13"/>
  <c r="AE80" i="13" s="1"/>
  <c r="U80" i="13"/>
  <c r="W80" i="13" s="1"/>
  <c r="AE90" i="13"/>
  <c r="AB99" i="13"/>
  <c r="AE99" i="13" s="1"/>
  <c r="AA99" i="13"/>
  <c r="AC99" i="13" s="1"/>
  <c r="V116" i="13"/>
  <c r="AE116" i="13" s="1"/>
  <c r="U116" i="13"/>
  <c r="W116" i="13" s="1"/>
  <c r="V122" i="13"/>
  <c r="AE122" i="13" s="1"/>
  <c r="U122" i="13"/>
  <c r="W122" i="13" s="1"/>
  <c r="V128" i="13"/>
  <c r="AE128" i="13" s="1"/>
  <c r="U128" i="13"/>
  <c r="W128" i="13" s="1"/>
  <c r="V134" i="13"/>
  <c r="AE134" i="13" s="1"/>
  <c r="U134" i="13"/>
  <c r="W134" i="13" s="1"/>
  <c r="V140" i="13"/>
  <c r="AE140" i="13" s="1"/>
  <c r="U140" i="13"/>
  <c r="W140" i="13" s="1"/>
  <c r="V146" i="13"/>
  <c r="AE146" i="13" s="1"/>
  <c r="U146" i="13"/>
  <c r="W146" i="13" s="1"/>
  <c r="V152" i="13"/>
  <c r="AE152" i="13" s="1"/>
  <c r="U152" i="13"/>
  <c r="W152" i="13" s="1"/>
  <c r="V158" i="13"/>
  <c r="AE158" i="13" s="1"/>
  <c r="U158" i="13"/>
  <c r="W158" i="13" s="1"/>
  <c r="V164" i="13"/>
  <c r="AE164" i="13" s="1"/>
  <c r="U164" i="13"/>
  <c r="W164" i="13" s="1"/>
  <c r="V194" i="13"/>
  <c r="AE194" i="13" s="1"/>
  <c r="U194" i="13"/>
  <c r="W194" i="13" s="1"/>
  <c r="AB240" i="13"/>
  <c r="AE240" i="13" s="1"/>
  <c r="AA240" i="13"/>
  <c r="AC240" i="13" s="1"/>
  <c r="AB261" i="13"/>
  <c r="AA261" i="13"/>
  <c r="AC261" i="13" s="1"/>
  <c r="U7" i="13"/>
  <c r="W7" i="13" s="1"/>
  <c r="AA8" i="13"/>
  <c r="AC8" i="13" s="1"/>
  <c r="U13" i="13"/>
  <c r="W13" i="13" s="1"/>
  <c r="AA14" i="13"/>
  <c r="AC14" i="13" s="1"/>
  <c r="U21" i="13"/>
  <c r="W21" i="13" s="1"/>
  <c r="AA22" i="13"/>
  <c r="AC22" i="13" s="1"/>
  <c r="U27" i="13"/>
  <c r="W27" i="13" s="1"/>
  <c r="AA28" i="13"/>
  <c r="AC28" i="13" s="1"/>
  <c r="U33" i="13"/>
  <c r="W33" i="13" s="1"/>
  <c r="AA34" i="13"/>
  <c r="AC34" i="13" s="1"/>
  <c r="AA42" i="13"/>
  <c r="AC42" i="13" s="1"/>
  <c r="AB43" i="13"/>
  <c r="U44" i="13"/>
  <c r="W44" i="13" s="1"/>
  <c r="U45" i="13"/>
  <c r="W45" i="13" s="1"/>
  <c r="AE51" i="13"/>
  <c r="U52" i="13"/>
  <c r="W52" i="13" s="1"/>
  <c r="AF55" i="13"/>
  <c r="AA57" i="13"/>
  <c r="AC57" i="13" s="1"/>
  <c r="U62" i="13"/>
  <c r="W62" i="13" s="1"/>
  <c r="AA67" i="13"/>
  <c r="AC67" i="13" s="1"/>
  <c r="V69" i="13"/>
  <c r="AE69" i="13" s="1"/>
  <c r="V74" i="13"/>
  <c r="AE74" i="13" s="1"/>
  <c r="U74" i="13"/>
  <c r="W74" i="13" s="1"/>
  <c r="AA85" i="13"/>
  <c r="AC85" i="13" s="1"/>
  <c r="AA92" i="13"/>
  <c r="AC92" i="13" s="1"/>
  <c r="U96" i="13"/>
  <c r="W96" i="13" s="1"/>
  <c r="AE102" i="13"/>
  <c r="V110" i="13"/>
  <c r="AE110" i="13" s="1"/>
  <c r="U110" i="13"/>
  <c r="W110" i="13" s="1"/>
  <c r="U115" i="13"/>
  <c r="W115" i="13" s="1"/>
  <c r="U121" i="13"/>
  <c r="W121" i="13" s="1"/>
  <c r="U127" i="13"/>
  <c r="W127" i="13" s="1"/>
  <c r="U133" i="13"/>
  <c r="W133" i="13" s="1"/>
  <c r="U139" i="13"/>
  <c r="W139" i="13" s="1"/>
  <c r="U145" i="13"/>
  <c r="W145" i="13" s="1"/>
  <c r="U151" i="13"/>
  <c r="W151" i="13" s="1"/>
  <c r="U157" i="13"/>
  <c r="W157" i="13" s="1"/>
  <c r="U163" i="13"/>
  <c r="W163" i="13" s="1"/>
  <c r="U169" i="13"/>
  <c r="W169" i="13" s="1"/>
  <c r="AB183" i="13"/>
  <c r="AA183" i="13"/>
  <c r="AC183" i="13" s="1"/>
  <c r="AA186" i="13"/>
  <c r="AC186" i="13" s="1"/>
  <c r="AB186" i="13"/>
  <c r="V191" i="13"/>
  <c r="AF198" i="13"/>
  <c r="U8" i="13"/>
  <c r="W8" i="13" s="1"/>
  <c r="AA9" i="13"/>
  <c r="AC9" i="13" s="1"/>
  <c r="U14" i="13"/>
  <c r="W14" i="13" s="1"/>
  <c r="AA15" i="13"/>
  <c r="AC15" i="13" s="1"/>
  <c r="U22" i="13"/>
  <c r="W22" i="13" s="1"/>
  <c r="AA23" i="13"/>
  <c r="AC23" i="13" s="1"/>
  <c r="U28" i="13"/>
  <c r="W28" i="13" s="1"/>
  <c r="AA29" i="13"/>
  <c r="AC29" i="13" s="1"/>
  <c r="U34" i="13"/>
  <c r="W34" i="13" s="1"/>
  <c r="V35" i="13"/>
  <c r="AE35" i="13" s="1"/>
  <c r="AA41" i="13"/>
  <c r="AC41" i="13" s="1"/>
  <c r="AA48" i="13"/>
  <c r="AC48" i="13" s="1"/>
  <c r="AB49" i="13"/>
  <c r="AE49" i="13" s="1"/>
  <c r="U50" i="13"/>
  <c r="W50" i="13" s="1"/>
  <c r="U51" i="13"/>
  <c r="W51" i="13" s="1"/>
  <c r="AA66" i="13"/>
  <c r="AC66" i="13" s="1"/>
  <c r="U68" i="13"/>
  <c r="W68" i="13" s="1"/>
  <c r="AA73" i="13"/>
  <c r="AC73" i="13" s="1"/>
  <c r="AE78" i="13"/>
  <c r="AA79" i="13"/>
  <c r="AC79" i="13" s="1"/>
  <c r="AA86" i="13"/>
  <c r="AC86" i="13" s="1"/>
  <c r="U90" i="13"/>
  <c r="W90" i="13" s="1"/>
  <c r="AB93" i="13"/>
  <c r="AE93" i="13" s="1"/>
  <c r="AA93" i="13"/>
  <c r="AC93" i="13" s="1"/>
  <c r="U109" i="13"/>
  <c r="W109" i="13" s="1"/>
  <c r="AF109" i="13" s="1"/>
  <c r="AB111" i="13"/>
  <c r="AE111" i="13" s="1"/>
  <c r="AA111" i="13"/>
  <c r="AC111" i="13" s="1"/>
  <c r="AE113" i="13"/>
  <c r="AA116" i="13"/>
  <c r="AC116" i="13" s="1"/>
  <c r="AB117" i="13"/>
  <c r="AA117" i="13"/>
  <c r="AC117" i="13" s="1"/>
  <c r="AA122" i="13"/>
  <c r="AC122" i="13" s="1"/>
  <c r="AB123" i="13"/>
  <c r="AA123" i="13"/>
  <c r="AC123" i="13" s="1"/>
  <c r="AA128" i="13"/>
  <c r="AC128" i="13" s="1"/>
  <c r="AB129" i="13"/>
  <c r="AA129" i="13"/>
  <c r="AC129" i="13" s="1"/>
  <c r="AE131" i="13"/>
  <c r="AA134" i="13"/>
  <c r="AC134" i="13" s="1"/>
  <c r="AB135" i="13"/>
  <c r="AA135" i="13"/>
  <c r="AC135" i="13" s="1"/>
  <c r="AA140" i="13"/>
  <c r="AC140" i="13" s="1"/>
  <c r="AB141" i="13"/>
  <c r="AA141" i="13"/>
  <c r="AC141" i="13" s="1"/>
  <c r="AA146" i="13"/>
  <c r="AC146" i="13" s="1"/>
  <c r="AB147" i="13"/>
  <c r="AA147" i="13"/>
  <c r="AC147" i="13" s="1"/>
  <c r="AE149" i="13"/>
  <c r="AA152" i="13"/>
  <c r="AC152" i="13" s="1"/>
  <c r="AB153" i="13"/>
  <c r="AA153" i="13"/>
  <c r="AC153" i="13" s="1"/>
  <c r="AA158" i="13"/>
  <c r="AC158" i="13" s="1"/>
  <c r="AB159" i="13"/>
  <c r="AA159" i="13"/>
  <c r="AC159" i="13" s="1"/>
  <c r="AA164" i="13"/>
  <c r="AC164" i="13" s="1"/>
  <c r="AB165" i="13"/>
  <c r="AA165" i="13"/>
  <c r="AC165" i="13" s="1"/>
  <c r="AE167" i="13"/>
  <c r="AA174" i="13"/>
  <c r="AC174" i="13" s="1"/>
  <c r="AA226" i="13"/>
  <c r="AC226" i="13" s="1"/>
  <c r="AB226" i="13"/>
  <c r="AE226" i="13" s="1"/>
  <c r="BE154" i="13"/>
  <c r="BR341" i="13"/>
  <c r="AB87" i="13"/>
  <c r="AE87" i="13" s="1"/>
  <c r="AA87" i="13"/>
  <c r="AC87" i="13" s="1"/>
  <c r="V98" i="13"/>
  <c r="AE98" i="13" s="1"/>
  <c r="U98" i="13"/>
  <c r="W98" i="13" s="1"/>
  <c r="V104" i="13"/>
  <c r="AE104" i="13" s="1"/>
  <c r="U104" i="13"/>
  <c r="W104" i="13" s="1"/>
  <c r="U176" i="13"/>
  <c r="W176" i="13" s="1"/>
  <c r="AA180" i="13"/>
  <c r="AC180" i="13" s="1"/>
  <c r="V188" i="13"/>
  <c r="AE188" i="13" s="1"/>
  <c r="U188" i="13"/>
  <c r="W188" i="13" s="1"/>
  <c r="U213" i="13"/>
  <c r="W213" i="13" s="1"/>
  <c r="V213" i="13"/>
  <c r="AE213" i="13" s="1"/>
  <c r="V218" i="13"/>
  <c r="U218" i="13"/>
  <c r="W218" i="13" s="1"/>
  <c r="U231" i="13"/>
  <c r="W231" i="13" s="1"/>
  <c r="V231" i="13"/>
  <c r="AE231" i="13" s="1"/>
  <c r="AB297" i="13"/>
  <c r="AE297" i="13" s="1"/>
  <c r="AA297" i="13"/>
  <c r="AC297" i="13" s="1"/>
  <c r="BG329" i="13"/>
  <c r="AB81" i="13"/>
  <c r="AE81" i="13" s="1"/>
  <c r="AA81" i="13"/>
  <c r="AC81" i="13" s="1"/>
  <c r="V92" i="13"/>
  <c r="AE92" i="13" s="1"/>
  <c r="U92" i="13"/>
  <c r="W92" i="13" s="1"/>
  <c r="AB105" i="13"/>
  <c r="AE105" i="13" s="1"/>
  <c r="AA105" i="13"/>
  <c r="AC105" i="13" s="1"/>
  <c r="AE115" i="13"/>
  <c r="AE121" i="13"/>
  <c r="AE127" i="13"/>
  <c r="AE133" i="13"/>
  <c r="AE139" i="13"/>
  <c r="AE157" i="13"/>
  <c r="AE163" i="13"/>
  <c r="V175" i="13"/>
  <c r="U175" i="13"/>
  <c r="W175" i="13" s="1"/>
  <c r="AF192" i="13"/>
  <c r="AB200" i="13"/>
  <c r="AA200" i="13"/>
  <c r="AC200" i="13" s="1"/>
  <c r="V217" i="13"/>
  <c r="AE217" i="13" s="1"/>
  <c r="U217" i="13"/>
  <c r="W217" i="13" s="1"/>
  <c r="AB225" i="13"/>
  <c r="AA225" i="13"/>
  <c r="AC225" i="13" s="1"/>
  <c r="V245" i="13"/>
  <c r="AE245" i="13" s="1"/>
  <c r="U245" i="13"/>
  <c r="W245" i="13" s="1"/>
  <c r="V246" i="13"/>
  <c r="AE246" i="13" s="1"/>
  <c r="U246" i="13"/>
  <c r="W246" i="13" s="1"/>
  <c r="AB253" i="13"/>
  <c r="AA253" i="13"/>
  <c r="AC253" i="13" s="1"/>
  <c r="V276" i="13"/>
  <c r="AE276" i="13" s="1"/>
  <c r="U276" i="13"/>
  <c r="W276" i="13" s="1"/>
  <c r="BE150" i="13"/>
  <c r="U47" i="13"/>
  <c r="W47" i="13" s="1"/>
  <c r="V54" i="13"/>
  <c r="AE54" i="13" s="1"/>
  <c r="AA69" i="13"/>
  <c r="AC69" i="13" s="1"/>
  <c r="AB70" i="13"/>
  <c r="AB75" i="13"/>
  <c r="AE75" i="13" s="1"/>
  <c r="AA75" i="13"/>
  <c r="AC75" i="13" s="1"/>
  <c r="AE83" i="13"/>
  <c r="U85" i="13"/>
  <c r="W85" i="13" s="1"/>
  <c r="V86" i="13"/>
  <c r="AE86" i="13" s="1"/>
  <c r="U86" i="13"/>
  <c r="W86" i="13" s="1"/>
  <c r="AF89" i="13"/>
  <c r="AE96" i="13"/>
  <c r="AE101" i="13"/>
  <c r="AA104" i="13"/>
  <c r="AC104" i="13" s="1"/>
  <c r="U181" i="13"/>
  <c r="W181" i="13" s="1"/>
  <c r="U185" i="13"/>
  <c r="W185" i="13" s="1"/>
  <c r="V185" i="13"/>
  <c r="AF191" i="13"/>
  <c r="AB192" i="13"/>
  <c r="AA208" i="13"/>
  <c r="AC208" i="13" s="1"/>
  <c r="AB208" i="13"/>
  <c r="AE208" i="13" s="1"/>
  <c r="V235" i="13"/>
  <c r="U235" i="13"/>
  <c r="W235" i="13" s="1"/>
  <c r="AB236" i="13"/>
  <c r="AE236" i="13" s="1"/>
  <c r="AA236" i="13"/>
  <c r="AC236" i="13" s="1"/>
  <c r="AB177" i="13"/>
  <c r="AA177" i="13"/>
  <c r="AC177" i="13" s="1"/>
  <c r="V182" i="13"/>
  <c r="AE182" i="13" s="1"/>
  <c r="U182" i="13"/>
  <c r="W182" i="13" s="1"/>
  <c r="AB222" i="13"/>
  <c r="AE222" i="13" s="1"/>
  <c r="AA222" i="13"/>
  <c r="AC222" i="13" s="1"/>
  <c r="AB243" i="13"/>
  <c r="AA243" i="13"/>
  <c r="AC243" i="13" s="1"/>
  <c r="V252" i="13"/>
  <c r="U252" i="13"/>
  <c r="W252" i="13" s="1"/>
  <c r="V254" i="13"/>
  <c r="U254" i="13"/>
  <c r="W254" i="13" s="1"/>
  <c r="V275" i="13"/>
  <c r="U275" i="13"/>
  <c r="W275" i="13" s="1"/>
  <c r="V306" i="13"/>
  <c r="AE306" i="13" s="1"/>
  <c r="U306" i="13"/>
  <c r="W306" i="13" s="1"/>
  <c r="U75" i="13"/>
  <c r="W75" i="13" s="1"/>
  <c r="AA76" i="13"/>
  <c r="AC76" i="13" s="1"/>
  <c r="U81" i="13"/>
  <c r="W81" i="13" s="1"/>
  <c r="AA82" i="13"/>
  <c r="AC82" i="13" s="1"/>
  <c r="U87" i="13"/>
  <c r="W87" i="13" s="1"/>
  <c r="AA88" i="13"/>
  <c r="AC88" i="13" s="1"/>
  <c r="U93" i="13"/>
  <c r="W93" i="13" s="1"/>
  <c r="AA94" i="13"/>
  <c r="AC94" i="13" s="1"/>
  <c r="U99" i="13"/>
  <c r="W99" i="13" s="1"/>
  <c r="AA100" i="13"/>
  <c r="AC100" i="13" s="1"/>
  <c r="U105" i="13"/>
  <c r="W105" i="13" s="1"/>
  <c r="AA106" i="13"/>
  <c r="AC106" i="13" s="1"/>
  <c r="U111" i="13"/>
  <c r="W111" i="13" s="1"/>
  <c r="AA171" i="13"/>
  <c r="AC171" i="13" s="1"/>
  <c r="AB172" i="13"/>
  <c r="AE172" i="13" s="1"/>
  <c r="AA194" i="13"/>
  <c r="AC194" i="13" s="1"/>
  <c r="AB201" i="13"/>
  <c r="AA201" i="13"/>
  <c r="AC201" i="13" s="1"/>
  <c r="AB207" i="13"/>
  <c r="AA207" i="13"/>
  <c r="AC207" i="13" s="1"/>
  <c r="V209" i="13"/>
  <c r="AE209" i="13" s="1"/>
  <c r="U209" i="13"/>
  <c r="W209" i="13" s="1"/>
  <c r="AA223" i="13"/>
  <c r="AC223" i="13" s="1"/>
  <c r="V227" i="13"/>
  <c r="U227" i="13"/>
  <c r="W227" i="13" s="1"/>
  <c r="V228" i="13"/>
  <c r="U228" i="13"/>
  <c r="W228" i="13" s="1"/>
  <c r="AB252" i="13"/>
  <c r="AA252" i="13"/>
  <c r="AC252" i="13" s="1"/>
  <c r="AB254" i="13"/>
  <c r="AA254" i="13"/>
  <c r="AC254" i="13" s="1"/>
  <c r="AF268" i="13"/>
  <c r="AB195" i="13"/>
  <c r="AA195" i="13"/>
  <c r="AC195" i="13" s="1"/>
  <c r="AF203" i="13"/>
  <c r="V206" i="13"/>
  <c r="U206" i="13"/>
  <c r="W206" i="13" s="1"/>
  <c r="V210" i="13"/>
  <c r="AE210" i="13" s="1"/>
  <c r="U210" i="13"/>
  <c r="W210" i="13" s="1"/>
  <c r="AA244" i="13"/>
  <c r="AC244" i="13" s="1"/>
  <c r="AB244" i="13"/>
  <c r="AE244" i="13" s="1"/>
  <c r="AE179" i="13"/>
  <c r="AB189" i="13"/>
  <c r="AA189" i="13"/>
  <c r="AC189" i="13" s="1"/>
  <c r="AF197" i="13"/>
  <c r="V200" i="13"/>
  <c r="U200" i="13"/>
  <c r="W200" i="13" s="1"/>
  <c r="V224" i="13"/>
  <c r="AE224" i="13" s="1"/>
  <c r="U224" i="13"/>
  <c r="W224" i="13" s="1"/>
  <c r="AB229" i="13"/>
  <c r="AE229" i="13" s="1"/>
  <c r="AA229" i="13"/>
  <c r="AC229" i="13" s="1"/>
  <c r="V242" i="13"/>
  <c r="U242" i="13"/>
  <c r="W242" i="13" s="1"/>
  <c r="V253" i="13"/>
  <c r="U253" i="13"/>
  <c r="W253" i="13" s="1"/>
  <c r="AB265" i="13"/>
  <c r="AA265" i="13"/>
  <c r="AC265" i="13" s="1"/>
  <c r="AB290" i="13"/>
  <c r="AA290" i="13"/>
  <c r="AC290" i="13" s="1"/>
  <c r="V248" i="13"/>
  <c r="AE248" i="13" s="1"/>
  <c r="U248" i="13"/>
  <c r="W248" i="13" s="1"/>
  <c r="V270" i="13"/>
  <c r="AE270" i="13" s="1"/>
  <c r="U270" i="13"/>
  <c r="W270" i="13" s="1"/>
  <c r="AB277" i="13"/>
  <c r="AE277" i="13" s="1"/>
  <c r="AA277" i="13"/>
  <c r="AC277" i="13" s="1"/>
  <c r="AA311" i="13"/>
  <c r="AC311" i="13" s="1"/>
  <c r="AB311" i="13"/>
  <c r="AA213" i="13"/>
  <c r="AC213" i="13" s="1"/>
  <c r="AB214" i="13"/>
  <c r="AE214" i="13" s="1"/>
  <c r="U230" i="13"/>
  <c r="W230" i="13" s="1"/>
  <c r="V237" i="13"/>
  <c r="AE237" i="13" s="1"/>
  <c r="AB249" i="13"/>
  <c r="AA249" i="13"/>
  <c r="AC249" i="13" s="1"/>
  <c r="U269" i="13"/>
  <c r="W269" i="13" s="1"/>
  <c r="AB271" i="13"/>
  <c r="AE271" i="13" s="1"/>
  <c r="AA271" i="13"/>
  <c r="AC271" i="13" s="1"/>
  <c r="AA276" i="13"/>
  <c r="AC276" i="13" s="1"/>
  <c r="AE289" i="13"/>
  <c r="V291" i="13"/>
  <c r="U291" i="13"/>
  <c r="W291" i="13" s="1"/>
  <c r="AB292" i="13"/>
  <c r="AA292" i="13"/>
  <c r="AC292" i="13" s="1"/>
  <c r="AB296" i="13"/>
  <c r="AE296" i="13" s="1"/>
  <c r="AA296" i="13"/>
  <c r="AC296" i="13" s="1"/>
  <c r="AA321" i="13"/>
  <c r="AC321" i="13" s="1"/>
  <c r="AB321" i="13"/>
  <c r="AE321" i="13" s="1"/>
  <c r="AE234" i="13"/>
  <c r="AB255" i="13"/>
  <c r="AA255" i="13"/>
  <c r="AC255" i="13" s="1"/>
  <c r="AE258" i="13"/>
  <c r="U264" i="13"/>
  <c r="W264" i="13" s="1"/>
  <c r="V265" i="13"/>
  <c r="U265" i="13"/>
  <c r="W265" i="13" s="1"/>
  <c r="U320" i="13"/>
  <c r="W320" i="13" s="1"/>
  <c r="V320" i="13"/>
  <c r="AE320" i="13" s="1"/>
  <c r="AE251" i="13"/>
  <c r="V260" i="13"/>
  <c r="AE260" i="13" s="1"/>
  <c r="U260" i="13"/>
  <c r="W260" i="13" s="1"/>
  <c r="AF299" i="13"/>
  <c r="V286" i="13"/>
  <c r="AE286" i="13" s="1"/>
  <c r="U286" i="13"/>
  <c r="W286" i="13" s="1"/>
  <c r="U313" i="13"/>
  <c r="W313" i="13" s="1"/>
  <c r="V313" i="13"/>
  <c r="AE313" i="13" s="1"/>
  <c r="AA339" i="13"/>
  <c r="AC339" i="13" s="1"/>
  <c r="AB339" i="13"/>
  <c r="AA266" i="13"/>
  <c r="AC266" i="13" s="1"/>
  <c r="U271" i="13"/>
  <c r="W271" i="13" s="1"/>
  <c r="AA272" i="13"/>
  <c r="AC272" i="13" s="1"/>
  <c r="U277" i="13"/>
  <c r="W277" i="13" s="1"/>
  <c r="AA278" i="13"/>
  <c r="AC278" i="13" s="1"/>
  <c r="U284" i="13"/>
  <c r="W284" i="13" s="1"/>
  <c r="AA285" i="13"/>
  <c r="AC285" i="13" s="1"/>
  <c r="AB287" i="13"/>
  <c r="AA287" i="13"/>
  <c r="AC287" i="13" s="1"/>
  <c r="U298" i="13"/>
  <c r="W298" i="13" s="1"/>
  <c r="V298" i="13"/>
  <c r="AE298" i="13" s="1"/>
  <c r="AB314" i="13"/>
  <c r="AE314" i="13" s="1"/>
  <c r="V328" i="13"/>
  <c r="AF342" i="13"/>
  <c r="AF361" i="13"/>
  <c r="AA273" i="13"/>
  <c r="AC273" i="13" s="1"/>
  <c r="U278" i="13"/>
  <c r="W278" i="13" s="1"/>
  <c r="AA279" i="13"/>
  <c r="AC279" i="13" s="1"/>
  <c r="V292" i="13"/>
  <c r="U292" i="13"/>
  <c r="W292" i="13" s="1"/>
  <c r="AF305" i="13"/>
  <c r="U316" i="13"/>
  <c r="W316" i="13" s="1"/>
  <c r="V316" i="13"/>
  <c r="AE316" i="13" s="1"/>
  <c r="U325" i="13"/>
  <c r="W325" i="13" s="1"/>
  <c r="V349" i="13"/>
  <c r="AE349" i="13" s="1"/>
  <c r="AA280" i="13"/>
  <c r="AC280" i="13" s="1"/>
  <c r="AB281" i="13"/>
  <c r="AE281" i="13" s="1"/>
  <c r="AE301" i="13"/>
  <c r="AB303" i="13"/>
  <c r="AE303" i="13" s="1"/>
  <c r="AA303" i="13"/>
  <c r="AC303" i="13" s="1"/>
  <c r="AA304" i="13"/>
  <c r="AC304" i="13" s="1"/>
  <c r="AB305" i="13"/>
  <c r="V310" i="13"/>
  <c r="AE319" i="13"/>
  <c r="AA341" i="13"/>
  <c r="AC341" i="13" s="1"/>
  <c r="AB341" i="13"/>
  <c r="AE341" i="13" s="1"/>
  <c r="U353" i="13"/>
  <c r="W353" i="13" s="1"/>
  <c r="V353" i="13"/>
  <c r="AE353" i="13" s="1"/>
  <c r="AA356" i="13"/>
  <c r="AC356" i="13" s="1"/>
  <c r="AB356" i="13"/>
  <c r="AE356" i="13" s="1"/>
  <c r="AB310" i="13"/>
  <c r="AA310" i="13"/>
  <c r="AC310" i="13" s="1"/>
  <c r="AB328" i="13"/>
  <c r="AA328" i="13"/>
  <c r="AC328" i="13" s="1"/>
  <c r="V332" i="13"/>
  <c r="U332" i="13"/>
  <c r="W332" i="13" s="1"/>
  <c r="U334" i="13"/>
  <c r="W334" i="13" s="1"/>
  <c r="V334" i="13"/>
  <c r="AE334" i="13" s="1"/>
  <c r="AA360" i="13"/>
  <c r="AC360" i="13" s="1"/>
  <c r="AB360" i="13"/>
  <c r="AE360" i="13" s="1"/>
  <c r="AA293" i="13"/>
  <c r="AC293" i="13" s="1"/>
  <c r="U296" i="13"/>
  <c r="W296" i="13" s="1"/>
  <c r="AA301" i="13"/>
  <c r="AC301" i="13" s="1"/>
  <c r="U303" i="13"/>
  <c r="W303" i="13" s="1"/>
  <c r="U314" i="13"/>
  <c r="W314" i="13" s="1"/>
  <c r="U321" i="13"/>
  <c r="W321" i="13" s="1"/>
  <c r="U324" i="13"/>
  <c r="W324" i="13" s="1"/>
  <c r="AB325" i="13"/>
  <c r="AE325" i="13" s="1"/>
  <c r="V327" i="13"/>
  <c r="AE327" i="13" s="1"/>
  <c r="U327" i="13"/>
  <c r="W327" i="13" s="1"/>
  <c r="AF330" i="13"/>
  <c r="U340" i="13"/>
  <c r="W340" i="13" s="1"/>
  <c r="V340" i="13"/>
  <c r="AE340" i="13" s="1"/>
  <c r="AA347" i="13"/>
  <c r="AC347" i="13" s="1"/>
  <c r="AB347" i="13"/>
  <c r="AE347" i="13" s="1"/>
  <c r="U352" i="13"/>
  <c r="W352" i="13" s="1"/>
  <c r="AA353" i="13"/>
  <c r="AC353" i="13" s="1"/>
  <c r="V312" i="13"/>
  <c r="AE312" i="13" s="1"/>
  <c r="AB337" i="13"/>
  <c r="AA337" i="13"/>
  <c r="AC337" i="13" s="1"/>
  <c r="V339" i="13"/>
  <c r="U339" i="13"/>
  <c r="W339" i="13" s="1"/>
  <c r="AA350" i="13"/>
  <c r="AC350" i="13" s="1"/>
  <c r="AB350" i="13"/>
  <c r="AE350" i="13" s="1"/>
  <c r="AB352" i="13"/>
  <c r="AE352" i="13" s="1"/>
  <c r="AA352" i="13"/>
  <c r="AC352" i="13" s="1"/>
  <c r="U357" i="13"/>
  <c r="W357" i="13" s="1"/>
  <c r="U359" i="13"/>
  <c r="W359" i="13" s="1"/>
  <c r="V359" i="13"/>
  <c r="AE359" i="13" s="1"/>
  <c r="AB329" i="13"/>
  <c r="AE329" i="13" s="1"/>
  <c r="AA340" i="13"/>
  <c r="AC340" i="13" s="1"/>
  <c r="V355" i="13"/>
  <c r="AE355" i="13" s="1"/>
  <c r="U358" i="13"/>
  <c r="W358" i="13" s="1"/>
  <c r="AA359" i="13"/>
  <c r="AC359" i="13" s="1"/>
  <c r="AW343" i="13"/>
  <c r="AU350" i="13"/>
  <c r="AT356" i="13"/>
  <c r="AS356" i="13"/>
  <c r="AN355" i="13"/>
  <c r="BB360" i="13"/>
  <c r="BB349" i="13"/>
  <c r="AY355" i="13"/>
  <c r="AX360" i="13"/>
  <c r="AX343" i="13"/>
  <c r="AW356" i="13"/>
  <c r="AV347" i="13"/>
  <c r="AU347" i="13"/>
  <c r="AT355" i="13"/>
  <c r="AS355" i="13"/>
  <c r="AR355" i="13"/>
  <c r="AQ361" i="13"/>
  <c r="AO343" i="13"/>
  <c r="BB347" i="13"/>
  <c r="BA356" i="13"/>
  <c r="AZ361" i="13"/>
  <c r="AX342" i="13"/>
  <c r="AW355" i="13"/>
  <c r="AV360" i="13"/>
  <c r="AV343" i="13"/>
  <c r="AU356" i="13"/>
  <c r="AU343" i="13"/>
  <c r="AT343" i="13"/>
  <c r="AQ360" i="13"/>
  <c r="AP343" i="13"/>
  <c r="AM360" i="13"/>
  <c r="BB356" i="13"/>
  <c r="BA355" i="13"/>
  <c r="BA343" i="13"/>
  <c r="AZ360" i="13"/>
  <c r="AZ347" i="13"/>
  <c r="AX356" i="13"/>
  <c r="AW362" i="13"/>
  <c r="AV342" i="13"/>
  <c r="AU355" i="13"/>
  <c r="AT362" i="13"/>
  <c r="AS347" i="13"/>
  <c r="AR347" i="13"/>
  <c r="AP360" i="13"/>
  <c r="BM248" i="13"/>
  <c r="BE147" i="13"/>
  <c r="AM293" i="13"/>
  <c r="AR356" i="13"/>
  <c r="AQ343" i="13"/>
  <c r="AP356" i="13"/>
  <c r="AN343" i="13"/>
  <c r="AS343" i="13"/>
  <c r="AO356" i="13"/>
  <c r="BE145" i="13"/>
  <c r="BE153" i="13"/>
  <c r="AQ356" i="13"/>
  <c r="AN356" i="13"/>
  <c r="AM343" i="13"/>
  <c r="BF188" i="13"/>
  <c r="BE149" i="13"/>
  <c r="AT224" i="13"/>
  <c r="AJ328" i="13"/>
  <c r="BE148" i="13"/>
  <c r="BE155" i="13"/>
  <c r="BR357" i="13"/>
  <c r="AU354" i="13"/>
  <c r="AR362" i="13"/>
  <c r="AN354" i="13"/>
  <c r="AL358" i="13"/>
  <c r="BG236" i="13"/>
  <c r="AY362" i="13"/>
  <c r="AY350" i="13"/>
  <c r="AX350" i="13"/>
  <c r="AW354" i="13"/>
  <c r="AW345" i="13"/>
  <c r="AU358" i="13"/>
  <c r="AT354" i="13"/>
  <c r="AM354" i="13"/>
  <c r="AK358" i="13"/>
  <c r="BB345" i="13"/>
  <c r="AY354" i="13"/>
  <c r="AU362" i="13"/>
  <c r="AT358" i="13"/>
  <c r="AS345" i="13"/>
  <c r="AR354" i="13"/>
  <c r="BV268" i="13"/>
  <c r="BP222" i="13"/>
  <c r="AX305" i="13"/>
  <c r="BN343" i="13"/>
  <c r="AX363" i="13"/>
  <c r="AV363" i="13"/>
  <c r="AU363" i="13"/>
  <c r="AT363" i="13"/>
  <c r="AY363" i="13"/>
  <c r="AW363" i="13"/>
  <c r="AS363" i="13"/>
  <c r="AV361" i="13"/>
  <c r="AS361" i="13"/>
  <c r="AW361" i="13"/>
  <c r="AU361" i="13"/>
  <c r="AY358" i="13"/>
  <c r="AN358" i="13"/>
  <c r="AU357" i="13"/>
  <c r="AP357" i="13"/>
  <c r="AK357" i="13"/>
  <c r="AS357" i="13"/>
  <c r="AL356" i="13"/>
  <c r="AX355" i="13"/>
  <c r="AV355" i="13"/>
  <c r="AS352" i="13"/>
  <c r="AQ352" i="13"/>
  <c r="AT352" i="13"/>
  <c r="AR352" i="13"/>
  <c r="AX351" i="13"/>
  <c r="AO351" i="13"/>
  <c r="AW350" i="13"/>
  <c r="AT350" i="13"/>
  <c r="AS350" i="13"/>
  <c r="AV350" i="13"/>
  <c r="AU349" i="13"/>
  <c r="AP349" i="13"/>
  <c r="AT347" i="13"/>
  <c r="AT346" i="13"/>
  <c r="AR346" i="13"/>
  <c r="AX345" i="13"/>
  <c r="AT345" i="13"/>
  <c r="AO345" i="13"/>
  <c r="AV345" i="13"/>
  <c r="AQ346" i="13"/>
  <c r="AO346" i="13"/>
  <c r="AN342" i="13"/>
  <c r="AZ342" i="13"/>
  <c r="AR342" i="13"/>
  <c r="BA321" i="13"/>
  <c r="AZ293" i="13"/>
  <c r="AM291" i="13"/>
  <c r="AJ273" i="13"/>
  <c r="BA253" i="13"/>
  <c r="AO249" i="13"/>
  <c r="AU244" i="13"/>
  <c r="AX222" i="13"/>
  <c r="AL363" i="13"/>
  <c r="AR363" i="13"/>
  <c r="AQ363" i="13"/>
  <c r="AO363" i="13"/>
  <c r="AJ361" i="13"/>
  <c r="AM361" i="13"/>
  <c r="AN361" i="13"/>
  <c r="AY361" i="13"/>
  <c r="AJ357" i="13"/>
  <c r="AN357" i="13"/>
  <c r="AQ357" i="13"/>
  <c r="AX357" i="13"/>
  <c r="BB357" i="13"/>
  <c r="AY357" i="13"/>
  <c r="AK353" i="13"/>
  <c r="AJ353" i="13"/>
  <c r="AP353" i="13"/>
  <c r="AZ353" i="13"/>
  <c r="BA353" i="13"/>
  <c r="AL353" i="13"/>
  <c r="AY353" i="13"/>
  <c r="BB353" i="13"/>
  <c r="AJ349" i="13"/>
  <c r="AN349" i="13"/>
  <c r="AT349" i="13"/>
  <c r="AW349" i="13"/>
  <c r="AM349" i="13"/>
  <c r="AR349" i="13"/>
  <c r="AS349" i="13"/>
  <c r="AV349" i="13"/>
  <c r="AY349" i="13"/>
  <c r="AZ349" i="13"/>
  <c r="BA349" i="13"/>
  <c r="AK344" i="13"/>
  <c r="AN344" i="13"/>
  <c r="AO344" i="13"/>
  <c r="AP344" i="13"/>
  <c r="AQ344" i="13"/>
  <c r="AY260" i="13"/>
  <c r="AY235" i="13"/>
  <c r="AZ340" i="13"/>
  <c r="BT303" i="13"/>
  <c r="BA294" i="13"/>
  <c r="AV315" i="13"/>
  <c r="BF356" i="13"/>
  <c r="BV356" i="13"/>
  <c r="BR352" i="13"/>
  <c r="BM352" i="13"/>
  <c r="BB361" i="13"/>
  <c r="AZ357" i="13"/>
  <c r="AY344" i="13"/>
  <c r="AX361" i="13"/>
  <c r="AX349" i="13"/>
  <c r="AV357" i="13"/>
  <c r="AT361" i="13"/>
  <c r="AT357" i="13"/>
  <c r="AP361" i="13"/>
  <c r="AS340" i="13"/>
  <c r="AZ297" i="13"/>
  <c r="AQ349" i="13"/>
  <c r="AO357" i="13"/>
  <c r="AM353" i="13"/>
  <c r="AO360" i="13"/>
  <c r="AN352" i="13"/>
  <c r="AM356" i="13"/>
  <c r="AM347" i="13"/>
  <c r="AL352" i="13"/>
  <c r="BF244" i="13"/>
  <c r="BW239" i="13"/>
  <c r="BS240" i="13"/>
  <c r="BJ256" i="13"/>
  <c r="AN336" i="13"/>
  <c r="AZ290" i="13"/>
  <c r="AO305" i="13"/>
  <c r="BL236" i="13"/>
  <c r="BW236" i="13"/>
  <c r="BR268" i="13"/>
  <c r="BG256" i="13"/>
  <c r="AZ266" i="13"/>
  <c r="BK303" i="13"/>
  <c r="BG354" i="13"/>
  <c r="BF354" i="13"/>
  <c r="BT354" i="13"/>
  <c r="BR350" i="13"/>
  <c r="BW350" i="13"/>
  <c r="BK349" i="13"/>
  <c r="BU349" i="13"/>
  <c r="AK361" i="13"/>
  <c r="AO361" i="13"/>
  <c r="AM363" i="13"/>
  <c r="AM357" i="13"/>
  <c r="AM352" i="13"/>
  <c r="AL349" i="13"/>
  <c r="AK360" i="13"/>
  <c r="BI359" i="13"/>
  <c r="BV359" i="13"/>
  <c r="BW359" i="13"/>
  <c r="AJ145" i="13"/>
  <c r="BA236" i="13"/>
  <c r="AR261" i="13"/>
  <c r="AL265" i="13"/>
  <c r="BT184" i="13"/>
  <c r="AX328" i="13"/>
  <c r="AS336" i="13"/>
  <c r="AN328" i="13"/>
  <c r="BK320" i="13"/>
  <c r="BB301" i="13"/>
  <c r="AX315" i="13"/>
  <c r="AU323" i="13"/>
  <c r="AQ319" i="13"/>
  <c r="AN323" i="13"/>
  <c r="AK315" i="13"/>
  <c r="BQ363" i="13"/>
  <c r="BF363" i="13"/>
  <c r="BR363" i="13"/>
  <c r="BP355" i="13"/>
  <c r="BV355" i="13"/>
  <c r="BP342" i="13"/>
  <c r="BL342" i="13"/>
  <c r="BT342" i="13"/>
  <c r="BI342" i="13"/>
  <c r="BN342" i="13"/>
  <c r="BM260" i="13"/>
  <c r="BI260" i="13"/>
  <c r="BE252" i="13"/>
  <c r="AW269" i="13"/>
  <c r="AQ252" i="13"/>
  <c r="AK252" i="13"/>
  <c r="BA340" i="13"/>
  <c r="AU328" i="13"/>
  <c r="AS328" i="13"/>
  <c r="AK336" i="13"/>
  <c r="BT320" i="13"/>
  <c r="AU291" i="13"/>
  <c r="AQ295" i="13"/>
  <c r="AM315" i="13"/>
  <c r="AJ303" i="13"/>
  <c r="BN351" i="13"/>
  <c r="BB269" i="13"/>
  <c r="AV249" i="13"/>
  <c r="BA336" i="13"/>
  <c r="AT336" i="13"/>
  <c r="AP328" i="13"/>
  <c r="AK328" i="13"/>
  <c r="BJ288" i="13"/>
  <c r="BA319" i="13"/>
  <c r="AX295" i="13"/>
  <c r="AT311" i="13"/>
  <c r="AP291" i="13"/>
  <c r="AJ362" i="13"/>
  <c r="AL362" i="13"/>
  <c r="AK362" i="13"/>
  <c r="AQ362" i="13"/>
  <c r="AS362" i="13"/>
  <c r="AV362" i="13"/>
  <c r="AX362" i="13"/>
  <c r="AZ362" i="13"/>
  <c r="BA362" i="13"/>
  <c r="BB362" i="13"/>
  <c r="AJ358" i="13"/>
  <c r="AQ358" i="13"/>
  <c r="AS358" i="13"/>
  <c r="AV358" i="13"/>
  <c r="AX358" i="13"/>
  <c r="AZ358" i="13"/>
  <c r="BA358" i="13"/>
  <c r="BB358" i="13"/>
  <c r="AK354" i="13"/>
  <c r="AL354" i="13"/>
  <c r="AQ354" i="13"/>
  <c r="AS354" i="13"/>
  <c r="AV354" i="13"/>
  <c r="AX354" i="13"/>
  <c r="AZ354" i="13"/>
  <c r="BA354" i="13"/>
  <c r="BB354" i="13"/>
  <c r="AK350" i="13"/>
  <c r="AJ350" i="13"/>
  <c r="AM350" i="13"/>
  <c r="AL350" i="13"/>
  <c r="AP350" i="13"/>
  <c r="AR350" i="13"/>
  <c r="AZ350" i="13"/>
  <c r="BA350" i="13"/>
  <c r="BB350" i="13"/>
  <c r="AJ345" i="13"/>
  <c r="AM345" i="13"/>
  <c r="AR345" i="13"/>
  <c r="AU345" i="13"/>
  <c r="AY345" i="13"/>
  <c r="AZ345" i="13"/>
  <c r="BA345" i="13"/>
  <c r="BU350" i="13"/>
  <c r="BT350" i="13"/>
  <c r="AQ345" i="13"/>
  <c r="AP362" i="13"/>
  <c r="AP358" i="13"/>
  <c r="AP345" i="13"/>
  <c r="AO362" i="13"/>
  <c r="AO358" i="13"/>
  <c r="AN350" i="13"/>
  <c r="AM362" i="13"/>
  <c r="AM358" i="13"/>
  <c r="AK345" i="13"/>
  <c r="AJ354" i="13"/>
  <c r="BQ350" i="13"/>
  <c r="BM350" i="13"/>
  <c r="BL354" i="13"/>
  <c r="BG356" i="13"/>
  <c r="BT356" i="13"/>
  <c r="BP347" i="13"/>
  <c r="BO347" i="13"/>
  <c r="AQ350" i="13"/>
  <c r="BV361" i="13"/>
  <c r="BV360" i="13"/>
  <c r="BU360" i="13"/>
  <c r="BT360" i="13"/>
  <c r="BH360" i="13"/>
  <c r="BE360" i="13"/>
  <c r="BR360" i="13"/>
  <c r="BN360" i="13"/>
  <c r="BG360" i="13"/>
  <c r="BW360" i="13"/>
  <c r="BS360" i="13"/>
  <c r="BO360" i="13"/>
  <c r="BW356" i="13"/>
  <c r="BQ356" i="13"/>
  <c r="BO356" i="13"/>
  <c r="BN356" i="13"/>
  <c r="BL356" i="13"/>
  <c r="BK356" i="13"/>
  <c r="BI356" i="13"/>
  <c r="BE356" i="13"/>
  <c r="BS356" i="13"/>
  <c r="BM356" i="13"/>
  <c r="BU356" i="13"/>
  <c r="BR356" i="13"/>
  <c r="AP355" i="13"/>
  <c r="AO355" i="13"/>
  <c r="AM355" i="13"/>
  <c r="AW353" i="13"/>
  <c r="AV353" i="13"/>
  <c r="AT353" i="13"/>
  <c r="AS353" i="13"/>
  <c r="AR353" i="13"/>
  <c r="AN353" i="13"/>
  <c r="AX353" i="13"/>
  <c r="AQ353" i="13"/>
  <c r="AW351" i="13"/>
  <c r="AN351" i="13"/>
  <c r="BV351" i="13"/>
  <c r="AU351" i="13"/>
  <c r="AT351" i="13"/>
  <c r="AP351" i="13"/>
  <c r="AM351" i="13"/>
  <c r="BT150" i="13"/>
  <c r="AU226" i="13"/>
  <c r="AZ264" i="13"/>
  <c r="AN256" i="13"/>
  <c r="BP146" i="13"/>
  <c r="BB331" i="13"/>
  <c r="AZ312" i="13"/>
  <c r="AU309" i="13"/>
  <c r="AR305" i="13"/>
  <c r="AP317" i="13"/>
  <c r="AN305" i="13"/>
  <c r="AK301" i="13"/>
  <c r="BV267" i="13"/>
  <c r="AZ254" i="13"/>
  <c r="AV266" i="13"/>
  <c r="BM146" i="13"/>
  <c r="BO316" i="13"/>
  <c r="BB323" i="13"/>
  <c r="BA305" i="13"/>
  <c r="AZ303" i="13"/>
  <c r="AY311" i="13"/>
  <c r="AW303" i="13"/>
  <c r="AR295" i="13"/>
  <c r="AN293" i="13"/>
  <c r="AM289" i="13"/>
  <c r="AJ321" i="13"/>
  <c r="BV349" i="13"/>
  <c r="BT361" i="13"/>
  <c r="BS342" i="13"/>
  <c r="BQ349" i="13"/>
  <c r="BE342" i="13"/>
  <c r="BK354" i="13"/>
  <c r="BR354" i="13"/>
  <c r="BU354" i="13"/>
  <c r="BW354" i="13"/>
  <c r="BF350" i="13"/>
  <c r="BI350" i="13"/>
  <c r="BL350" i="13"/>
  <c r="BN350" i="13"/>
  <c r="BE350" i="13"/>
  <c r="BS350" i="13"/>
  <c r="BV350" i="13"/>
  <c r="BL345" i="13"/>
  <c r="BE345" i="13"/>
  <c r="BU345" i="13"/>
  <c r="BF361" i="13"/>
  <c r="BP361" i="13"/>
  <c r="BR361" i="13"/>
  <c r="BF357" i="13"/>
  <c r="BN357" i="13"/>
  <c r="BT357" i="13"/>
  <c r="BV357" i="13"/>
  <c r="BL357" i="13"/>
  <c r="BQ353" i="13"/>
  <c r="BT353" i="13"/>
  <c r="BV353" i="13"/>
  <c r="BH353" i="13"/>
  <c r="BI353" i="13"/>
  <c r="BG349" i="13"/>
  <c r="BJ349" i="13"/>
  <c r="BR349" i="13"/>
  <c r="BS349" i="13"/>
  <c r="BT344" i="13"/>
  <c r="BU344" i="13"/>
  <c r="BW344" i="13"/>
  <c r="BM344" i="13"/>
  <c r="BR344" i="13"/>
  <c r="BV354" i="13"/>
  <c r="BV342" i="13"/>
  <c r="BU342" i="13"/>
  <c r="BT349" i="13"/>
  <c r="BS354" i="13"/>
  <c r="BR342" i="13"/>
  <c r="BQ354" i="13"/>
  <c r="BO349" i="13"/>
  <c r="BL361" i="13"/>
  <c r="BL349" i="13"/>
  <c r="BK362" i="13"/>
  <c r="BH350" i="13"/>
  <c r="BG350" i="13"/>
  <c r="BW353" i="13"/>
  <c r="BS344" i="13"/>
  <c r="BR353" i="13"/>
  <c r="BJ344" i="13"/>
  <c r="BE344" i="13"/>
  <c r="BL363" i="13"/>
  <c r="BT363" i="13"/>
  <c r="BU363" i="13"/>
  <c r="BV363" i="13"/>
  <c r="BS363" i="13"/>
  <c r="BH359" i="13"/>
  <c r="BR359" i="13"/>
  <c r="BS359" i="13"/>
  <c r="BT359" i="13"/>
  <c r="BU359" i="13"/>
  <c r="BF355" i="13"/>
  <c r="BL355" i="13"/>
  <c r="BN355" i="13"/>
  <c r="BR355" i="13"/>
  <c r="BF351" i="13"/>
  <c r="BP351" i="13"/>
  <c r="BL351" i="13"/>
  <c r="BT351" i="13"/>
  <c r="BF346" i="13"/>
  <c r="BV346" i="13"/>
  <c r="BG342" i="13"/>
  <c r="BF342" i="13"/>
  <c r="BK342" i="13"/>
  <c r="BM342" i="13"/>
  <c r="BO342" i="13"/>
  <c r="BQ342" i="13"/>
  <c r="BW342" i="13"/>
  <c r="AK352" i="13"/>
  <c r="AJ359" i="13"/>
  <c r="AL342" i="13"/>
  <c r="AK356" i="13"/>
  <c r="AK351" i="13"/>
  <c r="AK355" i="13"/>
  <c r="BQ347" i="13"/>
  <c r="AQ347" i="13"/>
  <c r="AP347" i="13"/>
  <c r="AO347" i="13"/>
  <c r="AN347" i="13"/>
  <c r="AL347" i="13"/>
  <c r="AK347" i="13"/>
  <c r="BW347" i="13"/>
  <c r="BK347" i="13"/>
  <c r="BP346" i="13"/>
  <c r="BB346" i="13"/>
  <c r="AS346" i="13"/>
  <c r="AM346" i="13"/>
  <c r="AK346" i="13"/>
  <c r="BL346" i="13"/>
  <c r="BT346" i="13"/>
  <c r="BR346" i="13"/>
  <c r="BN346" i="13"/>
  <c r="AY346" i="13"/>
  <c r="AX346" i="13"/>
  <c r="AV346" i="13"/>
  <c r="AU346" i="13"/>
  <c r="BS345" i="13"/>
  <c r="BN345" i="13"/>
  <c r="BM345" i="13"/>
  <c r="BG345" i="13"/>
  <c r="BV345" i="13"/>
  <c r="BT345" i="13"/>
  <c r="BH345" i="13"/>
  <c r="BF345" i="13"/>
  <c r="AL345" i="13"/>
  <c r="BR345" i="13"/>
  <c r="AU344" i="13"/>
  <c r="AT344" i="13"/>
  <c r="AS344" i="13"/>
  <c r="AR344" i="13"/>
  <c r="AM344" i="13"/>
  <c r="AJ344" i="13"/>
  <c r="AW344" i="13"/>
  <c r="AV344" i="13"/>
  <c r="AK343" i="13"/>
  <c r="AY342" i="13"/>
  <c r="AU342" i="13"/>
  <c r="AQ342" i="13"/>
  <c r="AM342" i="13"/>
  <c r="AT342" i="13"/>
  <c r="AP342" i="13"/>
  <c r="BA342" i="13"/>
  <c r="AW342" i="13"/>
  <c r="AS342" i="13"/>
  <c r="AO342" i="13"/>
  <c r="AK342" i="13"/>
  <c r="AL338" i="13"/>
  <c r="AZ338" i="13"/>
  <c r="BA338" i="13"/>
  <c r="AL334" i="13"/>
  <c r="AS334" i="13"/>
  <c r="BB303" i="13"/>
  <c r="AZ291" i="13"/>
  <c r="AX319" i="13"/>
  <c r="AV311" i="13"/>
  <c r="AU307" i="13"/>
  <c r="AT295" i="13"/>
  <c r="AR299" i="13"/>
  <c r="AP303" i="13"/>
  <c r="AN311" i="13"/>
  <c r="BB268" i="13"/>
  <c r="AY256" i="13"/>
  <c r="AT252" i="13"/>
  <c r="AR252" i="13"/>
  <c r="AN248" i="13"/>
  <c r="AY219" i="13"/>
  <c r="AN219" i="13"/>
  <c r="AW341" i="13"/>
  <c r="AS341" i="13"/>
  <c r="BB252" i="13"/>
  <c r="AY269" i="13"/>
  <c r="AY244" i="13"/>
  <c r="AX256" i="13"/>
  <c r="AW243" i="13"/>
  <c r="AU264" i="13"/>
  <c r="AT248" i="13"/>
  <c r="AR235" i="13"/>
  <c r="AP268" i="13"/>
  <c r="AM264" i="13"/>
  <c r="BS150" i="13"/>
  <c r="BT188" i="13"/>
  <c r="AR220" i="13"/>
  <c r="BK341" i="13"/>
  <c r="BO341" i="13"/>
  <c r="BV337" i="13"/>
  <c r="BW337" i="13"/>
  <c r="BM337" i="13"/>
  <c r="BM325" i="13"/>
  <c r="BQ325" i="13"/>
  <c r="BA326" i="13"/>
  <c r="AS338" i="13"/>
  <c r="BA295" i="13"/>
  <c r="AU319" i="13"/>
  <c r="AT323" i="13"/>
  <c r="AR319" i="13"/>
  <c r="AQ324" i="13"/>
  <c r="AP324" i="13"/>
  <c r="AP316" i="13"/>
  <c r="AU316" i="13"/>
  <c r="BN242" i="13"/>
  <c r="AX268" i="13"/>
  <c r="AW248" i="13"/>
  <c r="AK248" i="13"/>
  <c r="BA264" i="13"/>
  <c r="AY268" i="13"/>
  <c r="AY243" i="13"/>
  <c r="AX252" i="13"/>
  <c r="AW235" i="13"/>
  <c r="AU251" i="13"/>
  <c r="AS260" i="13"/>
  <c r="AQ260" i="13"/>
  <c r="BP150" i="13"/>
  <c r="AR219" i="13"/>
  <c r="BW225" i="13"/>
  <c r="BR225" i="13"/>
  <c r="BK322" i="13"/>
  <c r="BJ322" i="13"/>
  <c r="BV322" i="13"/>
  <c r="BE314" i="13"/>
  <c r="BQ314" i="13"/>
  <c r="BF310" i="13"/>
  <c r="BM310" i="13"/>
  <c r="BI306" i="13"/>
  <c r="BQ306" i="13"/>
  <c r="BI298" i="13"/>
  <c r="BU298" i="13"/>
  <c r="AJ323" i="13"/>
  <c r="AP323" i="13"/>
  <c r="AO323" i="13"/>
  <c r="AW323" i="13"/>
  <c r="AJ319" i="13"/>
  <c r="AK319" i="13"/>
  <c r="AL319" i="13"/>
  <c r="AO319" i="13"/>
  <c r="AV319" i="13"/>
  <c r="AW319" i="13"/>
  <c r="AY319" i="13"/>
  <c r="AZ319" i="13"/>
  <c r="AN319" i="13"/>
  <c r="AS319" i="13"/>
  <c r="AT319" i="13"/>
  <c r="BB319" i="13"/>
  <c r="AJ315" i="13"/>
  <c r="AN315" i="13"/>
  <c r="AT315" i="13"/>
  <c r="AU315" i="13"/>
  <c r="BB315" i="13"/>
  <c r="AQ315" i="13"/>
  <c r="AJ311" i="13"/>
  <c r="AP311" i="13"/>
  <c r="AQ311" i="13"/>
  <c r="AL303" i="13"/>
  <c r="AR303" i="13"/>
  <c r="AX303" i="13"/>
  <c r="BA303" i="13"/>
  <c r="AM303" i="13"/>
  <c r="AU303" i="13"/>
  <c r="AV303" i="13"/>
  <c r="AY303" i="13"/>
  <c r="AT299" i="13"/>
  <c r="AN299" i="13"/>
  <c r="BB299" i="13"/>
  <c r="AL295" i="13"/>
  <c r="AK295" i="13"/>
  <c r="AM295" i="13"/>
  <c r="AN295" i="13"/>
  <c r="AS295" i="13"/>
  <c r="AU295" i="13"/>
  <c r="AV295" i="13"/>
  <c r="AY295" i="13"/>
  <c r="AZ295" i="13"/>
  <c r="BB295" i="13"/>
  <c r="AJ295" i="13"/>
  <c r="AN291" i="13"/>
  <c r="AJ291" i="13"/>
  <c r="AL291" i="13"/>
  <c r="AR291" i="13"/>
  <c r="AW291" i="13"/>
  <c r="BB222" i="13"/>
  <c r="BU358" i="13"/>
  <c r="BQ362" i="13"/>
  <c r="BP358" i="13"/>
  <c r="BP352" i="13"/>
  <c r="BP343" i="13"/>
  <c r="BM362" i="13"/>
  <c r="BW362" i="13"/>
  <c r="BW352" i="13"/>
  <c r="BU352" i="13"/>
  <c r="BS358" i="13"/>
  <c r="BR362" i="13"/>
  <c r="BR358" i="13"/>
  <c r="BR347" i="13"/>
  <c r="BQ358" i="13"/>
  <c r="BO362" i="13"/>
  <c r="BJ358" i="13"/>
  <c r="BH347" i="13"/>
  <c r="BT362" i="13"/>
  <c r="BT358" i="13"/>
  <c r="BG363" i="13"/>
  <c r="BH363" i="13"/>
  <c r="BK363" i="13"/>
  <c r="BM363" i="13"/>
  <c r="BN363" i="13"/>
  <c r="BO363" i="13"/>
  <c r="BP363" i="13"/>
  <c r="BW363" i="13"/>
  <c r="BE363" i="13"/>
  <c r="BI363" i="13"/>
  <c r="BJ363" i="13"/>
  <c r="BE359" i="13"/>
  <c r="BF359" i="13"/>
  <c r="BN359" i="13"/>
  <c r="BO359" i="13"/>
  <c r="BJ359" i="13"/>
  <c r="BK359" i="13"/>
  <c r="BL359" i="13"/>
  <c r="BM359" i="13"/>
  <c r="BP359" i="13"/>
  <c r="BQ359" i="13"/>
  <c r="BG359" i="13"/>
  <c r="BE353" i="13"/>
  <c r="BF353" i="13"/>
  <c r="BK353" i="13"/>
  <c r="BN353" i="13"/>
  <c r="BM353" i="13"/>
  <c r="BP353" i="13"/>
  <c r="BU353" i="13"/>
  <c r="BG353" i="13"/>
  <c r="BJ353" i="13"/>
  <c r="BO353" i="13"/>
  <c r="BS353" i="13"/>
  <c r="BH349" i="13"/>
  <c r="BM349" i="13"/>
  <c r="BN349" i="13"/>
  <c r="BF349" i="13"/>
  <c r="BP349" i="13"/>
  <c r="BW349" i="13"/>
  <c r="BE349" i="13"/>
  <c r="BI349" i="13"/>
  <c r="BF344" i="13"/>
  <c r="BG344" i="13"/>
  <c r="BN344" i="13"/>
  <c r="BO344" i="13"/>
  <c r="BI344" i="13"/>
  <c r="BL344" i="13"/>
  <c r="BP344" i="13"/>
  <c r="BQ344" i="13"/>
  <c r="BH344" i="13"/>
  <c r="BK344" i="13"/>
  <c r="BF362" i="13"/>
  <c r="BJ362" i="13"/>
  <c r="BL362" i="13"/>
  <c r="BE362" i="13"/>
  <c r="BH362" i="13"/>
  <c r="BI362" i="13"/>
  <c r="BU362" i="13"/>
  <c r="BV362" i="13"/>
  <c r="BN362" i="13"/>
  <c r="BS362" i="13"/>
  <c r="BE358" i="13"/>
  <c r="BH358" i="13"/>
  <c r="BI358" i="13"/>
  <c r="BK358" i="13"/>
  <c r="BL358" i="13"/>
  <c r="BM358" i="13"/>
  <c r="BG358" i="13"/>
  <c r="BV358" i="13"/>
  <c r="BW358" i="13"/>
  <c r="BO358" i="13"/>
  <c r="BF352" i="13"/>
  <c r="BG352" i="13"/>
  <c r="BL352" i="13"/>
  <c r="BJ352" i="13"/>
  <c r="BK352" i="13"/>
  <c r="BN352" i="13"/>
  <c r="BO352" i="13"/>
  <c r="BS352" i="13"/>
  <c r="BV352" i="13"/>
  <c r="BH352" i="13"/>
  <c r="BQ352" i="13"/>
  <c r="BT352" i="13"/>
  <c r="BF347" i="13"/>
  <c r="BE347" i="13"/>
  <c r="BI347" i="13"/>
  <c r="BJ347" i="13"/>
  <c r="BL347" i="13"/>
  <c r="BU347" i="13"/>
  <c r="BV347" i="13"/>
  <c r="BM347" i="13"/>
  <c r="BN347" i="13"/>
  <c r="BS347" i="13"/>
  <c r="BT347" i="13"/>
  <c r="BF343" i="13"/>
  <c r="BL343" i="13"/>
  <c r="BV343" i="13"/>
  <c r="BT343" i="13"/>
  <c r="BQ360" i="13"/>
  <c r="BQ345" i="13"/>
  <c r="BP360" i="13"/>
  <c r="BP356" i="13"/>
  <c r="BP354" i="13"/>
  <c r="BP350" i="13"/>
  <c r="BP345" i="13"/>
  <c r="BO345" i="13"/>
  <c r="BN354" i="13"/>
  <c r="BM360" i="13"/>
  <c r="BL360" i="13"/>
  <c r="BK360" i="13"/>
  <c r="BH356" i="13"/>
  <c r="BF360" i="13"/>
  <c r="BE354" i="13"/>
  <c r="BH354" i="13"/>
  <c r="BI354" i="13"/>
  <c r="BM354" i="13"/>
  <c r="BJ350" i="13"/>
  <c r="BO350" i="13"/>
  <c r="BI345" i="13"/>
  <c r="BK345" i="13"/>
  <c r="AL359" i="13"/>
  <c r="AL344" i="13"/>
  <c r="AK363" i="13"/>
  <c r="AK349" i="13"/>
  <c r="AW329" i="13"/>
  <c r="AS329" i="13"/>
  <c r="BW323" i="13"/>
  <c r="BF323" i="13"/>
  <c r="BE311" i="13"/>
  <c r="BG311" i="13"/>
  <c r="BP311" i="13"/>
  <c r="BT311" i="13"/>
  <c r="BJ303" i="13"/>
  <c r="BQ303" i="13"/>
  <c r="BR299" i="13"/>
  <c r="BW299" i="13"/>
  <c r="BK291" i="13"/>
  <c r="BM291" i="13"/>
  <c r="BT291" i="13"/>
  <c r="BU291" i="13"/>
  <c r="BI291" i="13"/>
  <c r="BO291" i="13"/>
  <c r="BS291" i="13"/>
  <c r="BV291" i="13"/>
  <c r="AJ324" i="13"/>
  <c r="AT324" i="13"/>
  <c r="AY324" i="13"/>
  <c r="AJ320" i="13"/>
  <c r="AM320" i="13"/>
  <c r="BA320" i="13"/>
  <c r="AJ316" i="13"/>
  <c r="AN316" i="13"/>
  <c r="AZ316" i="13"/>
  <c r="BB316" i="13"/>
  <c r="AJ312" i="13"/>
  <c r="AP312" i="13"/>
  <c r="AS312" i="13"/>
  <c r="AO312" i="13"/>
  <c r="AQ312" i="13"/>
  <c r="AW312" i="13"/>
  <c r="AY312" i="13"/>
  <c r="AJ308" i="13"/>
  <c r="BB308" i="13"/>
  <c r="AP308" i="13"/>
  <c r="AJ300" i="13"/>
  <c r="AP300" i="13"/>
  <c r="BA300" i="13"/>
  <c r="AT300" i="13"/>
  <c r="AJ296" i="13"/>
  <c r="AW296" i="13"/>
  <c r="BB296" i="13"/>
  <c r="AR296" i="13"/>
  <c r="AV296" i="13"/>
  <c r="AJ292" i="13"/>
  <c r="AY292" i="13"/>
  <c r="AJ288" i="13"/>
  <c r="AV288" i="13"/>
  <c r="BA288" i="13"/>
  <c r="BB288" i="13"/>
  <c r="BB244" i="13"/>
  <c r="BA249" i="13"/>
  <c r="AW265" i="13"/>
  <c r="AU240" i="13"/>
  <c r="BQ227" i="13"/>
  <c r="BN227" i="13"/>
  <c r="AY224" i="13"/>
  <c r="BT330" i="13"/>
  <c r="BP334" i="13"/>
  <c r="BR325" i="13"/>
  <c r="BU325" i="13"/>
  <c r="BV309" i="13"/>
  <c r="BS303" i="13"/>
  <c r="BQ291" i="13"/>
  <c r="BF299" i="13"/>
  <c r="AY288" i="13"/>
  <c r="AX292" i="13"/>
  <c r="AW320" i="13"/>
  <c r="AV316" i="13"/>
  <c r="AU296" i="13"/>
  <c r="AT296" i="13"/>
  <c r="AS316" i="13"/>
  <c r="AR320" i="13"/>
  <c r="AO324" i="13"/>
  <c r="AN324" i="13"/>
  <c r="AM312" i="13"/>
  <c r="BA261" i="13"/>
  <c r="AV269" i="13"/>
  <c r="AV240" i="13"/>
  <c r="AS253" i="13"/>
  <c r="AP257" i="13"/>
  <c r="AN269" i="13"/>
  <c r="AM244" i="13"/>
  <c r="AL257" i="13"/>
  <c r="BH148" i="13"/>
  <c r="BP250" i="13"/>
  <c r="BB260" i="13"/>
  <c r="BB236" i="13"/>
  <c r="BA257" i="13"/>
  <c r="BA248" i="13"/>
  <c r="AZ268" i="13"/>
  <c r="AZ248" i="13"/>
  <c r="AY264" i="13"/>
  <c r="AY252" i="13"/>
  <c r="AY239" i="13"/>
  <c r="AX264" i="13"/>
  <c r="AX248" i="13"/>
  <c r="AW253" i="13"/>
  <c r="AW240" i="13"/>
  <c r="AV239" i="13"/>
  <c r="AT265" i="13"/>
  <c r="AT239" i="13"/>
  <c r="AR244" i="13"/>
  <c r="AQ257" i="13"/>
  <c r="AQ240" i="13"/>
  <c r="AP249" i="13"/>
  <c r="AN268" i="13"/>
  <c r="AN240" i="13"/>
  <c r="AM240" i="13"/>
  <c r="AL249" i="13"/>
  <c r="AJ244" i="13"/>
  <c r="BV334" i="13"/>
  <c r="AL329" i="13"/>
  <c r="BR311" i="13"/>
  <c r="BL299" i="13"/>
  <c r="BI303" i="13"/>
  <c r="BE291" i="13"/>
  <c r="AT316" i="13"/>
  <c r="AS296" i="13"/>
  <c r="AQ296" i="13"/>
  <c r="AM324" i="13"/>
  <c r="BF250" i="13"/>
  <c r="AU257" i="13"/>
  <c r="AJ146" i="13"/>
  <c r="BW254" i="13"/>
  <c r="BT249" i="13"/>
  <c r="BO270" i="13"/>
  <c r="BA256" i="13"/>
  <c r="BA239" i="13"/>
  <c r="AZ236" i="13"/>
  <c r="AY261" i="13"/>
  <c r="AY236" i="13"/>
  <c r="AX244" i="13"/>
  <c r="AW239" i="13"/>
  <c r="AU269" i="13"/>
  <c r="AT236" i="13"/>
  <c r="AS240" i="13"/>
  <c r="AR236" i="13"/>
  <c r="AP236" i="13"/>
  <c r="BV330" i="13"/>
  <c r="BR330" i="13"/>
  <c r="BI337" i="13"/>
  <c r="BV323" i="13"/>
  <c r="BJ291" i="13"/>
  <c r="BH303" i="13"/>
  <c r="AY320" i="13"/>
  <c r="AX316" i="13"/>
  <c r="AX288" i="13"/>
  <c r="AW316" i="13"/>
  <c r="AW288" i="13"/>
  <c r="AT288" i="13"/>
  <c r="AP296" i="13"/>
  <c r="AM316" i="13"/>
  <c r="AZ326" i="13"/>
  <c r="AT326" i="13"/>
  <c r="AM334" i="13"/>
  <c r="BI316" i="13"/>
  <c r="AV305" i="13"/>
  <c r="AU301" i="13"/>
  <c r="AR321" i="13"/>
  <c r="AQ317" i="13"/>
  <c r="AO297" i="13"/>
  <c r="AM305" i="13"/>
  <c r="BJ361" i="13"/>
  <c r="BJ357" i="13"/>
  <c r="BJ355" i="13"/>
  <c r="BJ351" i="13"/>
  <c r="BJ346" i="13"/>
  <c r="BJ343" i="13"/>
  <c r="BW361" i="13"/>
  <c r="BW357" i="13"/>
  <c r="BW355" i="13"/>
  <c r="BW351" i="13"/>
  <c r="BW346" i="13"/>
  <c r="BW343" i="13"/>
  <c r="BU361" i="13"/>
  <c r="BU357" i="13"/>
  <c r="BU355" i="13"/>
  <c r="BU351" i="13"/>
  <c r="BU346" i="13"/>
  <c r="BU343" i="13"/>
  <c r="BS361" i="13"/>
  <c r="BS357" i="13"/>
  <c r="BS355" i="13"/>
  <c r="BS351" i="13"/>
  <c r="BS346" i="13"/>
  <c r="BS343" i="13"/>
  <c r="BQ361" i="13"/>
  <c r="BQ357" i="13"/>
  <c r="BQ355" i="13"/>
  <c r="BQ351" i="13"/>
  <c r="BQ346" i="13"/>
  <c r="BQ343" i="13"/>
  <c r="BO361" i="13"/>
  <c r="BO357" i="13"/>
  <c r="BO355" i="13"/>
  <c r="BO351" i="13"/>
  <c r="BO346" i="13"/>
  <c r="BO343" i="13"/>
  <c r="BM361" i="13"/>
  <c r="BM357" i="13"/>
  <c r="BM355" i="13"/>
  <c r="BM351" i="13"/>
  <c r="BM346" i="13"/>
  <c r="BM343" i="13"/>
  <c r="BK350" i="13"/>
  <c r="BJ360" i="13"/>
  <c r="BJ356" i="13"/>
  <c r="BJ354" i="13"/>
  <c r="BJ345" i="13"/>
  <c r="BJ342" i="13"/>
  <c r="BI352" i="13"/>
  <c r="BH361" i="13"/>
  <c r="BH357" i="13"/>
  <c r="BH355" i="13"/>
  <c r="BH351" i="13"/>
  <c r="BH346" i="13"/>
  <c r="BH343" i="13"/>
  <c r="BG362" i="13"/>
  <c r="BG347" i="13"/>
  <c r="BF358" i="13"/>
  <c r="BE361" i="13"/>
  <c r="BG361" i="13"/>
  <c r="BI361" i="13"/>
  <c r="BK361" i="13"/>
  <c r="BE357" i="13"/>
  <c r="BG357" i="13"/>
  <c r="BI357" i="13"/>
  <c r="BK357" i="13"/>
  <c r="BE355" i="13"/>
  <c r="BG355" i="13"/>
  <c r="BI355" i="13"/>
  <c r="BK355" i="13"/>
  <c r="BE351" i="13"/>
  <c r="BG351" i="13"/>
  <c r="BI351" i="13"/>
  <c r="BK351" i="13"/>
  <c r="BE346" i="13"/>
  <c r="BG346" i="13"/>
  <c r="BI346" i="13"/>
  <c r="BK346" i="13"/>
  <c r="BE343" i="13"/>
  <c r="BG343" i="13"/>
  <c r="BI343" i="13"/>
  <c r="BK343" i="13"/>
  <c r="AL361" i="13"/>
  <c r="AL357" i="13"/>
  <c r="AL355" i="13"/>
  <c r="AL351" i="13"/>
  <c r="AL346" i="13"/>
  <c r="AL343" i="13"/>
  <c r="BF235" i="13"/>
  <c r="BW235" i="13"/>
  <c r="AY270" i="13"/>
  <c r="AW270" i="13"/>
  <c r="AP245" i="13"/>
  <c r="BB245" i="13"/>
  <c r="AM188" i="13"/>
  <c r="AM184" i="13"/>
  <c r="AS184" i="13"/>
  <c r="BU267" i="13"/>
  <c r="BM255" i="13"/>
  <c r="BH238" i="13"/>
  <c r="BG238" i="13"/>
  <c r="BJ238" i="13"/>
  <c r="AW254" i="13"/>
  <c r="AN254" i="13"/>
  <c r="AJ267" i="13"/>
  <c r="AX269" i="13"/>
  <c r="AS269" i="13"/>
  <c r="AT269" i="13"/>
  <c r="AZ269" i="13"/>
  <c r="BA269" i="13"/>
  <c r="AX265" i="13"/>
  <c r="BB265" i="13"/>
  <c r="AJ261" i="13"/>
  <c r="AV261" i="13"/>
  <c r="AR257" i="13"/>
  <c r="AZ257" i="13"/>
  <c r="AN253" i="13"/>
  <c r="AO253" i="13"/>
  <c r="AX253" i="13"/>
  <c r="AK249" i="13"/>
  <c r="AT249" i="13"/>
  <c r="AJ335" i="13"/>
  <c r="AM335" i="13"/>
  <c r="AK331" i="13"/>
  <c r="BA331" i="13"/>
  <c r="BB322" i="13"/>
  <c r="BB314" i="13"/>
  <c r="BB294" i="13"/>
  <c r="AV314" i="13"/>
  <c r="BJ245" i="13"/>
  <c r="BW245" i="13"/>
  <c r="AR266" i="13"/>
  <c r="AM254" i="13"/>
  <c r="AJ266" i="13"/>
  <c r="AJ322" i="13"/>
  <c r="AM322" i="13"/>
  <c r="AU322" i="13"/>
  <c r="AY322" i="13"/>
  <c r="AO322" i="13"/>
  <c r="AR322" i="13"/>
  <c r="AS322" i="13"/>
  <c r="AV322" i="13"/>
  <c r="AL322" i="13"/>
  <c r="AW322" i="13"/>
  <c r="AO318" i="13"/>
  <c r="AN318" i="13"/>
  <c r="AQ318" i="13"/>
  <c r="AT318" i="13"/>
  <c r="AX318" i="13"/>
  <c r="AZ318" i="13"/>
  <c r="BB318" i="13"/>
  <c r="AK318" i="13"/>
  <c r="AP318" i="13"/>
  <c r="AR318" i="13"/>
  <c r="AY318" i="13"/>
  <c r="AM318" i="13"/>
  <c r="AS318" i="13"/>
  <c r="AU318" i="13"/>
  <c r="AV318" i="13"/>
  <c r="AJ314" i="13"/>
  <c r="AL314" i="13"/>
  <c r="AQ314" i="13"/>
  <c r="AS314" i="13"/>
  <c r="AT314" i="13"/>
  <c r="BA314" i="13"/>
  <c r="AN314" i="13"/>
  <c r="AX314" i="13"/>
  <c r="AP314" i="13"/>
  <c r="AW314" i="13"/>
  <c r="AY314" i="13"/>
  <c r="AZ314" i="13"/>
  <c r="AR310" i="13"/>
  <c r="AO310" i="13"/>
  <c r="AV310" i="13"/>
  <c r="AQ310" i="13"/>
  <c r="AU310" i="13"/>
  <c r="AJ310" i="13"/>
  <c r="AM310" i="13"/>
  <c r="AN310" i="13"/>
  <c r="AS310" i="13"/>
  <c r="AT310" i="13"/>
  <c r="AO306" i="13"/>
  <c r="AW306" i="13"/>
  <c r="AR306" i="13"/>
  <c r="AK306" i="13"/>
  <c r="AY306" i="13"/>
  <c r="AN302" i="13"/>
  <c r="AK302" i="13"/>
  <c r="AY302" i="13"/>
  <c r="BA302" i="13"/>
  <c r="AS302" i="13"/>
  <c r="AV302" i="13"/>
  <c r="AO302" i="13"/>
  <c r="AK298" i="13"/>
  <c r="AP298" i="13"/>
  <c r="AQ298" i="13"/>
  <c r="AR298" i="13"/>
  <c r="AS298" i="13"/>
  <c r="AT298" i="13"/>
  <c r="AU298" i="13"/>
  <c r="AV298" i="13"/>
  <c r="AL298" i="13"/>
  <c r="AM298" i="13"/>
  <c r="AN298" i="13"/>
  <c r="AW298" i="13"/>
  <c r="AZ298" i="13"/>
  <c r="BA298" i="13"/>
  <c r="BB298" i="13"/>
  <c r="AJ294" i="13"/>
  <c r="AM294" i="13"/>
  <c r="AN294" i="13"/>
  <c r="AX294" i="13"/>
  <c r="AY294" i="13"/>
  <c r="AK294" i="13"/>
  <c r="AR294" i="13"/>
  <c r="AS294" i="13"/>
  <c r="AU294" i="13"/>
  <c r="AQ294" i="13"/>
  <c r="AT294" i="13"/>
  <c r="AV294" i="13"/>
  <c r="AZ294" i="13"/>
  <c r="AP290" i="13"/>
  <c r="AK290" i="13"/>
  <c r="AL290" i="13"/>
  <c r="AM290" i="13"/>
  <c r="AS290" i="13"/>
  <c r="AV290" i="13"/>
  <c r="AW290" i="13"/>
  <c r="AJ290" i="13"/>
  <c r="AY290" i="13"/>
  <c r="BA290" i="13"/>
  <c r="BH237" i="13"/>
  <c r="BM237" i="13"/>
  <c r="AK262" i="13"/>
  <c r="AY190" i="13"/>
  <c r="AV190" i="13"/>
  <c r="AL227" i="13"/>
  <c r="AN227" i="13"/>
  <c r="AZ250" i="13"/>
  <c r="AW266" i="13"/>
  <c r="AV262" i="13"/>
  <c r="AS250" i="13"/>
  <c r="AS188" i="13"/>
  <c r="BH226" i="13"/>
  <c r="BL226" i="13"/>
  <c r="BJ339" i="13"/>
  <c r="BH341" i="13"/>
  <c r="BM341" i="13"/>
  <c r="BV341" i="13"/>
  <c r="BW341" i="13"/>
  <c r="BJ341" i="13"/>
  <c r="BQ341" i="13"/>
  <c r="BH337" i="13"/>
  <c r="BJ337" i="13"/>
  <c r="BK337" i="13"/>
  <c r="BR337" i="13"/>
  <c r="BU337" i="13"/>
  <c r="BH329" i="13"/>
  <c r="BR329" i="13"/>
  <c r="BM329" i="13"/>
  <c r="BH325" i="13"/>
  <c r="BK325" i="13"/>
  <c r="BV325" i="13"/>
  <c r="BJ325" i="13"/>
  <c r="BW325" i="13"/>
  <c r="AW337" i="13"/>
  <c r="BA337" i="13"/>
  <c r="AW333" i="13"/>
  <c r="AS333" i="13"/>
  <c r="AW325" i="13"/>
  <c r="AP325" i="13"/>
  <c r="BE323" i="13"/>
  <c r="BL323" i="13"/>
  <c r="BT323" i="13"/>
  <c r="BR319" i="13"/>
  <c r="BT319" i="13"/>
  <c r="BW319" i="13"/>
  <c r="BH315" i="13"/>
  <c r="BP315" i="13"/>
  <c r="BF311" i="13"/>
  <c r="BK311" i="13"/>
  <c r="BS311" i="13"/>
  <c r="BQ311" i="13"/>
  <c r="BI307" i="13"/>
  <c r="BT307" i="13"/>
  <c r="BW307" i="13"/>
  <c r="BM307" i="13"/>
  <c r="BE303" i="13"/>
  <c r="BF303" i="13"/>
  <c r="BG303" i="13"/>
  <c r="BU303" i="13"/>
  <c r="BR303" i="13"/>
  <c r="BV303" i="13"/>
  <c r="BM299" i="13"/>
  <c r="BE299" i="13"/>
  <c r="BJ299" i="13"/>
  <c r="BI299" i="13"/>
  <c r="BK299" i="13"/>
  <c r="BQ299" i="13"/>
  <c r="BS299" i="13"/>
  <c r="BJ295" i="13"/>
  <c r="BL295" i="13"/>
  <c r="BO295" i="13"/>
  <c r="BT295" i="13"/>
  <c r="BU295" i="13"/>
  <c r="BL291" i="13"/>
  <c r="BN291" i="13"/>
  <c r="BR291" i="13"/>
  <c r="BF291" i="13"/>
  <c r="BG291" i="13"/>
  <c r="BH291" i="13"/>
  <c r="BP291" i="13"/>
  <c r="BW291" i="13"/>
  <c r="BA322" i="13"/>
  <c r="BA318" i="13"/>
  <c r="AY298" i="13"/>
  <c r="AX322" i="13"/>
  <c r="AX310" i="13"/>
  <c r="AW294" i="13"/>
  <c r="AT322" i="13"/>
  <c r="AQ322" i="13"/>
  <c r="AL294" i="13"/>
  <c r="AO262" i="13"/>
  <c r="AW262" i="13"/>
  <c r="AJ220" i="13"/>
  <c r="AK220" i="13"/>
  <c r="AO220" i="13"/>
  <c r="AT220" i="13"/>
  <c r="AO215" i="13"/>
  <c r="BA215" i="13"/>
  <c r="BB302" i="13"/>
  <c r="BA306" i="13"/>
  <c r="AZ322" i="13"/>
  <c r="AU314" i="13"/>
  <c r="AU290" i="13"/>
  <c r="AR290" i="13"/>
  <c r="AP322" i="13"/>
  <c r="AN322" i="13"/>
  <c r="AK310" i="13"/>
  <c r="BB320" i="13"/>
  <c r="BB292" i="13"/>
  <c r="BA316" i="13"/>
  <c r="AZ320" i="13"/>
  <c r="AZ288" i="13"/>
  <c r="AY296" i="13"/>
  <c r="AX320" i="13"/>
  <c r="AX296" i="13"/>
  <c r="AW292" i="13"/>
  <c r="AV324" i="13"/>
  <c r="AV312" i="13"/>
  <c r="AU324" i="13"/>
  <c r="AU312" i="13"/>
  <c r="AU288" i="13"/>
  <c r="AT320" i="13"/>
  <c r="AS324" i="13"/>
  <c r="AR324" i="13"/>
  <c r="AR312" i="13"/>
  <c r="AR300" i="13"/>
  <c r="AR288" i="13"/>
  <c r="AQ320" i="13"/>
  <c r="AQ316" i="13"/>
  <c r="AQ300" i="13"/>
  <c r="AQ288" i="13"/>
  <c r="AP292" i="13"/>
  <c r="AO316" i="13"/>
  <c r="AO292" i="13"/>
  <c r="AN320" i="13"/>
  <c r="AN288" i="13"/>
  <c r="AM292" i="13"/>
  <c r="AL292" i="13"/>
  <c r="BB312" i="13"/>
  <c r="BA324" i="13"/>
  <c r="BA312" i="13"/>
  <c r="AZ324" i="13"/>
  <c r="AZ296" i="13"/>
  <c r="AY316" i="13"/>
  <c r="AX324" i="13"/>
  <c r="AX312" i="13"/>
  <c r="AX300" i="13"/>
  <c r="AW324" i="13"/>
  <c r="AV320" i="13"/>
  <c r="AT312" i="13"/>
  <c r="AT292" i="13"/>
  <c r="AS320" i="13"/>
  <c r="AR316" i="13"/>
  <c r="AQ308" i="13"/>
  <c r="AQ292" i="13"/>
  <c r="AP288" i="13"/>
  <c r="AO320" i="13"/>
  <c r="AO296" i="13"/>
  <c r="AN312" i="13"/>
  <c r="AN304" i="13"/>
  <c r="AM304" i="13"/>
  <c r="AL296" i="13"/>
  <c r="BW262" i="13"/>
  <c r="BG262" i="13"/>
  <c r="BS238" i="13"/>
  <c r="BP242" i="13"/>
  <c r="BO242" i="13"/>
  <c r="BL269" i="13"/>
  <c r="BI269" i="13"/>
  <c r="BJ253" i="13"/>
  <c r="BO253" i="13"/>
  <c r="BO238" i="13"/>
  <c r="BN238" i="13"/>
  <c r="BJ242" i="13"/>
  <c r="BF270" i="13"/>
  <c r="BG264" i="13"/>
  <c r="BE264" i="13"/>
  <c r="BG248" i="13"/>
  <c r="BE248" i="13"/>
  <c r="AS238" i="13"/>
  <c r="AO247" i="13"/>
  <c r="AN265" i="13"/>
  <c r="AY265" i="13"/>
  <c r="AQ261" i="13"/>
  <c r="AX261" i="13"/>
  <c r="AZ261" i="13"/>
  <c r="AN257" i="13"/>
  <c r="AO257" i="13"/>
  <c r="AS257" i="13"/>
  <c r="AV257" i="13"/>
  <c r="AY257" i="13"/>
  <c r="AK253" i="13"/>
  <c r="AP253" i="13"/>
  <c r="AQ253" i="13"/>
  <c r="AT253" i="13"/>
  <c r="AU253" i="13"/>
  <c r="AM249" i="13"/>
  <c r="AX249" i="13"/>
  <c r="AY249" i="13"/>
  <c r="AS244" i="13"/>
  <c r="AT244" i="13"/>
  <c r="AV244" i="13"/>
  <c r="AW244" i="13"/>
  <c r="AJ240" i="13"/>
  <c r="AO240" i="13"/>
  <c r="AR240" i="13"/>
  <c r="AX240" i="13"/>
  <c r="AY240" i="13"/>
  <c r="AN236" i="13"/>
  <c r="AQ236" i="13"/>
  <c r="AS236" i="13"/>
  <c r="AW236" i="13"/>
  <c r="BG266" i="13"/>
  <c r="BF266" i="13"/>
  <c r="BK266" i="13"/>
  <c r="BT238" i="13"/>
  <c r="BL238" i="13"/>
  <c r="BI270" i="13"/>
  <c r="BE254" i="13"/>
  <c r="BU266" i="13"/>
  <c r="BS270" i="13"/>
  <c r="BP238" i="13"/>
  <c r="BG254" i="13"/>
  <c r="BF238" i="13"/>
  <c r="BF240" i="13"/>
  <c r="BP240" i="13"/>
  <c r="BW240" i="13"/>
  <c r="BV270" i="13"/>
  <c r="BV245" i="13"/>
  <c r="BT268" i="13"/>
  <c r="BS266" i="13"/>
  <c r="BQ237" i="13"/>
  <c r="BP236" i="13"/>
  <c r="BO237" i="13"/>
  <c r="BM269" i="13"/>
  <c r="BM240" i="13"/>
  <c r="BK270" i="13"/>
  <c r="BJ240" i="13"/>
  <c r="BH256" i="13"/>
  <c r="BG250" i="13"/>
  <c r="BB261" i="13"/>
  <c r="BB253" i="13"/>
  <c r="BB240" i="13"/>
  <c r="BA265" i="13"/>
  <c r="BA244" i="13"/>
  <c r="AZ265" i="13"/>
  <c r="AZ253" i="13"/>
  <c r="AZ240" i="13"/>
  <c r="AY253" i="13"/>
  <c r="AX257" i="13"/>
  <c r="AX251" i="13"/>
  <c r="AX236" i="13"/>
  <c r="AW257" i="13"/>
  <c r="AV265" i="13"/>
  <c r="AV236" i="13"/>
  <c r="AU236" i="13"/>
  <c r="AT257" i="13"/>
  <c r="AT240" i="13"/>
  <c r="AS265" i="13"/>
  <c r="AS249" i="13"/>
  <c r="AR269" i="13"/>
  <c r="AQ269" i="13"/>
  <c r="AO265" i="13"/>
  <c r="AO236" i="13"/>
  <c r="AM257" i="13"/>
  <c r="AL244" i="13"/>
  <c r="AJ269" i="13"/>
  <c r="AJ253" i="13"/>
  <c r="AK268" i="13"/>
  <c r="AL268" i="13"/>
  <c r="AW268" i="13"/>
  <c r="BA268" i="13"/>
  <c r="AQ264" i="13"/>
  <c r="AW264" i="13"/>
  <c r="BB264" i="13"/>
  <c r="AW260" i="13"/>
  <c r="AR260" i="13"/>
  <c r="BA260" i="13"/>
  <c r="AS256" i="13"/>
  <c r="BB256" i="13"/>
  <c r="AW252" i="13"/>
  <c r="BA252" i="13"/>
  <c r="AV248" i="13"/>
  <c r="AL248" i="13"/>
  <c r="AM243" i="13"/>
  <c r="BA243" i="13"/>
  <c r="AK239" i="13"/>
  <c r="BB239" i="13"/>
  <c r="AT235" i="13"/>
  <c r="AV235" i="13"/>
  <c r="BA235" i="13"/>
  <c r="BQ270" i="13"/>
  <c r="BM270" i="13"/>
  <c r="BN270" i="13"/>
  <c r="BJ254" i="13"/>
  <c r="BM254" i="13"/>
  <c r="BH250" i="13"/>
  <c r="BV250" i="13"/>
  <c r="BE246" i="13"/>
  <c r="BR246" i="13"/>
  <c r="BH242" i="13"/>
  <c r="BF242" i="13"/>
  <c r="BG242" i="13"/>
  <c r="BL242" i="13"/>
  <c r="BS242" i="13"/>
  <c r="BT242" i="13"/>
  <c r="AK267" i="13"/>
  <c r="AT267" i="13"/>
  <c r="AZ267" i="13"/>
  <c r="AW255" i="13"/>
  <c r="AX255" i="13"/>
  <c r="AJ251" i="13"/>
  <c r="BB251" i="13"/>
  <c r="AT242" i="13"/>
  <c r="AU242" i="13"/>
  <c r="AL238" i="13"/>
  <c r="AZ238" i="13"/>
  <c r="BF241" i="13"/>
  <c r="BJ241" i="13"/>
  <c r="AX247" i="13"/>
  <c r="AW263" i="13"/>
  <c r="AV267" i="13"/>
  <c r="BL150" i="13"/>
  <c r="BH150" i="13"/>
  <c r="BG146" i="13"/>
  <c r="BF146" i="13"/>
  <c r="AJ225" i="13"/>
  <c r="AU225" i="13"/>
  <c r="BA225" i="13"/>
  <c r="AR225" i="13"/>
  <c r="AX225" i="13"/>
  <c r="AM225" i="13"/>
  <c r="AS225" i="13"/>
  <c r="BB225" i="13"/>
  <c r="AQ221" i="13"/>
  <c r="AO221" i="13"/>
  <c r="AW221" i="13"/>
  <c r="BI225" i="13"/>
  <c r="BL225" i="13"/>
  <c r="BP225" i="13"/>
  <c r="BQ225" i="13"/>
  <c r="BS225" i="13"/>
  <c r="BV225" i="13"/>
  <c r="BK225" i="13"/>
  <c r="BF221" i="13"/>
  <c r="BS221" i="13"/>
  <c r="BV221" i="13"/>
  <c r="BK221" i="13"/>
  <c r="BO221" i="13"/>
  <c r="BG221" i="13"/>
  <c r="BM221" i="13"/>
  <c r="BP221" i="13"/>
  <c r="BR221" i="13"/>
  <c r="BW221" i="13"/>
  <c r="AL339" i="13"/>
  <c r="AM339" i="13"/>
  <c r="BU150" i="13"/>
  <c r="BR150" i="13"/>
  <c r="BO150" i="13"/>
  <c r="BJ150" i="13"/>
  <c r="BH146" i="13"/>
  <c r="BU225" i="13"/>
  <c r="BI221" i="13"/>
  <c r="AX221" i="13"/>
  <c r="AO339" i="13"/>
  <c r="BU146" i="13"/>
  <c r="BQ150" i="13"/>
  <c r="BM150" i="13"/>
  <c r="BF150" i="13"/>
  <c r="AZ225" i="13"/>
  <c r="BE340" i="13"/>
  <c r="BJ340" i="13"/>
  <c r="BV340" i="13"/>
  <c r="BW340" i="13"/>
  <c r="BU336" i="13"/>
  <c r="BJ336" i="13"/>
  <c r="BM336" i="13"/>
  <c r="BV336" i="13"/>
  <c r="BU332" i="13"/>
  <c r="BP332" i="13"/>
  <c r="BL328" i="13"/>
  <c r="BG328" i="13"/>
  <c r="BO328" i="13"/>
  <c r="AW331" i="13"/>
  <c r="AT335" i="13"/>
  <c r="AP331" i="13"/>
  <c r="AO331" i="13"/>
  <c r="AL331" i="13"/>
  <c r="BV314" i="13"/>
  <c r="BU322" i="13"/>
  <c r="BS306" i="13"/>
  <c r="BR322" i="13"/>
  <c r="BQ290" i="13"/>
  <c r="BO306" i="13"/>
  <c r="BN322" i="13"/>
  <c r="BI302" i="13"/>
  <c r="BI290" i="13"/>
  <c r="BG306" i="13"/>
  <c r="BG294" i="13"/>
  <c r="BF322" i="13"/>
  <c r="BB305" i="13"/>
  <c r="AY301" i="13"/>
  <c r="AX321" i="13"/>
  <c r="AX317" i="13"/>
  <c r="AX313" i="13"/>
  <c r="AX297" i="13"/>
  <c r="AX293" i="13"/>
  <c r="AW309" i="13"/>
  <c r="AW301" i="13"/>
  <c r="AV317" i="13"/>
  <c r="AV297" i="13"/>
  <c r="AV293" i="13"/>
  <c r="AU313" i="13"/>
  <c r="AS301" i="13"/>
  <c r="AQ305" i="13"/>
  <c r="AP321" i="13"/>
  <c r="AP299" i="13"/>
  <c r="AP294" i="13"/>
  <c r="AO321" i="13"/>
  <c r="AO314" i="13"/>
  <c r="AO303" i="13"/>
  <c r="AO290" i="13"/>
  <c r="AN321" i="13"/>
  <c r="AN317" i="13"/>
  <c r="AN297" i="13"/>
  <c r="AN290" i="13"/>
  <c r="AM323" i="13"/>
  <c r="AM319" i="13"/>
  <c r="AM314" i="13"/>
  <c r="AM297" i="13"/>
  <c r="AL323" i="13"/>
  <c r="AL318" i="13"/>
  <c r="AL299" i="13"/>
  <c r="AK321" i="13"/>
  <c r="AK314" i="13"/>
  <c r="AK305" i="13"/>
  <c r="AK291" i="13"/>
  <c r="AJ318" i="13"/>
  <c r="AJ302" i="13"/>
  <c r="BS188" i="13"/>
  <c r="AZ186" i="13"/>
  <c r="AY215" i="13"/>
  <c r="BI341" i="13"/>
  <c r="BB338" i="13"/>
  <c r="AX335" i="13"/>
  <c r="AX326" i="13"/>
  <c r="AW326" i="13"/>
  <c r="AT334" i="13"/>
  <c r="AS331" i="13"/>
  <c r="AS327" i="13"/>
  <c r="AM331" i="13"/>
  <c r="AK327" i="13"/>
  <c r="BU310" i="13"/>
  <c r="BQ310" i="13"/>
  <c r="BP322" i="13"/>
  <c r="BO322" i="13"/>
  <c r="BN314" i="13"/>
  <c r="BM298" i="13"/>
  <c r="BK310" i="13"/>
  <c r="BK294" i="13"/>
  <c r="BJ314" i="13"/>
  <c r="BI310" i="13"/>
  <c r="BH322" i="13"/>
  <c r="BG322" i="13"/>
  <c r="BE322" i="13"/>
  <c r="BB321" i="13"/>
  <c r="BB317" i="13"/>
  <c r="BB313" i="13"/>
  <c r="BA297" i="13"/>
  <c r="BA293" i="13"/>
  <c r="AZ301" i="13"/>
  <c r="AY321" i="13"/>
  <c r="AY317" i="13"/>
  <c r="AY305" i="13"/>
  <c r="AX301" i="13"/>
  <c r="AU305" i="13"/>
  <c r="AU297" i="13"/>
  <c r="AU293" i="13"/>
  <c r="AT297" i="13"/>
  <c r="AT293" i="13"/>
  <c r="AS317" i="13"/>
  <c r="AR301" i="13"/>
  <c r="AR297" i="13"/>
  <c r="AR293" i="13"/>
  <c r="AQ301" i="13"/>
  <c r="AQ297" i="13"/>
  <c r="AQ293" i="13"/>
  <c r="AP293" i="13"/>
  <c r="AN301" i="13"/>
  <c r="AN289" i="13"/>
  <c r="AK297" i="13"/>
  <c r="AJ317" i="13"/>
  <c r="BB220" i="13"/>
  <c r="AU220" i="13"/>
  <c r="AR215" i="13"/>
  <c r="AM220" i="13"/>
  <c r="BJ331" i="13"/>
  <c r="BG327" i="13"/>
  <c r="BB335" i="13"/>
  <c r="BA334" i="13"/>
  <c r="AY331" i="13"/>
  <c r="AX334" i="13"/>
  <c r="AU331" i="13"/>
  <c r="AT338" i="13"/>
  <c r="AT331" i="13"/>
  <c r="AS335" i="13"/>
  <c r="AS330" i="13"/>
  <c r="AM338" i="13"/>
  <c r="AM330" i="13"/>
  <c r="BW314" i="13"/>
  <c r="BS314" i="13"/>
  <c r="BQ322" i="13"/>
  <c r="BQ294" i="13"/>
  <c r="BK306" i="13"/>
  <c r="BI294" i="13"/>
  <c r="BG314" i="13"/>
  <c r="BG302" i="13"/>
  <c r="BB297" i="13"/>
  <c r="BB293" i="13"/>
  <c r="BA301" i="13"/>
  <c r="AZ321" i="13"/>
  <c r="AZ317" i="13"/>
  <c r="AZ305" i="13"/>
  <c r="AY297" i="13"/>
  <c r="AY293" i="13"/>
  <c r="AW305" i="13"/>
  <c r="AW297" i="13"/>
  <c r="AW293" i="13"/>
  <c r="AV301" i="13"/>
  <c r="AU321" i="13"/>
  <c r="AT313" i="13"/>
  <c r="AT305" i="13"/>
  <c r="AS305" i="13"/>
  <c r="AS297" i="13"/>
  <c r="AS293" i="13"/>
  <c r="AP301" i="13"/>
  <c r="AP297" i="13"/>
  <c r="AO301" i="13"/>
  <c r="AM321" i="13"/>
  <c r="AM301" i="13"/>
  <c r="AL321" i="13"/>
  <c r="AK309" i="13"/>
  <c r="AK289" i="13"/>
  <c r="AO298" i="13"/>
  <c r="AJ298" i="13"/>
  <c r="AJ293" i="13"/>
  <c r="AK293" i="13"/>
  <c r="AP341" i="13"/>
  <c r="BA341" i="13"/>
  <c r="BB340" i="13"/>
  <c r="AU340" i="13"/>
  <c r="BG340" i="13"/>
  <c r="AX340" i="13"/>
  <c r="AT340" i="13"/>
  <c r="AM340" i="13"/>
  <c r="AR340" i="13"/>
  <c r="AP340" i="13"/>
  <c r="BQ339" i="13"/>
  <c r="BE339" i="13"/>
  <c r="AW339" i="13"/>
  <c r="AU339" i="13"/>
  <c r="AS339" i="13"/>
  <c r="AP339" i="13"/>
  <c r="AN339" i="13"/>
  <c r="BA339" i="13"/>
  <c r="AY339" i="13"/>
  <c r="AX339" i="13"/>
  <c r="AK339" i="13"/>
  <c r="AJ339" i="13"/>
  <c r="BT338" i="13"/>
  <c r="BR338" i="13"/>
  <c r="BL338" i="13"/>
  <c r="AW338" i="13"/>
  <c r="AS337" i="13"/>
  <c r="AX336" i="13"/>
  <c r="AU336" i="13"/>
  <c r="BB336" i="13"/>
  <c r="AV336" i="13"/>
  <c r="AM336" i="13"/>
  <c r="AZ336" i="13"/>
  <c r="AY336" i="13"/>
  <c r="AW336" i="13"/>
  <c r="BJ335" i="13"/>
  <c r="AQ335" i="13"/>
  <c r="AK335" i="13"/>
  <c r="AN335" i="13"/>
  <c r="AL335" i="13"/>
  <c r="BA335" i="13"/>
  <c r="AY335" i="13"/>
  <c r="BW334" i="13"/>
  <c r="BS334" i="13"/>
  <c r="AZ334" i="13"/>
  <c r="BB334" i="13"/>
  <c r="AW334" i="13"/>
  <c r="BW333" i="13"/>
  <c r="BV333" i="13"/>
  <c r="BQ333" i="13"/>
  <c r="BJ333" i="13"/>
  <c r="BU333" i="13"/>
  <c r="BR333" i="13"/>
  <c r="BO333" i="13"/>
  <c r="BI333" i="13"/>
  <c r="BG333" i="13"/>
  <c r="BA333" i="13"/>
  <c r="BB332" i="13"/>
  <c r="AW332" i="13"/>
  <c r="AV332" i="13"/>
  <c r="AU332" i="13"/>
  <c r="AS332" i="13"/>
  <c r="AL332" i="13"/>
  <c r="BA332" i="13"/>
  <c r="AZ332" i="13"/>
  <c r="AT332" i="13"/>
  <c r="BI331" i="13"/>
  <c r="AN331" i="13"/>
  <c r="BP331" i="13"/>
  <c r="BB330" i="13"/>
  <c r="AZ330" i="13"/>
  <c r="BV329" i="13"/>
  <c r="BA329" i="13"/>
  <c r="BW329" i="13"/>
  <c r="BQ329" i="13"/>
  <c r="BO329" i="13"/>
  <c r="BJ329" i="13"/>
  <c r="AW330" i="13"/>
  <c r="BA330" i="13"/>
  <c r="AX330" i="13"/>
  <c r="AT330" i="13"/>
  <c r="BW328" i="13"/>
  <c r="BT328" i="13"/>
  <c r="BA328" i="13"/>
  <c r="AY328" i="13"/>
  <c r="AO328" i="13"/>
  <c r="AZ328" i="13"/>
  <c r="AW328" i="13"/>
  <c r="AV328" i="13"/>
  <c r="AR328" i="13"/>
  <c r="AQ328" i="13"/>
  <c r="BL327" i="13"/>
  <c r="BJ327" i="13"/>
  <c r="AY327" i="13"/>
  <c r="AQ327" i="13"/>
  <c r="BB327" i="13"/>
  <c r="AW327" i="13"/>
  <c r="BA327" i="13"/>
  <c r="AT327" i="13"/>
  <c r="AP327" i="13"/>
  <c r="AN327" i="13"/>
  <c r="AL327" i="13"/>
  <c r="BB326" i="13"/>
  <c r="AS326" i="13"/>
  <c r="AM326" i="13"/>
  <c r="AS325" i="13"/>
  <c r="BA325" i="13"/>
  <c r="BL324" i="13"/>
  <c r="BU324" i="13"/>
  <c r="BO324" i="13"/>
  <c r="BA323" i="13"/>
  <c r="AZ323" i="13"/>
  <c r="AY323" i="13"/>
  <c r="AX323" i="13"/>
  <c r="AS323" i="13"/>
  <c r="AK323" i="13"/>
  <c r="AV323" i="13"/>
  <c r="AR323" i="13"/>
  <c r="AW321" i="13"/>
  <c r="AV321" i="13"/>
  <c r="AT321" i="13"/>
  <c r="AS321" i="13"/>
  <c r="BQ320" i="13"/>
  <c r="AU320" i="13"/>
  <c r="AP320" i="13"/>
  <c r="BW320" i="13"/>
  <c r="BS320" i="13"/>
  <c r="BH320" i="13"/>
  <c r="BL318" i="13"/>
  <c r="BT318" i="13"/>
  <c r="BR318" i="13"/>
  <c r="BN318" i="13"/>
  <c r="BI318" i="13"/>
  <c r="BH318" i="13"/>
  <c r="BE318" i="13"/>
  <c r="BU318" i="13"/>
  <c r="BS318" i="13"/>
  <c r="BQ318" i="13"/>
  <c r="BP318" i="13"/>
  <c r="BM318" i="13"/>
  <c r="BK318" i="13"/>
  <c r="BW318" i="13"/>
  <c r="BG318" i="13"/>
  <c r="AW318" i="13"/>
  <c r="BA317" i="13"/>
  <c r="AW317" i="13"/>
  <c r="AU317" i="13"/>
  <c r="AT317" i="13"/>
  <c r="AR317" i="13"/>
  <c r="AO317" i="13"/>
  <c r="AM317" i="13"/>
  <c r="AL317" i="13"/>
  <c r="BV316" i="13"/>
  <c r="BG316" i="13"/>
  <c r="AZ315" i="13"/>
  <c r="AW315" i="13"/>
  <c r="AO315" i="13"/>
  <c r="AL315" i="13"/>
  <c r="BA315" i="13"/>
  <c r="AS315" i="13"/>
  <c r="AR315" i="13"/>
  <c r="AP315" i="13"/>
  <c r="BU314" i="13"/>
  <c r="BL314" i="13"/>
  <c r="BH314" i="13"/>
  <c r="AP313" i="13"/>
  <c r="AM313" i="13"/>
  <c r="AL313" i="13"/>
  <c r="AR313" i="13"/>
  <c r="AQ313" i="13"/>
  <c r="AK313" i="13"/>
  <c r="BA313" i="13"/>
  <c r="AY313" i="13"/>
  <c r="AW313" i="13"/>
  <c r="AV313" i="13"/>
  <c r="AS313" i="13"/>
  <c r="AJ313" i="13"/>
  <c r="AZ313" i="13"/>
  <c r="AO313" i="13"/>
  <c r="BM311" i="13"/>
  <c r="BH311" i="13"/>
  <c r="BB311" i="13"/>
  <c r="BA311" i="13"/>
  <c r="AZ311" i="13"/>
  <c r="AX311" i="13"/>
  <c r="AW311" i="13"/>
  <c r="AU311" i="13"/>
  <c r="AR311" i="13"/>
  <c r="AK311" i="13"/>
  <c r="BW311" i="13"/>
  <c r="BV311" i="13"/>
  <c r="BU311" i="13"/>
  <c r="BO311" i="13"/>
  <c r="BN311" i="13"/>
  <c r="BL311" i="13"/>
  <c r="BJ311" i="13"/>
  <c r="BI311" i="13"/>
  <c r="AS311" i="13"/>
  <c r="AO311" i="13"/>
  <c r="AM311" i="13"/>
  <c r="BV257" i="13"/>
  <c r="BV241" i="13"/>
  <c r="BT245" i="13"/>
  <c r="BT237" i="13"/>
  <c r="BS245" i="13"/>
  <c r="BR237" i="13"/>
  <c r="BP239" i="13"/>
  <c r="BP235" i="13"/>
  <c r="BM245" i="13"/>
  <c r="BL261" i="13"/>
  <c r="BL237" i="13"/>
  <c r="BK245" i="13"/>
  <c r="BJ261" i="13"/>
  <c r="BH253" i="13"/>
  <c r="BG245" i="13"/>
  <c r="BG237" i="13"/>
  <c r="BF245" i="13"/>
  <c r="BF237" i="13"/>
  <c r="BE265" i="13"/>
  <c r="BE253" i="13"/>
  <c r="BE249" i="13"/>
  <c r="BB254" i="13"/>
  <c r="BB250" i="13"/>
  <c r="AZ262" i="13"/>
  <c r="AX245" i="13"/>
  <c r="AU270" i="13"/>
  <c r="AU237" i="13"/>
  <c r="AT266" i="13"/>
  <c r="AT245" i="13"/>
  <c r="AS266" i="13"/>
  <c r="AO270" i="13"/>
  <c r="AJ262" i="13"/>
  <c r="AJ245" i="13"/>
  <c r="AK269" i="13"/>
  <c r="AM269" i="13"/>
  <c r="AO269" i="13"/>
  <c r="AU265" i="13"/>
  <c r="AJ265" i="13"/>
  <c r="AP265" i="13"/>
  <c r="AK261" i="13"/>
  <c r="AM261" i="13"/>
  <c r="AK244" i="13"/>
  <c r="AO244" i="13"/>
  <c r="AP244" i="13"/>
  <c r="AK236" i="13"/>
  <c r="AM236" i="13"/>
  <c r="AZ146" i="13"/>
  <c r="AN147" i="13"/>
  <c r="AL147" i="13"/>
  <c r="BW257" i="13"/>
  <c r="BW241" i="13"/>
  <c r="BW237" i="13"/>
  <c r="BV269" i="13"/>
  <c r="BU241" i="13"/>
  <c r="BQ261" i="13"/>
  <c r="BO241" i="13"/>
  <c r="BN265" i="13"/>
  <c r="BN237" i="13"/>
  <c r="BM241" i="13"/>
  <c r="BK241" i="13"/>
  <c r="BI241" i="13"/>
  <c r="BH245" i="13"/>
  <c r="BF253" i="13"/>
  <c r="BV237" i="13"/>
  <c r="BT241" i="13"/>
  <c r="BS268" i="13"/>
  <c r="BS241" i="13"/>
  <c r="BR253" i="13"/>
  <c r="BQ253" i="13"/>
  <c r="BP241" i="13"/>
  <c r="BP237" i="13"/>
  <c r="BO265" i="13"/>
  <c r="BL241" i="13"/>
  <c r="BJ269" i="13"/>
  <c r="BH269" i="13"/>
  <c r="BH241" i="13"/>
  <c r="BG241" i="13"/>
  <c r="BF252" i="13"/>
  <c r="BE269" i="13"/>
  <c r="BE255" i="13"/>
  <c r="BE251" i="13"/>
  <c r="BB262" i="13"/>
  <c r="AZ237" i="13"/>
  <c r="AX262" i="13"/>
  <c r="AX241" i="13"/>
  <c r="AU266" i="13"/>
  <c r="AU241" i="13"/>
  <c r="AS270" i="13"/>
  <c r="AR265" i="13"/>
  <c r="AR253" i="13"/>
  <c r="AQ265" i="13"/>
  <c r="AQ244" i="13"/>
  <c r="AP240" i="13"/>
  <c r="AN244" i="13"/>
  <c r="AM265" i="13"/>
  <c r="AM253" i="13"/>
  <c r="AL269" i="13"/>
  <c r="AL253" i="13"/>
  <c r="AL240" i="13"/>
  <c r="AK257" i="13"/>
  <c r="AK240" i="13"/>
  <c r="AJ257" i="13"/>
  <c r="AJ236" i="13"/>
  <c r="BF154" i="13"/>
  <c r="BN154" i="13"/>
  <c r="AQ262" i="13"/>
  <c r="AL262" i="13"/>
  <c r="AL254" i="13"/>
  <c r="AJ254" i="13"/>
  <c r="AO254" i="13"/>
  <c r="AQ250" i="13"/>
  <c r="AM250" i="13"/>
  <c r="AW237" i="13"/>
  <c r="AQ237" i="13"/>
  <c r="BF148" i="13"/>
  <c r="BW148" i="13"/>
  <c r="AZ147" i="13"/>
  <c r="BI338" i="13"/>
  <c r="BJ338" i="13"/>
  <c r="BV338" i="13"/>
  <c r="BI334" i="13"/>
  <c r="BE334" i="13"/>
  <c r="BJ334" i="13"/>
  <c r="BT334" i="13"/>
  <c r="BE330" i="13"/>
  <c r="BJ330" i="13"/>
  <c r="BN330" i="13"/>
  <c r="BP330" i="13"/>
  <c r="BW330" i="13"/>
  <c r="BM326" i="13"/>
  <c r="BH326" i="13"/>
  <c r="BJ326" i="13"/>
  <c r="BL326" i="13"/>
  <c r="BS326" i="13"/>
  <c r="BR305" i="13"/>
  <c r="BQ305" i="13"/>
  <c r="BM321" i="13"/>
  <c r="BK321" i="13"/>
  <c r="BQ321" i="13"/>
  <c r="BG321" i="13"/>
  <c r="BI321" i="13"/>
  <c r="BF321" i="13"/>
  <c r="BO321" i="13"/>
  <c r="BF317" i="13"/>
  <c r="BE317" i="13"/>
  <c r="BG317" i="13"/>
  <c r="BQ317" i="13"/>
  <c r="BI313" i="13"/>
  <c r="BO313" i="13"/>
  <c r="BU313" i="13"/>
  <c r="BG313" i="13"/>
  <c r="BM313" i="13"/>
  <c r="BE313" i="13"/>
  <c r="BF313" i="13"/>
  <c r="BG309" i="13"/>
  <c r="BK309" i="13"/>
  <c r="BM309" i="13"/>
  <c r="BN309" i="13"/>
  <c r="BS309" i="13"/>
  <c r="BJ309" i="13"/>
  <c r="BL309" i="13"/>
  <c r="BN305" i="13"/>
  <c r="BH305" i="13"/>
  <c r="BI305" i="13"/>
  <c r="BJ305" i="13"/>
  <c r="BT305" i="13"/>
  <c r="BU305" i="13"/>
  <c r="BM305" i="13"/>
  <c r="BJ301" i="13"/>
  <c r="BQ301" i="13"/>
  <c r="BW301" i="13"/>
  <c r="BP301" i="13"/>
  <c r="BS301" i="13"/>
  <c r="BH301" i="13"/>
  <c r="BI301" i="13"/>
  <c r="BO301" i="13"/>
  <c r="BR301" i="13"/>
  <c r="BV301" i="13"/>
  <c r="BH297" i="13"/>
  <c r="BL297" i="13"/>
  <c r="BH293" i="13"/>
  <c r="BM293" i="13"/>
  <c r="BN289" i="13"/>
  <c r="BH289" i="13"/>
  <c r="BI289" i="13"/>
  <c r="BR289" i="13"/>
  <c r="BT289" i="13"/>
  <c r="BK289" i="13"/>
  <c r="BB184" i="13"/>
  <c r="AQ188" i="13"/>
  <c r="AY223" i="13"/>
  <c r="BW326" i="13"/>
  <c r="BV326" i="13"/>
  <c r="BS330" i="13"/>
  <c r="BL334" i="13"/>
  <c r="BH338" i="13"/>
  <c r="BF340" i="13"/>
  <c r="BQ340" i="13"/>
  <c r="BH336" i="13"/>
  <c r="BF336" i="13"/>
  <c r="BI336" i="13"/>
  <c r="BK336" i="13"/>
  <c r="BP336" i="13"/>
  <c r="BW336" i="13"/>
  <c r="BF332" i="13"/>
  <c r="BG332" i="13"/>
  <c r="BL332" i="13"/>
  <c r="BE328" i="13"/>
  <c r="BQ328" i="13"/>
  <c r="BV328" i="13"/>
  <c r="BT309" i="13"/>
  <c r="BS305" i="13"/>
  <c r="BS289" i="13"/>
  <c r="BL305" i="13"/>
  <c r="BT146" i="13"/>
  <c r="BQ146" i="13"/>
  <c r="BN150" i="13"/>
  <c r="BK150" i="13"/>
  <c r="BI146" i="13"/>
  <c r="BG150" i="13"/>
  <c r="BA184" i="13"/>
  <c r="AT184" i="13"/>
  <c r="AQ184" i="13"/>
  <c r="BA220" i="13"/>
  <c r="AW220" i="13"/>
  <c r="BA223" i="13"/>
  <c r="AY222" i="13"/>
  <c r="AW225" i="13"/>
  <c r="AU221" i="13"/>
  <c r="AP225" i="13"/>
  <c r="AK221" i="13"/>
  <c r="BW338" i="13"/>
  <c r="BW332" i="13"/>
  <c r="BV332" i="13"/>
  <c r="BT340" i="13"/>
  <c r="BT326" i="13"/>
  <c r="BR334" i="13"/>
  <c r="BR326" i="13"/>
  <c r="BP338" i="13"/>
  <c r="BP326" i="13"/>
  <c r="BN338" i="13"/>
  <c r="BM340" i="13"/>
  <c r="BL330" i="13"/>
  <c r="BK340" i="13"/>
  <c r="BJ332" i="13"/>
  <c r="BH334" i="13"/>
  <c r="BF328" i="13"/>
  <c r="BT339" i="13"/>
  <c r="BO339" i="13"/>
  <c r="AJ340" i="13"/>
  <c r="AL340" i="13"/>
  <c r="AQ340" i="13"/>
  <c r="AK340" i="13"/>
  <c r="AN340" i="13"/>
  <c r="AV340" i="13"/>
  <c r="AW340" i="13"/>
  <c r="AY340" i="13"/>
  <c r="AO336" i="13"/>
  <c r="AP336" i="13"/>
  <c r="AR336" i="13"/>
  <c r="AJ336" i="13"/>
  <c r="AL336" i="13"/>
  <c r="AK332" i="13"/>
  <c r="AQ332" i="13"/>
  <c r="AM332" i="13"/>
  <c r="AN332" i="13"/>
  <c r="AO332" i="13"/>
  <c r="AP332" i="13"/>
  <c r="AR332" i="13"/>
  <c r="AX332" i="13"/>
  <c r="AY332" i="13"/>
  <c r="AM328" i="13"/>
  <c r="AT328" i="13"/>
  <c r="BB328" i="13"/>
  <c r="BU317" i="13"/>
  <c r="BU309" i="13"/>
  <c r="BS321" i="13"/>
  <c r="BS313" i="13"/>
  <c r="BR309" i="13"/>
  <c r="BQ297" i="13"/>
  <c r="BQ289" i="13"/>
  <c r="BO317" i="13"/>
  <c r="BO309" i="13"/>
  <c r="BM317" i="13"/>
  <c r="BB339" i="13"/>
  <c r="AX327" i="13"/>
  <c r="AW335" i="13"/>
  <c r="AU335" i="13"/>
  <c r="AU327" i="13"/>
  <c r="AT339" i="13"/>
  <c r="AQ339" i="13"/>
  <c r="AQ331" i="13"/>
  <c r="AM327" i="13"/>
  <c r="BW324" i="13"/>
  <c r="BW300" i="13"/>
  <c r="BV312" i="13"/>
  <c r="BS324" i="13"/>
  <c r="BP316" i="13"/>
  <c r="BP300" i="13"/>
  <c r="BM320" i="13"/>
  <c r="BL320" i="13"/>
  <c r="BL322" i="13"/>
  <c r="BM322" i="13"/>
  <c r="BS322" i="13"/>
  <c r="BT322" i="13"/>
  <c r="BW322" i="13"/>
  <c r="BJ318" i="13"/>
  <c r="BO318" i="13"/>
  <c r="BV318" i="13"/>
  <c r="BF314" i="13"/>
  <c r="BI314" i="13"/>
  <c r="BK314" i="13"/>
  <c r="BM314" i="13"/>
  <c r="BP314" i="13"/>
  <c r="BR314" i="13"/>
  <c r="BT314" i="13"/>
  <c r="BE310" i="13"/>
  <c r="BS310" i="13"/>
  <c r="BM306" i="13"/>
  <c r="BF306" i="13"/>
  <c r="BM290" i="13"/>
  <c r="BF290" i="13"/>
  <c r="BO290" i="13"/>
  <c r="BS290" i="13"/>
  <c r="BW290" i="13"/>
  <c r="BG324" i="13"/>
  <c r="BJ324" i="13"/>
  <c r="BG320" i="13"/>
  <c r="BI320" i="13"/>
  <c r="BP320" i="13"/>
  <c r="BR320" i="13"/>
  <c r="BU320" i="13"/>
  <c r="BJ316" i="13"/>
  <c r="BH316" i="13"/>
  <c r="BN316" i="13"/>
  <c r="BQ316" i="13"/>
  <c r="BS316" i="13"/>
  <c r="BW316" i="13"/>
  <c r="BE304" i="13"/>
  <c r="BR304" i="13"/>
  <c r="BF292" i="13"/>
  <c r="BT292" i="13"/>
  <c r="BV292" i="13"/>
  <c r="AR331" i="13"/>
  <c r="AJ331" i="13"/>
  <c r="BW312" i="13"/>
  <c r="BW304" i="13"/>
  <c r="BV324" i="13"/>
  <c r="BT324" i="13"/>
  <c r="BT304" i="13"/>
  <c r="BR324" i="13"/>
  <c r="BR316" i="13"/>
  <c r="BN324" i="13"/>
  <c r="BM324" i="13"/>
  <c r="AK324" i="13"/>
  <c r="AK320" i="13"/>
  <c r="AK316" i="13"/>
  <c r="AK312" i="13"/>
  <c r="AK296" i="13"/>
  <c r="AK292" i="13"/>
  <c r="AK288" i="13"/>
  <c r="AK304" i="13"/>
  <c r="BB310" i="13"/>
  <c r="AZ310" i="13"/>
  <c r="AW310" i="13"/>
  <c r="AP310" i="13"/>
  <c r="AL310" i="13"/>
  <c r="BA310" i="13"/>
  <c r="AZ309" i="13"/>
  <c r="AS309" i="13"/>
  <c r="AR309" i="13"/>
  <c r="AQ309" i="13"/>
  <c r="AP309" i="13"/>
  <c r="BA309" i="13"/>
  <c r="AX309" i="13"/>
  <c r="AT309" i="13"/>
  <c r="AN309" i="13"/>
  <c r="BB309" i="13"/>
  <c r="AY309" i="13"/>
  <c r="AV309" i="13"/>
  <c r="AO309" i="13"/>
  <c r="AM309" i="13"/>
  <c r="BW308" i="13"/>
  <c r="AM308" i="13"/>
  <c r="BL308" i="13"/>
  <c r="BF308" i="13"/>
  <c r="AY308" i="13"/>
  <c r="AX308" i="13"/>
  <c r="AT308" i="13"/>
  <c r="AS308" i="13"/>
  <c r="AO308" i="13"/>
  <c r="AN308" i="13"/>
  <c r="AL308" i="13"/>
  <c r="BV308" i="13"/>
  <c r="BA308" i="13"/>
  <c r="AZ308" i="13"/>
  <c r="AU308" i="13"/>
  <c r="AR308" i="13"/>
  <c r="AK308" i="13"/>
  <c r="AW308" i="13"/>
  <c r="AV308" i="13"/>
  <c r="AO307" i="13"/>
  <c r="AS307" i="13"/>
  <c r="AQ307" i="13"/>
  <c r="BB307" i="13"/>
  <c r="BA307" i="13"/>
  <c r="AX307" i="13"/>
  <c r="AW307" i="13"/>
  <c r="AR307" i="13"/>
  <c r="AM307" i="13"/>
  <c r="BR307" i="13"/>
  <c r="BH307" i="13"/>
  <c r="BF307" i="13"/>
  <c r="AV307" i="13"/>
  <c r="AP307" i="13"/>
  <c r="AN307" i="13"/>
  <c r="AK307" i="13"/>
  <c r="BV307" i="13"/>
  <c r="BU307" i="13"/>
  <c r="BO307" i="13"/>
  <c r="BN307" i="13"/>
  <c r="BE307" i="13"/>
  <c r="BG307" i="13"/>
  <c r="BS307" i="13"/>
  <c r="BP307" i="13"/>
  <c r="BL307" i="13"/>
  <c r="BK307" i="13"/>
  <c r="BJ307" i="13"/>
  <c r="AZ307" i="13"/>
  <c r="AY307" i="13"/>
  <c r="AT307" i="13"/>
  <c r="AL307" i="13"/>
  <c r="BP259" i="13"/>
  <c r="AR259" i="13"/>
  <c r="BB259" i="13"/>
  <c r="AX259" i="13"/>
  <c r="AW258" i="13"/>
  <c r="BB258" i="13"/>
  <c r="AS258" i="13"/>
  <c r="AZ258" i="13"/>
  <c r="AX258" i="13"/>
  <c r="AT258" i="13"/>
  <c r="BB306" i="13"/>
  <c r="AX306" i="13"/>
  <c r="AS306" i="13"/>
  <c r="AN306" i="13"/>
  <c r="AM306" i="13"/>
  <c r="AL306" i="13"/>
  <c r="AJ306" i="13"/>
  <c r="AZ306" i="13"/>
  <c r="AV306" i="13"/>
  <c r="AU306" i="13"/>
  <c r="AT306" i="13"/>
  <c r="AP306" i="13"/>
  <c r="AP305" i="13"/>
  <c r="BW305" i="13"/>
  <c r="BP305" i="13"/>
  <c r="BA304" i="13"/>
  <c r="AY304" i="13"/>
  <c r="AW304" i="13"/>
  <c r="AT304" i="13"/>
  <c r="AP304" i="13"/>
  <c r="AL304" i="13"/>
  <c r="BB304" i="13"/>
  <c r="AZ304" i="13"/>
  <c r="AX304" i="13"/>
  <c r="AV304" i="13"/>
  <c r="AQ304" i="13"/>
  <c r="AO304" i="13"/>
  <c r="AU304" i="13"/>
  <c r="AS304" i="13"/>
  <c r="AR304" i="13"/>
  <c r="AT303" i="13"/>
  <c r="AS303" i="13"/>
  <c r="AQ303" i="13"/>
  <c r="AN303" i="13"/>
  <c r="BW303" i="13"/>
  <c r="BP303" i="13"/>
  <c r="BN303" i="13"/>
  <c r="BM303" i="13"/>
  <c r="BL303" i="13"/>
  <c r="BU302" i="13"/>
  <c r="BQ302" i="13"/>
  <c r="BO302" i="13"/>
  <c r="BM302" i="13"/>
  <c r="AW302" i="13"/>
  <c r="AU302" i="13"/>
  <c r="AR302" i="13"/>
  <c r="AQ302" i="13"/>
  <c r="AP302" i="13"/>
  <c r="AM302" i="13"/>
  <c r="AL302" i="13"/>
  <c r="AX302" i="13"/>
  <c r="BE302" i="13"/>
  <c r="AT302" i="13"/>
  <c r="BN301" i="13"/>
  <c r="AT301" i="13"/>
  <c r="BH300" i="13"/>
  <c r="BB300" i="13"/>
  <c r="AY300" i="13"/>
  <c r="AU300" i="13"/>
  <c r="AZ300" i="13"/>
  <c r="AS300" i="13"/>
  <c r="AM300" i="13"/>
  <c r="AL300" i="13"/>
  <c r="AW300" i="13"/>
  <c r="AV300" i="13"/>
  <c r="AO300" i="13"/>
  <c r="AN300" i="13"/>
  <c r="AK300" i="13"/>
  <c r="BU299" i="13"/>
  <c r="BT299" i="13"/>
  <c r="BO299" i="13"/>
  <c r="BN299" i="13"/>
  <c r="BH299" i="13"/>
  <c r="BA299" i="13"/>
  <c r="AV299" i="13"/>
  <c r="AO299" i="13"/>
  <c r="AM299" i="13"/>
  <c r="BV299" i="13"/>
  <c r="BP299" i="13"/>
  <c r="AS299" i="13"/>
  <c r="AK299" i="13"/>
  <c r="AJ299" i="13"/>
  <c r="AZ299" i="13"/>
  <c r="AY299" i="13"/>
  <c r="AX299" i="13"/>
  <c r="AW299" i="13"/>
  <c r="AU299" i="13"/>
  <c r="BF298" i="13"/>
  <c r="BK298" i="13"/>
  <c r="BE298" i="13"/>
  <c r="BS298" i="13"/>
  <c r="BO298" i="13"/>
  <c r="BW297" i="13"/>
  <c r="BV297" i="13"/>
  <c r="BU297" i="13"/>
  <c r="BT297" i="13"/>
  <c r="BP297" i="13"/>
  <c r="BO297" i="13"/>
  <c r="BM297" i="13"/>
  <c r="BW296" i="13"/>
  <c r="BN296" i="13"/>
  <c r="AN296" i="13"/>
  <c r="AM296" i="13"/>
  <c r="BH295" i="13"/>
  <c r="BF295" i="13"/>
  <c r="BE295" i="13"/>
  <c r="BR295" i="13"/>
  <c r="BS295" i="13"/>
  <c r="BN295" i="13"/>
  <c r="BM295" i="13"/>
  <c r="BK295" i="13"/>
  <c r="BI295" i="13"/>
  <c r="BG295" i="13"/>
  <c r="AP295" i="13"/>
  <c r="AO295" i="13"/>
  <c r="BW295" i="13"/>
  <c r="BV295" i="13"/>
  <c r="BQ295" i="13"/>
  <c r="BP295" i="13"/>
  <c r="BS294" i="13"/>
  <c r="BF294" i="13"/>
  <c r="BU294" i="13"/>
  <c r="BM294" i="13"/>
  <c r="BE294" i="13"/>
  <c r="BW293" i="13"/>
  <c r="BU293" i="13"/>
  <c r="BN293" i="13"/>
  <c r="BL293" i="13"/>
  <c r="BK293" i="13"/>
  <c r="BV293" i="13"/>
  <c r="BT293" i="13"/>
  <c r="BS293" i="13"/>
  <c r="BR293" i="13"/>
  <c r="BO293" i="13"/>
  <c r="BJ293" i="13"/>
  <c r="BE292" i="13"/>
  <c r="BA292" i="13"/>
  <c r="AZ292" i="13"/>
  <c r="BL292" i="13"/>
  <c r="AV292" i="13"/>
  <c r="AU292" i="13"/>
  <c r="AS292" i="13"/>
  <c r="AR292" i="13"/>
  <c r="AN292" i="13"/>
  <c r="AY291" i="13"/>
  <c r="AT291" i="13"/>
  <c r="AS291" i="13"/>
  <c r="BB291" i="13"/>
  <c r="BA291" i="13"/>
  <c r="AV291" i="13"/>
  <c r="AQ291" i="13"/>
  <c r="AO291" i="13"/>
  <c r="BK290" i="13"/>
  <c r="BB290" i="13"/>
  <c r="AX290" i="13"/>
  <c r="AT290" i="13"/>
  <c r="BP289" i="13"/>
  <c r="BM289" i="13"/>
  <c r="BL289" i="13"/>
  <c r="BJ289" i="13"/>
  <c r="BB289" i="13"/>
  <c r="AZ289" i="13"/>
  <c r="AX289" i="13"/>
  <c r="AV289" i="13"/>
  <c r="AT289" i="13"/>
  <c r="AR289" i="13"/>
  <c r="AP289" i="13"/>
  <c r="BA289" i="13"/>
  <c r="AY289" i="13"/>
  <c r="AW289" i="13"/>
  <c r="AU289" i="13"/>
  <c r="AS289" i="13"/>
  <c r="AQ289" i="13"/>
  <c r="AO289" i="13"/>
  <c r="AO288" i="13"/>
  <c r="AM288" i="13"/>
  <c r="AL288" i="13"/>
  <c r="BT264" i="13"/>
  <c r="BR244" i="13"/>
  <c r="BR236" i="13"/>
  <c r="BO236" i="13"/>
  <c r="BN264" i="13"/>
  <c r="BL256" i="13"/>
  <c r="BL240" i="13"/>
  <c r="BK260" i="13"/>
  <c r="BI256" i="13"/>
  <c r="BI240" i="13"/>
  <c r="BH268" i="13"/>
  <c r="BH240" i="13"/>
  <c r="BG268" i="13"/>
  <c r="BE268" i="13"/>
  <c r="BB267" i="13"/>
  <c r="BA267" i="13"/>
  <c r="BA259" i="13"/>
  <c r="BA255" i="13"/>
  <c r="BA247" i="13"/>
  <c r="AZ242" i="13"/>
  <c r="AV242" i="13"/>
  <c r="AV238" i="13"/>
  <c r="AU255" i="13"/>
  <c r="AU247" i="13"/>
  <c r="AR247" i="13"/>
  <c r="AP251" i="13"/>
  <c r="AP242" i="13"/>
  <c r="AO259" i="13"/>
  <c r="AO238" i="13"/>
  <c r="AM263" i="13"/>
  <c r="AL259" i="13"/>
  <c r="AL251" i="13"/>
  <c r="AL242" i="13"/>
  <c r="BS148" i="13"/>
  <c r="BQ148" i="13"/>
  <c r="BM148" i="13"/>
  <c r="AZ182" i="13"/>
  <c r="AT190" i="13"/>
  <c r="AO186" i="13"/>
  <c r="BE227" i="13"/>
  <c r="BT227" i="13"/>
  <c r="BM227" i="13"/>
  <c r="AZ223" i="13"/>
  <c r="BW268" i="13"/>
  <c r="BW244" i="13"/>
  <c r="BT240" i="13"/>
  <c r="BT236" i="13"/>
  <c r="BR264" i="13"/>
  <c r="BA263" i="13"/>
  <c r="BA251" i="13"/>
  <c r="BA242" i="13"/>
  <c r="BA238" i="13"/>
  <c r="AX267" i="13"/>
  <c r="AV255" i="13"/>
  <c r="BW265" i="13"/>
  <c r="BW255" i="13"/>
  <c r="BV265" i="13"/>
  <c r="BV252" i="13"/>
  <c r="BV244" i="13"/>
  <c r="BV236" i="13"/>
  <c r="BU260" i="13"/>
  <c r="BU237" i="13"/>
  <c r="BT256" i="13"/>
  <c r="BT244" i="13"/>
  <c r="BT239" i="13"/>
  <c r="BT235" i="13"/>
  <c r="BS264" i="13"/>
  <c r="BS237" i="13"/>
  <c r="BR256" i="13"/>
  <c r="BR241" i="13"/>
  <c r="BQ268" i="13"/>
  <c r="BQ241" i="13"/>
  <c r="BP269" i="13"/>
  <c r="BP253" i="13"/>
  <c r="BO252" i="13"/>
  <c r="BO240" i="13"/>
  <c r="BN255" i="13"/>
  <c r="BN240" i="13"/>
  <c r="BN236" i="13"/>
  <c r="BM268" i="13"/>
  <c r="BM244" i="13"/>
  <c r="BM236" i="13"/>
  <c r="BL244" i="13"/>
  <c r="BK269" i="13"/>
  <c r="BK252" i="13"/>
  <c r="BK237" i="13"/>
  <c r="BJ237" i="13"/>
  <c r="BI268" i="13"/>
  <c r="BI245" i="13"/>
  <c r="BI237" i="13"/>
  <c r="BH264" i="13"/>
  <c r="BH252" i="13"/>
  <c r="BG263" i="13"/>
  <c r="BG253" i="13"/>
  <c r="BG244" i="13"/>
  <c r="BF269" i="13"/>
  <c r="BF249" i="13"/>
  <c r="BF236" i="13"/>
  <c r="BB270" i="13"/>
  <c r="BB266" i="13"/>
  <c r="BB248" i="13"/>
  <c r="BB242" i="13"/>
  <c r="BB238" i="13"/>
  <c r="BA270" i="13"/>
  <c r="BA266" i="13"/>
  <c r="BA262" i="13"/>
  <c r="BA258" i="13"/>
  <c r="BA254" i="13"/>
  <c r="BA250" i="13"/>
  <c r="BA245" i="13"/>
  <c r="BA241" i="13"/>
  <c r="BA237" i="13"/>
  <c r="AZ260" i="13"/>
  <c r="AZ256" i="13"/>
  <c r="AZ252" i="13"/>
  <c r="AZ247" i="13"/>
  <c r="AZ241" i="13"/>
  <c r="AY267" i="13"/>
  <c r="AY263" i="13"/>
  <c r="AY259" i="13"/>
  <c r="AY255" i="13"/>
  <c r="AY251" i="13"/>
  <c r="AY247" i="13"/>
  <c r="AY242" i="13"/>
  <c r="AY238" i="13"/>
  <c r="AX270" i="13"/>
  <c r="AX266" i="13"/>
  <c r="AX238" i="13"/>
  <c r="AW256" i="13"/>
  <c r="AW247" i="13"/>
  <c r="AW242" i="13"/>
  <c r="AW238" i="13"/>
  <c r="AV270" i="13"/>
  <c r="AV259" i="13"/>
  <c r="AV254" i="13"/>
  <c r="AV241" i="13"/>
  <c r="AV237" i="13"/>
  <c r="AU262" i="13"/>
  <c r="AU245" i="13"/>
  <c r="AT270" i="13"/>
  <c r="AT250" i="13"/>
  <c r="AT238" i="13"/>
  <c r="AS262" i="13"/>
  <c r="AS241" i="13"/>
  <c r="AR270" i="13"/>
  <c r="AR255" i="13"/>
  <c r="AR245" i="13"/>
  <c r="AQ259" i="13"/>
  <c r="AQ255" i="13"/>
  <c r="AQ251" i="13"/>
  <c r="AQ242" i="13"/>
  <c r="AP270" i="13"/>
  <c r="AP258" i="13"/>
  <c r="AO266" i="13"/>
  <c r="AO258" i="13"/>
  <c r="AO250" i="13"/>
  <c r="AO242" i="13"/>
  <c r="AO237" i="13"/>
  <c r="AN266" i="13"/>
  <c r="AN251" i="13"/>
  <c r="AN238" i="13"/>
  <c r="AM267" i="13"/>
  <c r="AM237" i="13"/>
  <c r="AL267" i="13"/>
  <c r="AK258" i="13"/>
  <c r="AK250" i="13"/>
  <c r="AJ270" i="13"/>
  <c r="AJ259" i="13"/>
  <c r="AJ242" i="13"/>
  <c r="BJ154" i="13"/>
  <c r="BU148" i="13"/>
  <c r="BT148" i="13"/>
  <c r="BK148" i="13"/>
  <c r="AX147" i="13"/>
  <c r="BA186" i="13"/>
  <c r="AT186" i="13"/>
  <c r="AR182" i="13"/>
  <c r="BU219" i="13"/>
  <c r="BL219" i="13"/>
  <c r="BG214" i="13"/>
  <c r="BH214" i="13"/>
  <c r="BF226" i="13"/>
  <c r="BP226" i="13"/>
  <c r="BJ226" i="13"/>
  <c r="BN222" i="13"/>
  <c r="BF222" i="13"/>
  <c r="BL222" i="13"/>
  <c r="BF216" i="13"/>
  <c r="BH216" i="13"/>
  <c r="BQ216" i="13"/>
  <c r="BI216" i="13"/>
  <c r="BT216" i="13"/>
  <c r="BL216" i="13"/>
  <c r="BV339" i="13"/>
  <c r="BV335" i="13"/>
  <c r="BV331" i="13"/>
  <c r="BM335" i="13"/>
  <c r="BW256" i="13"/>
  <c r="BV256" i="13"/>
  <c r="BU240" i="13"/>
  <c r="BS244" i="13"/>
  <c r="BQ236" i="13"/>
  <c r="BP256" i="13"/>
  <c r="BP244" i="13"/>
  <c r="BK240" i="13"/>
  <c r="BJ264" i="13"/>
  <c r="BJ244" i="13"/>
  <c r="BG240" i="13"/>
  <c r="BF256" i="13"/>
  <c r="BE244" i="13"/>
  <c r="BW260" i="13"/>
  <c r="BV264" i="13"/>
  <c r="BU268" i="13"/>
  <c r="BU252" i="13"/>
  <c r="BU236" i="13"/>
  <c r="BT252" i="13"/>
  <c r="BS252" i="13"/>
  <c r="BS236" i="13"/>
  <c r="BR240" i="13"/>
  <c r="BQ263" i="13"/>
  <c r="BQ240" i="13"/>
  <c r="BP264" i="13"/>
  <c r="BP252" i="13"/>
  <c r="BO268" i="13"/>
  <c r="BO244" i="13"/>
  <c r="BN268" i="13"/>
  <c r="BN244" i="13"/>
  <c r="BN239" i="13"/>
  <c r="BN235" i="13"/>
  <c r="BM267" i="13"/>
  <c r="BM252" i="13"/>
  <c r="BL268" i="13"/>
  <c r="BK268" i="13"/>
  <c r="BK236" i="13"/>
  <c r="BJ236" i="13"/>
  <c r="BI264" i="13"/>
  <c r="BI244" i="13"/>
  <c r="BI236" i="13"/>
  <c r="BH263" i="13"/>
  <c r="BG252" i="13"/>
  <c r="BF268" i="13"/>
  <c r="BB247" i="13"/>
  <c r="BB241" i="13"/>
  <c r="BB237" i="13"/>
  <c r="AZ259" i="13"/>
  <c r="AZ255" i="13"/>
  <c r="AZ251" i="13"/>
  <c r="AZ245" i="13"/>
  <c r="AY262" i="13"/>
  <c r="AY258" i="13"/>
  <c r="AY254" i="13"/>
  <c r="AY250" i="13"/>
  <c r="AY245" i="13"/>
  <c r="AY241" i="13"/>
  <c r="AY237" i="13"/>
  <c r="AX242" i="13"/>
  <c r="AX237" i="13"/>
  <c r="AW259" i="13"/>
  <c r="AW251" i="13"/>
  <c r="AW245" i="13"/>
  <c r="AW241" i="13"/>
  <c r="AV263" i="13"/>
  <c r="AV258" i="13"/>
  <c r="AU267" i="13"/>
  <c r="AU259" i="13"/>
  <c r="AU238" i="13"/>
  <c r="AT262" i="13"/>
  <c r="AT254" i="13"/>
  <c r="AS267" i="13"/>
  <c r="AS254" i="13"/>
  <c r="AS245" i="13"/>
  <c r="AQ258" i="13"/>
  <c r="AQ254" i="13"/>
  <c r="AO241" i="13"/>
  <c r="AM251" i="13"/>
  <c r="BV154" i="13"/>
  <c r="BR148" i="13"/>
  <c r="BN148" i="13"/>
  <c r="BL148" i="13"/>
  <c r="BG148" i="13"/>
  <c r="AZ213" i="13"/>
  <c r="AM213" i="13"/>
  <c r="AK227" i="13"/>
  <c r="AO227" i="13"/>
  <c r="AQ227" i="13"/>
  <c r="AU227" i="13"/>
  <c r="AY227" i="13"/>
  <c r="AZ227" i="13"/>
  <c r="BA227" i="13"/>
  <c r="BB227" i="13"/>
  <c r="AM227" i="13"/>
  <c r="AW227" i="13"/>
  <c r="AK223" i="13"/>
  <c r="AJ223" i="13"/>
  <c r="AM223" i="13"/>
  <c r="AS223" i="13"/>
  <c r="AW223" i="13"/>
  <c r="AU223" i="13"/>
  <c r="AL223" i="13"/>
  <c r="AT223" i="13"/>
  <c r="AK341" i="13"/>
  <c r="AL341" i="13"/>
  <c r="AR341" i="13"/>
  <c r="AV341" i="13"/>
  <c r="AZ341" i="13"/>
  <c r="AQ341" i="13"/>
  <c r="AU341" i="13"/>
  <c r="AY341" i="13"/>
  <c r="AM341" i="13"/>
  <c r="AT341" i="13"/>
  <c r="AX341" i="13"/>
  <c r="BB341" i="13"/>
  <c r="AK337" i="13"/>
  <c r="AP337" i="13"/>
  <c r="AR337" i="13"/>
  <c r="AV337" i="13"/>
  <c r="AZ337" i="13"/>
  <c r="AL337" i="13"/>
  <c r="AQ337" i="13"/>
  <c r="AU337" i="13"/>
  <c r="AY337" i="13"/>
  <c r="AM337" i="13"/>
  <c r="AT337" i="13"/>
  <c r="AX337" i="13"/>
  <c r="BB337" i="13"/>
  <c r="AK333" i="13"/>
  <c r="AR333" i="13"/>
  <c r="AV333" i="13"/>
  <c r="AZ333" i="13"/>
  <c r="AP333" i="13"/>
  <c r="AQ333" i="13"/>
  <c r="AU333" i="13"/>
  <c r="AY333" i="13"/>
  <c r="AL333" i="13"/>
  <c r="AM333" i="13"/>
  <c r="AT333" i="13"/>
  <c r="AX333" i="13"/>
  <c r="BB333" i="13"/>
  <c r="AK329" i="13"/>
  <c r="AR329" i="13"/>
  <c r="AV329" i="13"/>
  <c r="AZ329" i="13"/>
  <c r="AQ329" i="13"/>
  <c r="AU329" i="13"/>
  <c r="AY329" i="13"/>
  <c r="AM329" i="13"/>
  <c r="AP329" i="13"/>
  <c r="AT329" i="13"/>
  <c r="AX329" i="13"/>
  <c r="BB329" i="13"/>
  <c r="AK325" i="13"/>
  <c r="AL325" i="13"/>
  <c r="AR325" i="13"/>
  <c r="AV325" i="13"/>
  <c r="AZ325" i="13"/>
  <c r="AQ325" i="13"/>
  <c r="AU325" i="13"/>
  <c r="AY325" i="13"/>
  <c r="AM325" i="13"/>
  <c r="AT325" i="13"/>
  <c r="AX325" i="13"/>
  <c r="BB325" i="13"/>
  <c r="AJ190" i="13"/>
  <c r="AK190" i="13"/>
  <c r="AJ218" i="13"/>
  <c r="AK216" i="13"/>
  <c r="AJ216" i="13"/>
  <c r="AV216" i="13"/>
  <c r="AP216" i="13"/>
  <c r="AZ216" i="13"/>
  <c r="AQ216" i="13"/>
  <c r="BB216" i="13"/>
  <c r="BF339" i="13"/>
  <c r="BH339" i="13"/>
  <c r="BL339" i="13"/>
  <c r="BN339" i="13"/>
  <c r="BS339" i="13"/>
  <c r="BI339" i="13"/>
  <c r="BP339" i="13"/>
  <c r="BR339" i="13"/>
  <c r="BU339" i="13"/>
  <c r="BK339" i="13"/>
  <c r="BM339" i="13"/>
  <c r="BW339" i="13"/>
  <c r="BH335" i="13"/>
  <c r="BN335" i="13"/>
  <c r="BO335" i="13"/>
  <c r="BQ335" i="13"/>
  <c r="BS335" i="13"/>
  <c r="BT335" i="13"/>
  <c r="BE335" i="13"/>
  <c r="BG335" i="13"/>
  <c r="BL335" i="13"/>
  <c r="BR335" i="13"/>
  <c r="BF335" i="13"/>
  <c r="BI335" i="13"/>
  <c r="BP335" i="13"/>
  <c r="BU335" i="13"/>
  <c r="BW335" i="13"/>
  <c r="BF331" i="13"/>
  <c r="BH331" i="13"/>
  <c r="BK331" i="13"/>
  <c r="BM331" i="13"/>
  <c r="BN331" i="13"/>
  <c r="BS331" i="13"/>
  <c r="BO331" i="13"/>
  <c r="BQ331" i="13"/>
  <c r="BR331" i="13"/>
  <c r="BT331" i="13"/>
  <c r="BE331" i="13"/>
  <c r="BG331" i="13"/>
  <c r="BL331" i="13"/>
  <c r="BW331" i="13"/>
  <c r="BE327" i="13"/>
  <c r="BH327" i="13"/>
  <c r="BN327" i="13"/>
  <c r="BP327" i="13"/>
  <c r="BS327" i="13"/>
  <c r="BU327" i="13"/>
  <c r="BI327" i="13"/>
  <c r="BK327" i="13"/>
  <c r="BM327" i="13"/>
  <c r="BR327" i="13"/>
  <c r="BF327" i="13"/>
  <c r="BO327" i="13"/>
  <c r="BQ327" i="13"/>
  <c r="BT327" i="13"/>
  <c r="BW327" i="13"/>
  <c r="BG323" i="13"/>
  <c r="BI323" i="13"/>
  <c r="BK323" i="13"/>
  <c r="BM323" i="13"/>
  <c r="BO323" i="13"/>
  <c r="BQ323" i="13"/>
  <c r="BS323" i="13"/>
  <c r="BU323" i="13"/>
  <c r="BG319" i="13"/>
  <c r="BI319" i="13"/>
  <c r="BK319" i="13"/>
  <c r="BM319" i="13"/>
  <c r="BO319" i="13"/>
  <c r="BQ319" i="13"/>
  <c r="BS319" i="13"/>
  <c r="BU319" i="13"/>
  <c r="BE315" i="13"/>
  <c r="BG315" i="13"/>
  <c r="BI315" i="13"/>
  <c r="BK315" i="13"/>
  <c r="BM315" i="13"/>
  <c r="BO315" i="13"/>
  <c r="BQ315" i="13"/>
  <c r="BS315" i="13"/>
  <c r="BU315" i="13"/>
  <c r="BG312" i="13"/>
  <c r="BI312" i="13"/>
  <c r="BK312" i="13"/>
  <c r="BM312" i="13"/>
  <c r="BO312" i="13"/>
  <c r="BQ312" i="13"/>
  <c r="BS312" i="13"/>
  <c r="BU312" i="13"/>
  <c r="BG308" i="13"/>
  <c r="BI308" i="13"/>
  <c r="BK308" i="13"/>
  <c r="BM308" i="13"/>
  <c r="BO308" i="13"/>
  <c r="BQ308" i="13"/>
  <c r="BS308" i="13"/>
  <c r="BU308" i="13"/>
  <c r="BI304" i="13"/>
  <c r="BK304" i="13"/>
  <c r="BM304" i="13"/>
  <c r="BO304" i="13"/>
  <c r="BQ304" i="13"/>
  <c r="BS304" i="13"/>
  <c r="BU304" i="13"/>
  <c r="BE300" i="13"/>
  <c r="BI300" i="13"/>
  <c r="BK300" i="13"/>
  <c r="BM300" i="13"/>
  <c r="BO300" i="13"/>
  <c r="BQ300" i="13"/>
  <c r="BS300" i="13"/>
  <c r="BU300" i="13"/>
  <c r="BI296" i="13"/>
  <c r="BK296" i="13"/>
  <c r="BM296" i="13"/>
  <c r="BO296" i="13"/>
  <c r="BQ296" i="13"/>
  <c r="BS296" i="13"/>
  <c r="BU296" i="13"/>
  <c r="BG292" i="13"/>
  <c r="BI292" i="13"/>
  <c r="BK292" i="13"/>
  <c r="BM292" i="13"/>
  <c r="BO292" i="13"/>
  <c r="BQ292" i="13"/>
  <c r="BS292" i="13"/>
  <c r="BU292" i="13"/>
  <c r="BW292" i="13"/>
  <c r="BI288" i="13"/>
  <c r="BK288" i="13"/>
  <c r="BM288" i="13"/>
  <c r="BO288" i="13"/>
  <c r="BQ288" i="13"/>
  <c r="BS288" i="13"/>
  <c r="BU288" i="13"/>
  <c r="BW288" i="13"/>
  <c r="AU219" i="13"/>
  <c r="BB221" i="13"/>
  <c r="BA221" i="13"/>
  <c r="AZ221" i="13"/>
  <c r="AV224" i="13"/>
  <c r="AU224" i="13"/>
  <c r="AR221" i="13"/>
  <c r="AP221" i="13"/>
  <c r="BU340" i="13"/>
  <c r="BU329" i="13"/>
  <c r="BT332" i="13"/>
  <c r="BS341" i="13"/>
  <c r="BS337" i="13"/>
  <c r="BS333" i="13"/>
  <c r="BS329" i="13"/>
  <c r="BS325" i="13"/>
  <c r="BR340" i="13"/>
  <c r="BR336" i="13"/>
  <c r="BR332" i="13"/>
  <c r="BR328" i="13"/>
  <c r="BQ337" i="13"/>
  <c r="BQ332" i="13"/>
  <c r="BP340" i="13"/>
  <c r="BO337" i="13"/>
  <c r="BO332" i="13"/>
  <c r="BN341" i="13"/>
  <c r="BN337" i="13"/>
  <c r="BN333" i="13"/>
  <c r="BN329" i="13"/>
  <c r="BN325" i="13"/>
  <c r="BM333" i="13"/>
  <c r="BM328" i="13"/>
  <c r="BL336" i="13"/>
  <c r="BK333" i="13"/>
  <c r="BK328" i="13"/>
  <c r="BI340" i="13"/>
  <c r="BI328" i="13"/>
  <c r="BG336" i="13"/>
  <c r="BE336" i="13"/>
  <c r="AZ339" i="13"/>
  <c r="AZ335" i="13"/>
  <c r="AZ331" i="13"/>
  <c r="AZ327" i="13"/>
  <c r="AY338" i="13"/>
  <c r="AY334" i="13"/>
  <c r="AY330" i="13"/>
  <c r="AY326" i="13"/>
  <c r="AV339" i="13"/>
  <c r="AV335" i="13"/>
  <c r="AV331" i="13"/>
  <c r="AV327" i="13"/>
  <c r="AU338" i="13"/>
  <c r="AU334" i="13"/>
  <c r="AU330" i="13"/>
  <c r="AU326" i="13"/>
  <c r="AR339" i="13"/>
  <c r="AR335" i="13"/>
  <c r="AR327" i="13"/>
  <c r="AQ338" i="13"/>
  <c r="AQ334" i="13"/>
  <c r="AQ330" i="13"/>
  <c r="AQ326" i="13"/>
  <c r="AP335" i="13"/>
  <c r="AO335" i="13"/>
  <c r="AO327" i="13"/>
  <c r="BW321" i="13"/>
  <c r="BW317" i="13"/>
  <c r="BW313" i="13"/>
  <c r="BW310" i="13"/>
  <c r="BW306" i="13"/>
  <c r="BW302" i="13"/>
  <c r="BW298" i="13"/>
  <c r="BW294" i="13"/>
  <c r="BW289" i="13"/>
  <c r="BV320" i="13"/>
  <c r="BV315" i="13"/>
  <c r="BV305" i="13"/>
  <c r="BV300" i="13"/>
  <c r="BV289" i="13"/>
  <c r="BU321" i="13"/>
  <c r="BU316" i="13"/>
  <c r="BU306" i="13"/>
  <c r="BU301" i="13"/>
  <c r="BU290" i="13"/>
  <c r="BT316" i="13"/>
  <c r="BT312" i="13"/>
  <c r="BT301" i="13"/>
  <c r="BT296" i="13"/>
  <c r="BS317" i="13"/>
  <c r="BS302" i="13"/>
  <c r="BS297" i="13"/>
  <c r="BR323" i="13"/>
  <c r="BR308" i="13"/>
  <c r="BR297" i="13"/>
  <c r="BR292" i="13"/>
  <c r="BQ324" i="13"/>
  <c r="BQ313" i="13"/>
  <c r="BQ309" i="13"/>
  <c r="BQ298" i="13"/>
  <c r="BQ293" i="13"/>
  <c r="BP324" i="13"/>
  <c r="BP319" i="13"/>
  <c r="BP309" i="13"/>
  <c r="BP304" i="13"/>
  <c r="BP293" i="13"/>
  <c r="BP288" i="13"/>
  <c r="BO320" i="13"/>
  <c r="BO310" i="13"/>
  <c r="BO305" i="13"/>
  <c r="BO289" i="13"/>
  <c r="BN320" i="13"/>
  <c r="BN315" i="13"/>
  <c r="BN300" i="13"/>
  <c r="BM316" i="13"/>
  <c r="BM301" i="13"/>
  <c r="BL316" i="13"/>
  <c r="BL312" i="13"/>
  <c r="BL301" i="13"/>
  <c r="BL296" i="13"/>
  <c r="BK317" i="13"/>
  <c r="BK302" i="13"/>
  <c r="BK297" i="13"/>
  <c r="BJ323" i="13"/>
  <c r="BJ308" i="13"/>
  <c r="BJ297" i="13"/>
  <c r="BJ292" i="13"/>
  <c r="BI324" i="13"/>
  <c r="BI309" i="13"/>
  <c r="BI293" i="13"/>
  <c r="BH324" i="13"/>
  <c r="BH319" i="13"/>
  <c r="BH309" i="13"/>
  <c r="BH304" i="13"/>
  <c r="BH288" i="13"/>
  <c r="BG310" i="13"/>
  <c r="BG304" i="13"/>
  <c r="BF312" i="13"/>
  <c r="BF296" i="13"/>
  <c r="BE296" i="13"/>
  <c r="BU328" i="13"/>
  <c r="BT336" i="13"/>
  <c r="BS340" i="13"/>
  <c r="BS336" i="13"/>
  <c r="BS332" i="13"/>
  <c r="BS328" i="13"/>
  <c r="BQ336" i="13"/>
  <c r="BP328" i="13"/>
  <c r="BO336" i="13"/>
  <c r="BN340" i="13"/>
  <c r="BN336" i="13"/>
  <c r="BN332" i="13"/>
  <c r="BN328" i="13"/>
  <c r="BM332" i="13"/>
  <c r="BL340" i="13"/>
  <c r="BK332" i="13"/>
  <c r="BH340" i="13"/>
  <c r="BH332" i="13"/>
  <c r="BH328" i="13"/>
  <c r="AV338" i="13"/>
  <c r="AV334" i="13"/>
  <c r="AV330" i="13"/>
  <c r="AV326" i="13"/>
  <c r="AR338" i="13"/>
  <c r="AR334" i="13"/>
  <c r="AR330" i="13"/>
  <c r="AR326" i="13"/>
  <c r="BV319" i="13"/>
  <c r="BV304" i="13"/>
  <c r="BV288" i="13"/>
  <c r="BT315" i="13"/>
  <c r="BT300" i="13"/>
  <c r="BR312" i="13"/>
  <c r="BR296" i="13"/>
  <c r="BP323" i="13"/>
  <c r="BP308" i="13"/>
  <c r="BP292" i="13"/>
  <c r="BN319" i="13"/>
  <c r="BN304" i="13"/>
  <c r="BN288" i="13"/>
  <c r="BL315" i="13"/>
  <c r="BL300" i="13"/>
  <c r="BK301" i="13"/>
  <c r="BJ312" i="13"/>
  <c r="BJ296" i="13"/>
  <c r="BI297" i="13"/>
  <c r="BH323" i="13"/>
  <c r="BH308" i="13"/>
  <c r="BH292" i="13"/>
  <c r="BG296" i="13"/>
  <c r="BF315" i="13"/>
  <c r="BF300" i="13"/>
  <c r="BE319" i="13"/>
  <c r="BE308" i="13"/>
  <c r="BE288" i="13"/>
  <c r="BE321" i="13"/>
  <c r="BH321" i="13"/>
  <c r="BJ321" i="13"/>
  <c r="BL321" i="13"/>
  <c r="BN321" i="13"/>
  <c r="BP321" i="13"/>
  <c r="BR321" i="13"/>
  <c r="BT321" i="13"/>
  <c r="BV321" i="13"/>
  <c r="BH317" i="13"/>
  <c r="BJ317" i="13"/>
  <c r="BL317" i="13"/>
  <c r="BN317" i="13"/>
  <c r="BP317" i="13"/>
  <c r="BR317" i="13"/>
  <c r="BT317" i="13"/>
  <c r="BV317" i="13"/>
  <c r="BH313" i="13"/>
  <c r="BJ313" i="13"/>
  <c r="BL313" i="13"/>
  <c r="BN313" i="13"/>
  <c r="BP313" i="13"/>
  <c r="BR313" i="13"/>
  <c r="BT313" i="13"/>
  <c r="BV313" i="13"/>
  <c r="BH310" i="13"/>
  <c r="BJ310" i="13"/>
  <c r="BL310" i="13"/>
  <c r="BN310" i="13"/>
  <c r="BP310" i="13"/>
  <c r="BR310" i="13"/>
  <c r="BT310" i="13"/>
  <c r="BV310" i="13"/>
  <c r="BE306" i="13"/>
  <c r="BH306" i="13"/>
  <c r="BJ306" i="13"/>
  <c r="BL306" i="13"/>
  <c r="BN306" i="13"/>
  <c r="BP306" i="13"/>
  <c r="BR306" i="13"/>
  <c r="BT306" i="13"/>
  <c r="BV306" i="13"/>
  <c r="BH302" i="13"/>
  <c r="BJ302" i="13"/>
  <c r="BL302" i="13"/>
  <c r="BN302" i="13"/>
  <c r="BP302" i="13"/>
  <c r="BR302" i="13"/>
  <c r="BT302" i="13"/>
  <c r="BV302" i="13"/>
  <c r="BG298" i="13"/>
  <c r="BH298" i="13"/>
  <c r="BJ298" i="13"/>
  <c r="BL298" i="13"/>
  <c r="BN298" i="13"/>
  <c r="BP298" i="13"/>
  <c r="BR298" i="13"/>
  <c r="BT298" i="13"/>
  <c r="BV298" i="13"/>
  <c r="BH294" i="13"/>
  <c r="BJ294" i="13"/>
  <c r="BL294" i="13"/>
  <c r="BN294" i="13"/>
  <c r="BP294" i="13"/>
  <c r="BR294" i="13"/>
  <c r="BT294" i="13"/>
  <c r="BV294" i="13"/>
  <c r="BE290" i="13"/>
  <c r="BH290" i="13"/>
  <c r="BJ290" i="13"/>
  <c r="BL290" i="13"/>
  <c r="BN290" i="13"/>
  <c r="BP290" i="13"/>
  <c r="BR290" i="13"/>
  <c r="BT290" i="13"/>
  <c r="BV290" i="13"/>
  <c r="BT288" i="13"/>
  <c r="BR315" i="13"/>
  <c r="BR300" i="13"/>
  <c r="BP312" i="13"/>
  <c r="BP296" i="13"/>
  <c r="BN323" i="13"/>
  <c r="BN308" i="13"/>
  <c r="BN292" i="13"/>
  <c r="BL319" i="13"/>
  <c r="BL304" i="13"/>
  <c r="BL288" i="13"/>
  <c r="BJ315" i="13"/>
  <c r="BJ300" i="13"/>
  <c r="BH312" i="13"/>
  <c r="BH296" i="13"/>
  <c r="BG288" i="13"/>
  <c r="BF319" i="13"/>
  <c r="BF304" i="13"/>
  <c r="BF288" i="13"/>
  <c r="BE312" i="13"/>
  <c r="BE324" i="13"/>
  <c r="BF324" i="13"/>
  <c r="BE320" i="13"/>
  <c r="BF320" i="13"/>
  <c r="BE316" i="13"/>
  <c r="BF316" i="13"/>
  <c r="BE309" i="13"/>
  <c r="BF309" i="13"/>
  <c r="BE305" i="13"/>
  <c r="BG305" i="13"/>
  <c r="BF305" i="13"/>
  <c r="BE301" i="13"/>
  <c r="BG301" i="13"/>
  <c r="BF301" i="13"/>
  <c r="BE297" i="13"/>
  <c r="BG297" i="13"/>
  <c r="BF297" i="13"/>
  <c r="BE293" i="13"/>
  <c r="BG293" i="13"/>
  <c r="BF293" i="13"/>
  <c r="BE289" i="13"/>
  <c r="BG289" i="13"/>
  <c r="BF289" i="13"/>
  <c r="AL324" i="13"/>
  <c r="AL320" i="13"/>
  <c r="AL316" i="13"/>
  <c r="AL309" i="13"/>
  <c r="AL305" i="13"/>
  <c r="AL301" i="13"/>
  <c r="AL297" i="13"/>
  <c r="AL293" i="13"/>
  <c r="AL289" i="13"/>
  <c r="BV239" i="13"/>
  <c r="BR263" i="13"/>
  <c r="BQ267" i="13"/>
  <c r="BP247" i="13"/>
  <c r="BO263" i="13"/>
  <c r="BL267" i="13"/>
  <c r="BI263" i="13"/>
  <c r="BF263" i="13"/>
  <c r="AJ268" i="13"/>
  <c r="AR268" i="13"/>
  <c r="AT268" i="13"/>
  <c r="AU268" i="13"/>
  <c r="AJ264" i="13"/>
  <c r="AT264" i="13"/>
  <c r="AL260" i="13"/>
  <c r="AO260" i="13"/>
  <c r="AJ260" i="13"/>
  <c r="AK260" i="13"/>
  <c r="AL256" i="13"/>
  <c r="AO256" i="13"/>
  <c r="AJ256" i="13"/>
  <c r="AR256" i="13"/>
  <c r="AL252" i="13"/>
  <c r="AM252" i="13"/>
  <c r="AO252" i="13"/>
  <c r="AP252" i="13"/>
  <c r="AJ252" i="13"/>
  <c r="AO248" i="13"/>
  <c r="AQ248" i="13"/>
  <c r="AR248" i="13"/>
  <c r="AP248" i="13"/>
  <c r="AL243" i="13"/>
  <c r="AO243" i="13"/>
  <c r="AQ243" i="13"/>
  <c r="AO239" i="13"/>
  <c r="AQ239" i="13"/>
  <c r="AS239" i="13"/>
  <c r="AL239" i="13"/>
  <c r="AN239" i="13"/>
  <c r="AO235" i="13"/>
  <c r="AQ235" i="13"/>
  <c r="AS235" i="13"/>
  <c r="AM235" i="13"/>
  <c r="AP235" i="13"/>
  <c r="BW259" i="13"/>
  <c r="BV235" i="13"/>
  <c r="BU247" i="13"/>
  <c r="BU235" i="13"/>
  <c r="BT247" i="13"/>
  <c r="BS251" i="13"/>
  <c r="BR267" i="13"/>
  <c r="BW246" i="13"/>
  <c r="BV255" i="13"/>
  <c r="BV242" i="13"/>
  <c r="BU270" i="13"/>
  <c r="BU263" i="13"/>
  <c r="BU242" i="13"/>
  <c r="BU238" i="13"/>
  <c r="BT270" i="13"/>
  <c r="BT266" i="13"/>
  <c r="BS263" i="13"/>
  <c r="BR266" i="13"/>
  <c r="BR262" i="13"/>
  <c r="BR239" i="13"/>
  <c r="BR235" i="13"/>
  <c r="BQ266" i="13"/>
  <c r="BQ258" i="13"/>
  <c r="BQ246" i="13"/>
  <c r="BQ239" i="13"/>
  <c r="BQ235" i="13"/>
  <c r="BP263" i="13"/>
  <c r="BP246" i="13"/>
  <c r="BO259" i="13"/>
  <c r="BO246" i="13"/>
  <c r="BN267" i="13"/>
  <c r="BN263" i="13"/>
  <c r="BN250" i="13"/>
  <c r="BM262" i="13"/>
  <c r="BM243" i="13"/>
  <c r="BM239" i="13"/>
  <c r="BM235" i="13"/>
  <c r="BL266" i="13"/>
  <c r="BL250" i="13"/>
  <c r="BK243" i="13"/>
  <c r="BK239" i="13"/>
  <c r="BK235" i="13"/>
  <c r="BI262" i="13"/>
  <c r="BI255" i="13"/>
  <c r="BI243" i="13"/>
  <c r="BI239" i="13"/>
  <c r="BI235" i="13"/>
  <c r="BH266" i="13"/>
  <c r="BH255" i="13"/>
  <c r="BH239" i="13"/>
  <c r="BH235" i="13"/>
  <c r="BG267" i="13"/>
  <c r="AU256" i="13"/>
  <c r="AT256" i="13"/>
  <c r="AS248" i="13"/>
  <c r="AR264" i="13"/>
  <c r="AR239" i="13"/>
  <c r="AP264" i="13"/>
  <c r="AP256" i="13"/>
  <c r="AP239" i="13"/>
  <c r="AO264" i="13"/>
  <c r="AN260" i="13"/>
  <c r="AM256" i="13"/>
  <c r="AL235" i="13"/>
  <c r="AK243" i="13"/>
  <c r="AJ235" i="13"/>
  <c r="AN267" i="13"/>
  <c r="AP267" i="13"/>
  <c r="AR267" i="13"/>
  <c r="AO267" i="13"/>
  <c r="AQ267" i="13"/>
  <c r="AQ263" i="13"/>
  <c r="AN263" i="13"/>
  <c r="AO263" i="13"/>
  <c r="AU263" i="13"/>
  <c r="AK259" i="13"/>
  <c r="AN259" i="13"/>
  <c r="AP259" i="13"/>
  <c r="AS259" i="13"/>
  <c r="AT259" i="13"/>
  <c r="AM255" i="13"/>
  <c r="AK255" i="13"/>
  <c r="AS255" i="13"/>
  <c r="AT255" i="13"/>
  <c r="AK251" i="13"/>
  <c r="AO251" i="13"/>
  <c r="AR251" i="13"/>
  <c r="AS251" i="13"/>
  <c r="AT251" i="13"/>
  <c r="AK247" i="13"/>
  <c r="AJ247" i="13"/>
  <c r="AL247" i="13"/>
  <c r="AM247" i="13"/>
  <c r="AN247" i="13"/>
  <c r="AP247" i="13"/>
  <c r="AQ247" i="13"/>
  <c r="AS247" i="13"/>
  <c r="AT247" i="13"/>
  <c r="AM242" i="13"/>
  <c r="AR242" i="13"/>
  <c r="AK242" i="13"/>
  <c r="AS242" i="13"/>
  <c r="AM238" i="13"/>
  <c r="AR238" i="13"/>
  <c r="AJ238" i="13"/>
  <c r="BW267" i="13"/>
  <c r="BU239" i="13"/>
  <c r="BT267" i="13"/>
  <c r="BT263" i="13"/>
  <c r="BQ251" i="13"/>
  <c r="BN251" i="13"/>
  <c r="BM263" i="13"/>
  <c r="BK263" i="13"/>
  <c r="BJ267" i="13"/>
  <c r="BV238" i="13"/>
  <c r="BT246" i="13"/>
  <c r="BW270" i="13"/>
  <c r="BW263" i="13"/>
  <c r="BV263" i="13"/>
  <c r="BV254" i="13"/>
  <c r="BV246" i="13"/>
  <c r="BT269" i="13"/>
  <c r="BT265" i="13"/>
  <c r="BS267" i="13"/>
  <c r="BS257" i="13"/>
  <c r="BS239" i="13"/>
  <c r="BS235" i="13"/>
  <c r="BR265" i="13"/>
  <c r="BR242" i="13"/>
  <c r="BR238" i="13"/>
  <c r="BQ269" i="13"/>
  <c r="BQ265" i="13"/>
  <c r="BQ257" i="13"/>
  <c r="BQ242" i="13"/>
  <c r="BQ238" i="13"/>
  <c r="BP270" i="13"/>
  <c r="BP262" i="13"/>
  <c r="BP245" i="13"/>
  <c r="BO266" i="13"/>
  <c r="BO255" i="13"/>
  <c r="BO239" i="13"/>
  <c r="BO235" i="13"/>
  <c r="BN266" i="13"/>
  <c r="BN258" i="13"/>
  <c r="BN246" i="13"/>
  <c r="BM242" i="13"/>
  <c r="BM238" i="13"/>
  <c r="BL270" i="13"/>
  <c r="BL263" i="13"/>
  <c r="BL239" i="13"/>
  <c r="BL235" i="13"/>
  <c r="BK267" i="13"/>
  <c r="BK255" i="13"/>
  <c r="BK242" i="13"/>
  <c r="BK238" i="13"/>
  <c r="BJ270" i="13"/>
  <c r="BJ263" i="13"/>
  <c r="BJ239" i="13"/>
  <c r="BJ235" i="13"/>
  <c r="BI266" i="13"/>
  <c r="BI261" i="13"/>
  <c r="BI251" i="13"/>
  <c r="BI242" i="13"/>
  <c r="BI238" i="13"/>
  <c r="BH270" i="13"/>
  <c r="BH254" i="13"/>
  <c r="BG270" i="13"/>
  <c r="BG265" i="13"/>
  <c r="BG255" i="13"/>
  <c r="BG251" i="13"/>
  <c r="BG243" i="13"/>
  <c r="BG239" i="13"/>
  <c r="BG235" i="13"/>
  <c r="BF267" i="13"/>
  <c r="BF255" i="13"/>
  <c r="BF251" i="13"/>
  <c r="BE267" i="13"/>
  <c r="AZ239" i="13"/>
  <c r="AZ235" i="13"/>
  <c r="AX239" i="13"/>
  <c r="AX235" i="13"/>
  <c r="AV268" i="13"/>
  <c r="AV264" i="13"/>
  <c r="AV260" i="13"/>
  <c r="AV256" i="13"/>
  <c r="AV252" i="13"/>
  <c r="AU260" i="13"/>
  <c r="AU248" i="13"/>
  <c r="AU243" i="13"/>
  <c r="AU239" i="13"/>
  <c r="AU235" i="13"/>
  <c r="AT260" i="13"/>
  <c r="AS268" i="13"/>
  <c r="AS264" i="13"/>
  <c r="AS252" i="13"/>
  <c r="AQ268" i="13"/>
  <c r="AQ238" i="13"/>
  <c r="AP260" i="13"/>
  <c r="AP238" i="13"/>
  <c r="AO268" i="13"/>
  <c r="AO255" i="13"/>
  <c r="AN252" i="13"/>
  <c r="AN242" i="13"/>
  <c r="AN235" i="13"/>
  <c r="AM260" i="13"/>
  <c r="AM248" i="13"/>
  <c r="AL264" i="13"/>
  <c r="AL255" i="13"/>
  <c r="AK264" i="13"/>
  <c r="AK256" i="13"/>
  <c r="AK235" i="13"/>
  <c r="AJ255" i="13"/>
  <c r="AJ248" i="13"/>
  <c r="AL270" i="13"/>
  <c r="AQ270" i="13"/>
  <c r="AK270" i="13"/>
  <c r="AM270" i="13"/>
  <c r="AN270" i="13"/>
  <c r="AL266" i="13"/>
  <c r="AQ266" i="13"/>
  <c r="AK266" i="13"/>
  <c r="AM266" i="13"/>
  <c r="AP266" i="13"/>
  <c r="AP262" i="13"/>
  <c r="AR262" i="13"/>
  <c r="AM262" i="13"/>
  <c r="AN258" i="13"/>
  <c r="AR258" i="13"/>
  <c r="AL258" i="13"/>
  <c r="AM258" i="13"/>
  <c r="AU258" i="13"/>
  <c r="AR254" i="13"/>
  <c r="AK254" i="13"/>
  <c r="AP254" i="13"/>
  <c r="AU254" i="13"/>
  <c r="AN250" i="13"/>
  <c r="AU250" i="13"/>
  <c r="AV250" i="13"/>
  <c r="AK245" i="13"/>
  <c r="AL245" i="13"/>
  <c r="AM245" i="13"/>
  <c r="AN245" i="13"/>
  <c r="AO245" i="13"/>
  <c r="AV245" i="13"/>
  <c r="AJ241" i="13"/>
  <c r="AK241" i="13"/>
  <c r="AL241" i="13"/>
  <c r="AN241" i="13"/>
  <c r="AP241" i="13"/>
  <c r="AQ241" i="13"/>
  <c r="AR241" i="13"/>
  <c r="AT241" i="13"/>
  <c r="AJ237" i="13"/>
  <c r="AK237" i="13"/>
  <c r="AL237" i="13"/>
  <c r="AN237" i="13"/>
  <c r="AP237" i="13"/>
  <c r="AS237" i="13"/>
  <c r="AT237" i="13"/>
  <c r="AJ239" i="13"/>
  <c r="BI154" i="13"/>
  <c r="BH154" i="13"/>
  <c r="BP154" i="13"/>
  <c r="BL154" i="13"/>
  <c r="BT154" i="13"/>
  <c r="BW145" i="13"/>
  <c r="BF149" i="13"/>
  <c r="BU145" i="13"/>
  <c r="BT145" i="13"/>
  <c r="BG147" i="13"/>
  <c r="BS147" i="13"/>
  <c r="BF147" i="13"/>
  <c r="BK147" i="13"/>
  <c r="BM147" i="13"/>
  <c r="BR145" i="13"/>
  <c r="BO145" i="13"/>
  <c r="BL145" i="13"/>
  <c r="AM146" i="13"/>
  <c r="AN146" i="13"/>
  <c r="AO189" i="13"/>
  <c r="AV189" i="13"/>
  <c r="BH149" i="13"/>
  <c r="BJ149" i="13"/>
  <c r="BF145" i="13"/>
  <c r="BM145" i="13"/>
  <c r="BJ145" i="13"/>
  <c r="BT219" i="13"/>
  <c r="BM214" i="13"/>
  <c r="BB215" i="13"/>
  <c r="AZ218" i="13"/>
  <c r="AX220" i="13"/>
  <c r="AP215" i="13"/>
  <c r="AN213" i="13"/>
  <c r="AL213" i="13"/>
  <c r="AJ215" i="13"/>
  <c r="BV226" i="13"/>
  <c r="BJ222" i="13"/>
  <c r="BH222" i="13"/>
  <c r="BB226" i="13"/>
  <c r="BA224" i="13"/>
  <c r="AX224" i="13"/>
  <c r="AW226" i="13"/>
  <c r="AW222" i="13"/>
  <c r="AP224" i="13"/>
  <c r="AM226" i="13"/>
  <c r="AM222" i="13"/>
  <c r="AK224" i="13"/>
  <c r="BO338" i="13"/>
  <c r="BO334" i="13"/>
  <c r="BO330" i="13"/>
  <c r="BO326" i="13"/>
  <c r="BK338" i="13"/>
  <c r="BK334" i="13"/>
  <c r="BK330" i="13"/>
  <c r="BK326" i="13"/>
  <c r="BE338" i="13"/>
  <c r="BF341" i="13"/>
  <c r="BE341" i="13"/>
  <c r="BF337" i="13"/>
  <c r="BE337" i="13"/>
  <c r="BF333" i="13"/>
  <c r="BE333" i="13"/>
  <c r="BF329" i="13"/>
  <c r="BE329" i="13"/>
  <c r="BI329" i="13"/>
  <c r="BF325" i="13"/>
  <c r="BE325" i="13"/>
  <c r="BI325" i="13"/>
  <c r="AR224" i="13"/>
  <c r="AQ224" i="13"/>
  <c r="BI326" i="13"/>
  <c r="BG337" i="13"/>
  <c r="BE326" i="13"/>
  <c r="BV148" i="13"/>
  <c r="BP148" i="13"/>
  <c r="BO148" i="13"/>
  <c r="BI148" i="13"/>
  <c r="BW188" i="13"/>
  <c r="BO188" i="13"/>
  <c r="AX184" i="13"/>
  <c r="AR188" i="13"/>
  <c r="BQ214" i="13"/>
  <c r="BI214" i="13"/>
  <c r="AY220" i="13"/>
  <c r="AW215" i="13"/>
  <c r="AS215" i="13"/>
  <c r="AQ220" i="13"/>
  <c r="AN220" i="13"/>
  <c r="AM218" i="13"/>
  <c r="AK215" i="13"/>
  <c r="BV222" i="13"/>
  <c r="BT226" i="13"/>
  <c r="BR226" i="13"/>
  <c r="BB224" i="13"/>
  <c r="BA226" i="13"/>
  <c r="BA222" i="13"/>
  <c r="AZ224" i="13"/>
  <c r="AY226" i="13"/>
  <c r="AX226" i="13"/>
  <c r="AW224" i="13"/>
  <c r="AV227" i="13"/>
  <c r="AT227" i="13"/>
  <c r="AS224" i="13"/>
  <c r="AR223" i="13"/>
  <c r="AQ223" i="13"/>
  <c r="AN224" i="13"/>
  <c r="AM224" i="13"/>
  <c r="AL224" i="13"/>
  <c r="AJ224" i="13"/>
  <c r="BU338" i="13"/>
  <c r="BU334" i="13"/>
  <c r="BU330" i="13"/>
  <c r="BU326" i="13"/>
  <c r="BT341" i="13"/>
  <c r="BT337" i="13"/>
  <c r="BT333" i="13"/>
  <c r="BT329" i="13"/>
  <c r="BT325" i="13"/>
  <c r="BQ338" i="13"/>
  <c r="BQ334" i="13"/>
  <c r="BQ330" i="13"/>
  <c r="BQ326" i="13"/>
  <c r="BP341" i="13"/>
  <c r="BP337" i="13"/>
  <c r="BP333" i="13"/>
  <c r="BP329" i="13"/>
  <c r="BP325" i="13"/>
  <c r="BM338" i="13"/>
  <c r="BM334" i="13"/>
  <c r="BM330" i="13"/>
  <c r="BL341" i="13"/>
  <c r="BL337" i="13"/>
  <c r="BL333" i="13"/>
  <c r="BL329" i="13"/>
  <c r="BL325" i="13"/>
  <c r="BI330" i="13"/>
  <c r="BG341" i="13"/>
  <c r="BG325" i="13"/>
  <c r="BG338" i="13"/>
  <c r="BF338" i="13"/>
  <c r="BG334" i="13"/>
  <c r="BF334" i="13"/>
  <c r="BG330" i="13"/>
  <c r="BF330" i="13"/>
  <c r="BG326" i="13"/>
  <c r="BF326" i="13"/>
  <c r="AN338" i="13"/>
  <c r="AN334" i="13"/>
  <c r="AN330" i="13"/>
  <c r="AN326" i="13"/>
  <c r="AJ338" i="13"/>
  <c r="AJ334" i="13"/>
  <c r="AJ330" i="13"/>
  <c r="AJ326" i="13"/>
  <c r="AO338" i="13"/>
  <c r="AO334" i="13"/>
  <c r="AO330" i="13"/>
  <c r="AO326" i="13"/>
  <c r="AN341" i="13"/>
  <c r="AN337" i="13"/>
  <c r="AN333" i="13"/>
  <c r="AN329" i="13"/>
  <c r="AN325" i="13"/>
  <c r="AK338" i="13"/>
  <c r="AK334" i="13"/>
  <c r="AK330" i="13"/>
  <c r="AK326" i="13"/>
  <c r="AJ341" i="13"/>
  <c r="AJ337" i="13"/>
  <c r="AJ333" i="13"/>
  <c r="AJ329" i="13"/>
  <c r="AJ325" i="13"/>
  <c r="AP338" i="13"/>
  <c r="AP334" i="13"/>
  <c r="AP330" i="13"/>
  <c r="AP326" i="13"/>
  <c r="AO341" i="13"/>
  <c r="AO337" i="13"/>
  <c r="AO333" i="13"/>
  <c r="AO329" i="13"/>
  <c r="AO325" i="13"/>
  <c r="BR270" i="13"/>
  <c r="BW269" i="13"/>
  <c r="BU269" i="13"/>
  <c r="BS269" i="13"/>
  <c r="BR269" i="13"/>
  <c r="BO269" i="13"/>
  <c r="BN269" i="13"/>
  <c r="BP268" i="13"/>
  <c r="BP267" i="13"/>
  <c r="BO267" i="13"/>
  <c r="BI267" i="13"/>
  <c r="BW266" i="13"/>
  <c r="BV266" i="13"/>
  <c r="BP266" i="13"/>
  <c r="BM266" i="13"/>
  <c r="BJ266" i="13"/>
  <c r="BU265" i="13"/>
  <c r="BP265" i="13"/>
  <c r="BK265" i="13"/>
  <c r="BJ265" i="13"/>
  <c r="BI265" i="13"/>
  <c r="BS265" i="13"/>
  <c r="BM265" i="13"/>
  <c r="BL265" i="13"/>
  <c r="BH265" i="13"/>
  <c r="BU264" i="13"/>
  <c r="BQ264" i="13"/>
  <c r="BO264" i="13"/>
  <c r="BM264" i="13"/>
  <c r="BF264" i="13"/>
  <c r="BW264" i="13"/>
  <c r="BL264" i="13"/>
  <c r="BK264" i="13"/>
  <c r="BB263" i="13"/>
  <c r="AZ263" i="13"/>
  <c r="AX263" i="13"/>
  <c r="AS263" i="13"/>
  <c r="AP263" i="13"/>
  <c r="AL263" i="13"/>
  <c r="AK263" i="13"/>
  <c r="AT263" i="13"/>
  <c r="AR263" i="13"/>
  <c r="BU262" i="13"/>
  <c r="BT262" i="13"/>
  <c r="BS262" i="13"/>
  <c r="BO262" i="13"/>
  <c r="BK262" i="13"/>
  <c r="BE262" i="13"/>
  <c r="BV262" i="13"/>
  <c r="BF262" i="13"/>
  <c r="BQ262" i="13"/>
  <c r="BN262" i="13"/>
  <c r="BL262" i="13"/>
  <c r="BH262" i="13"/>
  <c r="BU261" i="13"/>
  <c r="BW261" i="13"/>
  <c r="BT261" i="13"/>
  <c r="BR261" i="13"/>
  <c r="BO261" i="13"/>
  <c r="BN261" i="13"/>
  <c r="BM261" i="13"/>
  <c r="AW261" i="13"/>
  <c r="AU261" i="13"/>
  <c r="AS261" i="13"/>
  <c r="AN261" i="13"/>
  <c r="AL261" i="13"/>
  <c r="BV261" i="13"/>
  <c r="BK261" i="13"/>
  <c r="BH261" i="13"/>
  <c r="BG261" i="13"/>
  <c r="BF261" i="13"/>
  <c r="BE261" i="13"/>
  <c r="BS261" i="13"/>
  <c r="AP261" i="13"/>
  <c r="AO261" i="13"/>
  <c r="BQ260" i="13"/>
  <c r="BP260" i="13"/>
  <c r="BO260" i="13"/>
  <c r="BL260" i="13"/>
  <c r="BG260" i="13"/>
  <c r="BT260" i="13"/>
  <c r="BH260" i="13"/>
  <c r="BV260" i="13"/>
  <c r="BS260" i="13"/>
  <c r="BR260" i="13"/>
  <c r="BN260" i="13"/>
  <c r="BJ260" i="13"/>
  <c r="BF260" i="13"/>
  <c r="BS259" i="13"/>
  <c r="BL259" i="13"/>
  <c r="BU259" i="13"/>
  <c r="BN259" i="13"/>
  <c r="BK259" i="13"/>
  <c r="BJ259" i="13"/>
  <c r="BH259" i="13"/>
  <c r="BF259" i="13"/>
  <c r="BV259" i="13"/>
  <c r="BT259" i="13"/>
  <c r="BR259" i="13"/>
  <c r="BQ259" i="13"/>
  <c r="BM259" i="13"/>
  <c r="BI259" i="13"/>
  <c r="BG259" i="13"/>
  <c r="BW258" i="13"/>
  <c r="BV258" i="13"/>
  <c r="BR258" i="13"/>
  <c r="BJ258" i="13"/>
  <c r="BF258" i="13"/>
  <c r="BG258" i="13"/>
  <c r="BT258" i="13"/>
  <c r="BS258" i="13"/>
  <c r="BP258" i="13"/>
  <c r="BH258" i="13"/>
  <c r="BU258" i="13"/>
  <c r="BO258" i="13"/>
  <c r="BM258" i="13"/>
  <c r="BL258" i="13"/>
  <c r="BK258" i="13"/>
  <c r="BI258" i="13"/>
  <c r="BR257" i="13"/>
  <c r="BN257" i="13"/>
  <c r="BL257" i="13"/>
  <c r="BP257" i="13"/>
  <c r="BM257" i="13"/>
  <c r="BJ257" i="13"/>
  <c r="BI257" i="13"/>
  <c r="BH257" i="13"/>
  <c r="BG257" i="13"/>
  <c r="BF257" i="13"/>
  <c r="BE257" i="13"/>
  <c r="BU257" i="13"/>
  <c r="BT257" i="13"/>
  <c r="BO257" i="13"/>
  <c r="BQ256" i="13"/>
  <c r="BO256" i="13"/>
  <c r="BN256" i="13"/>
  <c r="BM256" i="13"/>
  <c r="BS256" i="13"/>
  <c r="BK256" i="13"/>
  <c r="BU256" i="13"/>
  <c r="BQ255" i="13"/>
  <c r="BL255" i="13"/>
  <c r="BU255" i="13"/>
  <c r="BS255" i="13"/>
  <c r="BR255" i="13"/>
  <c r="BJ255" i="13"/>
  <c r="AP255" i="13"/>
  <c r="AN255" i="13"/>
  <c r="BT255" i="13"/>
  <c r="BT254" i="13"/>
  <c r="BR254" i="13"/>
  <c r="BQ254" i="13"/>
  <c r="BP254" i="13"/>
  <c r="BO254" i="13"/>
  <c r="BL254" i="13"/>
  <c r="BU254" i="13"/>
  <c r="BN254" i="13"/>
  <c r="BI254" i="13"/>
  <c r="BS254" i="13"/>
  <c r="BK254" i="13"/>
  <c r="BN253" i="13"/>
  <c r="BW253" i="13"/>
  <c r="BV253" i="13"/>
  <c r="BU253" i="13"/>
  <c r="BT253" i="13"/>
  <c r="BS253" i="13"/>
  <c r="BL253" i="13"/>
  <c r="BK253" i="13"/>
  <c r="BI253" i="13"/>
  <c r="BM253" i="13"/>
  <c r="BN252" i="13"/>
  <c r="BJ252" i="13"/>
  <c r="BI252" i="13"/>
  <c r="BW252" i="13"/>
  <c r="BR252" i="13"/>
  <c r="BQ252" i="13"/>
  <c r="BV251" i="13"/>
  <c r="BP251" i="13"/>
  <c r="BK251" i="13"/>
  <c r="BW251" i="13"/>
  <c r="BU251" i="13"/>
  <c r="BR251" i="13"/>
  <c r="BO251" i="13"/>
  <c r="BT251" i="13"/>
  <c r="BM251" i="13"/>
  <c r="BL251" i="13"/>
  <c r="BJ251" i="13"/>
  <c r="BJ249" i="13"/>
  <c r="BR249" i="13"/>
  <c r="BK249" i="13"/>
  <c r="BH249" i="13"/>
  <c r="BW249" i="13"/>
  <c r="BS249" i="13"/>
  <c r="BQ249" i="13"/>
  <c r="BB249" i="13"/>
  <c r="AJ249" i="13"/>
  <c r="AP250" i="13"/>
  <c r="AL250" i="13"/>
  <c r="AJ250" i="13"/>
  <c r="BK250" i="13"/>
  <c r="BJ250" i="13"/>
  <c r="BW250" i="13"/>
  <c r="BT250" i="13"/>
  <c r="BM250" i="13"/>
  <c r="AW250" i="13"/>
  <c r="AR250" i="13"/>
  <c r="BU250" i="13"/>
  <c r="BS250" i="13"/>
  <c r="BR250" i="13"/>
  <c r="BQ250" i="13"/>
  <c r="BO250" i="13"/>
  <c r="BI250" i="13"/>
  <c r="BV249" i="13"/>
  <c r="BO249" i="13"/>
  <c r="BN249" i="13"/>
  <c r="BM249" i="13"/>
  <c r="BI249" i="13"/>
  <c r="BG249" i="13"/>
  <c r="AQ249" i="13"/>
  <c r="AN249" i="13"/>
  <c r="BU249" i="13"/>
  <c r="BP249" i="13"/>
  <c r="AZ249" i="13"/>
  <c r="AU249" i="13"/>
  <c r="AR249" i="13"/>
  <c r="BW248" i="13"/>
  <c r="BU248" i="13"/>
  <c r="BT248" i="13"/>
  <c r="BR248" i="13"/>
  <c r="BO248" i="13"/>
  <c r="BL248" i="13"/>
  <c r="BK248" i="13"/>
  <c r="BQ248" i="13"/>
  <c r="BP248" i="13"/>
  <c r="BN248" i="13"/>
  <c r="BJ248" i="13"/>
  <c r="BI248" i="13"/>
  <c r="BF248" i="13"/>
  <c r="BS248" i="13"/>
  <c r="BH248" i="13"/>
  <c r="BV247" i="13"/>
  <c r="BR247" i="13"/>
  <c r="BJ247" i="13"/>
  <c r="BH247" i="13"/>
  <c r="BW247" i="13"/>
  <c r="BL247" i="13"/>
  <c r="BI247" i="13"/>
  <c r="BG247" i="13"/>
  <c r="BN247" i="13"/>
  <c r="BF247" i="13"/>
  <c r="BS247" i="13"/>
  <c r="BQ247" i="13"/>
  <c r="BO247" i="13"/>
  <c r="BM247" i="13"/>
  <c r="BK247" i="13"/>
  <c r="BU246" i="13"/>
  <c r="BS246" i="13"/>
  <c r="AJ246" i="13"/>
  <c r="BQ245" i="13"/>
  <c r="BN245" i="13"/>
  <c r="BE245" i="13"/>
  <c r="BU245" i="13"/>
  <c r="BR245" i="13"/>
  <c r="BO245" i="13"/>
  <c r="BL245" i="13"/>
  <c r="BU244" i="13"/>
  <c r="BQ244" i="13"/>
  <c r="BK244" i="13"/>
  <c r="BE243" i="13"/>
  <c r="BW243" i="13"/>
  <c r="BV243" i="13"/>
  <c r="BU243" i="13"/>
  <c r="BT243" i="13"/>
  <c r="BS243" i="13"/>
  <c r="BR243" i="13"/>
  <c r="BQ243" i="13"/>
  <c r="BP243" i="13"/>
  <c r="BO243" i="13"/>
  <c r="BN243" i="13"/>
  <c r="BJ243" i="13"/>
  <c r="BF243" i="13"/>
  <c r="AZ243" i="13"/>
  <c r="AV243" i="13"/>
  <c r="AR243" i="13"/>
  <c r="AN243" i="13"/>
  <c r="AJ243" i="13"/>
  <c r="BL243" i="13"/>
  <c r="BB243" i="13"/>
  <c r="AX243" i="13"/>
  <c r="AT243" i="13"/>
  <c r="AP243" i="13"/>
  <c r="BB246" i="13"/>
  <c r="BA246" i="13"/>
  <c r="AZ246" i="13"/>
  <c r="AY246" i="13"/>
  <c r="AX246" i="13"/>
  <c r="AW246" i="13"/>
  <c r="AV246" i="13"/>
  <c r="AU246" i="13"/>
  <c r="AT246" i="13"/>
  <c r="AS246" i="13"/>
  <c r="AR246" i="13"/>
  <c r="AQ246" i="13"/>
  <c r="AP246" i="13"/>
  <c r="AO246" i="13"/>
  <c r="AN246" i="13"/>
  <c r="AM246" i="13"/>
  <c r="AL246" i="13"/>
  <c r="BL246" i="13"/>
  <c r="BK246" i="13"/>
  <c r="BG246" i="13"/>
  <c r="BM246" i="13"/>
  <c r="BJ246" i="13"/>
  <c r="BI246" i="13"/>
  <c r="BH246" i="13"/>
  <c r="BF246" i="13"/>
  <c r="AS150" i="13"/>
  <c r="AL150" i="13"/>
  <c r="AO150" i="13"/>
  <c r="BA150" i="13"/>
  <c r="AW150" i="13"/>
  <c r="AN150" i="13"/>
  <c r="AY182" i="13"/>
  <c r="AV182" i="13"/>
  <c r="AM182" i="13"/>
  <c r="AU184" i="13"/>
  <c r="AV184" i="13"/>
  <c r="AX186" i="13"/>
  <c r="AV186" i="13"/>
  <c r="AN186" i="13"/>
  <c r="AW188" i="13"/>
  <c r="AT188" i="13"/>
  <c r="BB190" i="13"/>
  <c r="AZ190" i="13"/>
  <c r="AR213" i="13"/>
  <c r="AW195" i="13"/>
  <c r="BA195" i="13"/>
  <c r="AR146" i="13"/>
  <c r="BP227" i="13"/>
  <c r="AX227" i="13"/>
  <c r="AS227" i="13"/>
  <c r="AR227" i="13"/>
  <c r="AP227" i="13"/>
  <c r="AJ227" i="13"/>
  <c r="AZ220" i="13"/>
  <c r="AV220" i="13"/>
  <c r="AS220" i="13"/>
  <c r="AL220" i="13"/>
  <c r="AT218" i="13"/>
  <c r="BB218" i="13"/>
  <c r="AY218" i="13"/>
  <c r="AU218" i="13"/>
  <c r="BU216" i="13"/>
  <c r="BM216" i="13"/>
  <c r="BE216" i="13"/>
  <c r="AY216" i="13"/>
  <c r="AT216" i="13"/>
  <c r="AN216" i="13"/>
  <c r="AX216" i="13"/>
  <c r="AR216" i="13"/>
  <c r="AM216" i="13"/>
  <c r="BL214" i="13"/>
  <c r="BP214" i="13"/>
  <c r="BA198" i="13"/>
  <c r="BW184" i="13"/>
  <c r="BS184" i="13"/>
  <c r="BK184" i="13"/>
  <c r="BP184" i="13"/>
  <c r="AZ184" i="13"/>
  <c r="AP184" i="13"/>
  <c r="BM182" i="13"/>
  <c r="BB182" i="13"/>
  <c r="AK182" i="13"/>
  <c r="BW154" i="13"/>
  <c r="BS154" i="13"/>
  <c r="BO154" i="13"/>
  <c r="BK154" i="13"/>
  <c r="BG154" i="13"/>
  <c r="BU154" i="13"/>
  <c r="BQ154" i="13"/>
  <c r="BM154" i="13"/>
  <c r="BW152" i="13"/>
  <c r="BS152" i="13"/>
  <c r="BR152" i="13"/>
  <c r="BQ152" i="13"/>
  <c r="BP152" i="13"/>
  <c r="BO152" i="13"/>
  <c r="BM152" i="13"/>
  <c r="BE152" i="13"/>
  <c r="BV152" i="13"/>
  <c r="BT152" i="13"/>
  <c r="BI152" i="13"/>
  <c r="BH152" i="13"/>
  <c r="BG152" i="13"/>
  <c r="BF152" i="13"/>
  <c r="BU152" i="13"/>
  <c r="BN152" i="13"/>
  <c r="BL152" i="13"/>
  <c r="BK152" i="13"/>
  <c r="AQ150" i="13"/>
  <c r="AK150" i="13"/>
  <c r="BW150" i="13"/>
  <c r="BV150" i="13"/>
  <c r="AY150" i="13"/>
  <c r="AU150" i="13"/>
  <c r="AP150" i="13"/>
  <c r="AM150" i="13"/>
  <c r="AJ150" i="13"/>
  <c r="BV149" i="13"/>
  <c r="BU149" i="13"/>
  <c r="BS149" i="13"/>
  <c r="BK149" i="13"/>
  <c r="BQ149" i="13"/>
  <c r="BL149" i="13"/>
  <c r="BI149" i="13"/>
  <c r="BW149" i="13"/>
  <c r="BT149" i="13"/>
  <c r="BP149" i="13"/>
  <c r="BG149" i="13"/>
  <c r="BR149" i="13"/>
  <c r="BN149" i="13"/>
  <c r="BM149" i="13"/>
  <c r="BV147" i="13"/>
  <c r="BT147" i="13"/>
  <c r="BR147" i="13"/>
  <c r="BP147" i="13"/>
  <c r="BN147" i="13"/>
  <c r="BL147" i="13"/>
  <c r="BJ147" i="13"/>
  <c r="BH147" i="13"/>
  <c r="BB147" i="13"/>
  <c r="AS147" i="13"/>
  <c r="AQ147" i="13"/>
  <c r="AO147" i="13"/>
  <c r="AW147" i="13"/>
  <c r="AU147" i="13"/>
  <c r="AR147" i="13"/>
  <c r="AM147" i="13"/>
  <c r="AK147" i="13"/>
  <c r="BW147" i="13"/>
  <c r="BQ147" i="13"/>
  <c r="BO147" i="13"/>
  <c r="BI147" i="13"/>
  <c r="BA147" i="13"/>
  <c r="AY147" i="13"/>
  <c r="AV147" i="13"/>
  <c r="AT147" i="13"/>
  <c r="AP147" i="13"/>
  <c r="BQ145" i="13"/>
  <c r="BI145" i="13"/>
  <c r="AU145" i="13"/>
  <c r="AS145" i="13"/>
  <c r="BA145" i="13"/>
  <c r="BV145" i="13"/>
  <c r="BS145" i="13"/>
  <c r="BP145" i="13"/>
  <c r="BN145" i="13"/>
  <c r="BK145" i="13"/>
  <c r="BH145" i="13"/>
  <c r="AY145" i="13"/>
  <c r="BV146" i="13"/>
  <c r="BR146" i="13"/>
  <c r="BN146" i="13"/>
  <c r="BJ146" i="13"/>
  <c r="BA146" i="13"/>
  <c r="AW146" i="13"/>
  <c r="AS146" i="13"/>
  <c r="AO146" i="13"/>
  <c r="AK146" i="13"/>
  <c r="BW146" i="13"/>
  <c r="BS146" i="13"/>
  <c r="BO146" i="13"/>
  <c r="BK146" i="13"/>
  <c r="BB146" i="13"/>
  <c r="AX146" i="13"/>
  <c r="AT146" i="13"/>
  <c r="AP146" i="13"/>
  <c r="AL146" i="13"/>
  <c r="AY146" i="13"/>
  <c r="AU146" i="13"/>
  <c r="AQ146" i="13"/>
  <c r="BE151" i="13"/>
  <c r="BW151" i="13"/>
  <c r="BV151" i="13"/>
  <c r="BU151" i="13"/>
  <c r="BT151" i="13"/>
  <c r="BS151" i="13"/>
  <c r="BR151" i="13"/>
  <c r="BQ151" i="13"/>
  <c r="BP151" i="13"/>
  <c r="BO151" i="13"/>
  <c r="BN151" i="13"/>
  <c r="BM151" i="13"/>
  <c r="BL151" i="13"/>
  <c r="BK151" i="13"/>
  <c r="BJ151" i="13"/>
  <c r="BI151" i="13"/>
  <c r="BH151" i="13"/>
  <c r="BG151" i="13"/>
  <c r="BA151" i="13"/>
  <c r="AY151" i="13"/>
  <c r="AW151" i="13"/>
  <c r="AU151" i="13"/>
  <c r="AS151" i="13"/>
  <c r="AQ151" i="13"/>
  <c r="AP151" i="13"/>
  <c r="AO151" i="13"/>
  <c r="AN151" i="13"/>
  <c r="AM151" i="13"/>
  <c r="AL151" i="13"/>
  <c r="AK151" i="13"/>
  <c r="AJ151" i="13"/>
  <c r="BB151" i="13"/>
  <c r="AZ151" i="13"/>
  <c r="AX151" i="13"/>
  <c r="AV151" i="13"/>
  <c r="AT151" i="13"/>
  <c r="BL197" i="13"/>
  <c r="AK197" i="13"/>
  <c r="AL194" i="13"/>
  <c r="BB223" i="13"/>
  <c r="AX223" i="13"/>
  <c r="AV223" i="13"/>
  <c r="AO223" i="13"/>
  <c r="AN223" i="13"/>
  <c r="AU222" i="13"/>
  <c r="BU221" i="13"/>
  <c r="BT221" i="13"/>
  <c r="BQ221" i="13"/>
  <c r="BH221" i="13"/>
  <c r="BE221" i="13"/>
  <c r="AM221" i="13"/>
  <c r="BI219" i="13"/>
  <c r="AS219" i="13"/>
  <c r="AZ219" i="13"/>
  <c r="BQ217" i="13"/>
  <c r="BM217" i="13"/>
  <c r="BL217" i="13"/>
  <c r="BE217" i="13"/>
  <c r="BU217" i="13"/>
  <c r="AX215" i="13"/>
  <c r="AV215" i="13"/>
  <c r="AT215" i="13"/>
  <c r="AN215" i="13"/>
  <c r="AM215" i="13"/>
  <c r="AL215" i="13"/>
  <c r="AU215" i="13"/>
  <c r="AQ215" i="13"/>
  <c r="BB213" i="13"/>
  <c r="AY213" i="13"/>
  <c r="AV213" i="13"/>
  <c r="AP213" i="13"/>
  <c r="AQ213" i="13"/>
  <c r="BP188" i="13"/>
  <c r="AY188" i="13"/>
  <c r="BB186" i="13"/>
  <c r="AO185" i="13"/>
  <c r="BW183" i="13"/>
  <c r="AY159" i="13"/>
  <c r="BH223" i="13"/>
  <c r="BP223" i="13"/>
  <c r="BU223" i="13"/>
  <c r="BW153" i="13"/>
  <c r="BV153" i="13"/>
  <c r="BU153" i="13"/>
  <c r="BT153" i="13"/>
  <c r="BS153" i="13"/>
  <c r="BR153" i="13"/>
  <c r="BQ153" i="13"/>
  <c r="BP153" i="13"/>
  <c r="BO153" i="13"/>
  <c r="BN153" i="13"/>
  <c r="BM153" i="13"/>
  <c r="BL153" i="13"/>
  <c r="BK153" i="13"/>
  <c r="BJ153" i="13"/>
  <c r="BI153" i="13"/>
  <c r="BH153" i="13"/>
  <c r="BG153" i="13"/>
  <c r="BO194" i="13"/>
  <c r="BH194" i="13"/>
  <c r="BU191" i="13"/>
  <c r="BS183" i="13"/>
  <c r="BH190" i="13"/>
  <c r="BJ190" i="13"/>
  <c r="BL186" i="13"/>
  <c r="BN186" i="13"/>
  <c r="BS186" i="13"/>
  <c r="BV186" i="13"/>
  <c r="BF219" i="13"/>
  <c r="BG219" i="13"/>
  <c r="BP219" i="13"/>
  <c r="BQ219" i="13"/>
  <c r="BF214" i="13"/>
  <c r="BE214" i="13"/>
  <c r="BK214" i="13"/>
  <c r="BO214" i="13"/>
  <c r="AJ219" i="13"/>
  <c r="AO219" i="13"/>
  <c r="AW219" i="13"/>
  <c r="AQ214" i="13"/>
  <c r="AU214" i="13"/>
  <c r="BU227" i="13"/>
  <c r="BO227" i="13"/>
  <c r="BM223" i="13"/>
  <c r="BK227" i="13"/>
  <c r="BJ227" i="13"/>
  <c r="BI227" i="13"/>
  <c r="BH227" i="13"/>
  <c r="BF227" i="13"/>
  <c r="BL215" i="13"/>
  <c r="BT215" i="13"/>
  <c r="BR227" i="13"/>
  <c r="BS227" i="13"/>
  <c r="BV227" i="13"/>
  <c r="BW227" i="13"/>
  <c r="BW156" i="13"/>
  <c r="BV156" i="13"/>
  <c r="BU156" i="13"/>
  <c r="BT156" i="13"/>
  <c r="BS156" i="13"/>
  <c r="BR156" i="13"/>
  <c r="BQ156" i="13"/>
  <c r="BP156" i="13"/>
  <c r="BO156" i="13"/>
  <c r="BN156" i="13"/>
  <c r="BM156" i="13"/>
  <c r="BL156" i="13"/>
  <c r="BK156" i="13"/>
  <c r="BJ156" i="13"/>
  <c r="BI156" i="13"/>
  <c r="BH156" i="13"/>
  <c r="BG156" i="13"/>
  <c r="BF156" i="13"/>
  <c r="BR195" i="13"/>
  <c r="AO195" i="13"/>
  <c r="AS195" i="13"/>
  <c r="BU190" i="13"/>
  <c r="BT183" i="13"/>
  <c r="BR190" i="13"/>
  <c r="BH182" i="13"/>
  <c r="BF189" i="13"/>
  <c r="BR189" i="13"/>
  <c r="BF185" i="13"/>
  <c r="BP185" i="13"/>
  <c r="AR191" i="13"/>
  <c r="BW219" i="13"/>
  <c r="BU214" i="13"/>
  <c r="BS219" i="13"/>
  <c r="BM219" i="13"/>
  <c r="BK219" i="13"/>
  <c r="BH219" i="13"/>
  <c r="BE219" i="13"/>
  <c r="BA214" i="13"/>
  <c r="AW214" i="13"/>
  <c r="AQ219" i="13"/>
  <c r="AN218" i="13"/>
  <c r="AR218" i="13"/>
  <c r="AV218" i="13"/>
  <c r="AX218" i="13"/>
  <c r="BW223" i="13"/>
  <c r="BV223" i="13"/>
  <c r="BT223" i="13"/>
  <c r="BS223" i="13"/>
  <c r="BR223" i="13"/>
  <c r="BQ223" i="13"/>
  <c r="BO223" i="13"/>
  <c r="BN223" i="13"/>
  <c r="BL223" i="13"/>
  <c r="BG227" i="13"/>
  <c r="BE223" i="13"/>
  <c r="BF225" i="13"/>
  <c r="BE225" i="13"/>
  <c r="BG225" i="13"/>
  <c r="BM225" i="13"/>
  <c r="BO225" i="13"/>
  <c r="BT225" i="13"/>
  <c r="AK157" i="13"/>
  <c r="AV157" i="13"/>
  <c r="BH220" i="13"/>
  <c r="BL220" i="13"/>
  <c r="BW155" i="13"/>
  <c r="BV155" i="13"/>
  <c r="BU155" i="13"/>
  <c r="BT155" i="13"/>
  <c r="BS155" i="13"/>
  <c r="BR155" i="13"/>
  <c r="BQ155" i="13"/>
  <c r="BP155" i="13"/>
  <c r="BO155" i="13"/>
  <c r="BN155" i="13"/>
  <c r="BM155" i="13"/>
  <c r="BL155" i="13"/>
  <c r="BK155" i="13"/>
  <c r="BJ155" i="13"/>
  <c r="BI155" i="13"/>
  <c r="BH155" i="13"/>
  <c r="BG155" i="13"/>
  <c r="AY170" i="13"/>
  <c r="AL195" i="13"/>
  <c r="BT190" i="13"/>
  <c r="AV185" i="13"/>
  <c r="AS189" i="13"/>
  <c r="AJ188" i="13"/>
  <c r="AP188" i="13"/>
  <c r="AU188" i="13"/>
  <c r="AX188" i="13"/>
  <c r="AZ188" i="13"/>
  <c r="BA188" i="13"/>
  <c r="BB188" i="13"/>
  <c r="AJ184" i="13"/>
  <c r="AR184" i="13"/>
  <c r="AW184" i="13"/>
  <c r="BW214" i="13"/>
  <c r="BT220" i="13"/>
  <c r="BS214" i="13"/>
  <c r="BP215" i="13"/>
  <c r="BH215" i="13"/>
  <c r="AY214" i="13"/>
  <c r="AX213" i="13"/>
  <c r="AU213" i="13"/>
  <c r="AT213" i="13"/>
  <c r="AS214" i="13"/>
  <c r="AR214" i="13"/>
  <c r="AQ218" i="13"/>
  <c r="AP218" i="13"/>
  <c r="AN214" i="13"/>
  <c r="AK214" i="13"/>
  <c r="AJ213" i="13"/>
  <c r="AK217" i="13"/>
  <c r="AP217" i="13"/>
  <c r="BL227" i="13"/>
  <c r="BK223" i="13"/>
  <c r="BJ223" i="13"/>
  <c r="BI223" i="13"/>
  <c r="BH225" i="13"/>
  <c r="BG223" i="13"/>
  <c r="BF223" i="13"/>
  <c r="AV221" i="13"/>
  <c r="AT221" i="13"/>
  <c r="AQ226" i="13"/>
  <c r="AQ222" i="13"/>
  <c r="AO225" i="13"/>
  <c r="AN221" i="13"/>
  <c r="AL221" i="13"/>
  <c r="AJ221" i="13"/>
  <c r="BW216" i="13"/>
  <c r="BS216" i="13"/>
  <c r="BO216" i="13"/>
  <c r="BK216" i="13"/>
  <c r="BG216" i="13"/>
  <c r="AL216" i="13"/>
  <c r="AZ226" i="13"/>
  <c r="AZ222" i="13"/>
  <c r="AY225" i="13"/>
  <c r="AY221" i="13"/>
  <c r="AV225" i="13"/>
  <c r="AT225" i="13"/>
  <c r="AS221" i="13"/>
  <c r="AQ225" i="13"/>
  <c r="AN225" i="13"/>
  <c r="AL225" i="13"/>
  <c r="AK225" i="13"/>
  <c r="BV216" i="13"/>
  <c r="BR216" i="13"/>
  <c r="BN216" i="13"/>
  <c r="BJ216" i="13"/>
  <c r="BA216" i="13"/>
  <c r="AW216" i="13"/>
  <c r="AS216" i="13"/>
  <c r="AO216" i="13"/>
  <c r="AJ154" i="13"/>
  <c r="AR154" i="13"/>
  <c r="AJ149" i="13"/>
  <c r="AK149" i="13"/>
  <c r="AL149" i="13"/>
  <c r="AM149" i="13"/>
  <c r="AN149" i="13"/>
  <c r="AO149" i="13"/>
  <c r="AP149" i="13"/>
  <c r="AO187" i="13"/>
  <c r="AQ187" i="13"/>
  <c r="AT187" i="13"/>
  <c r="AV187" i="13"/>
  <c r="AK187" i="13"/>
  <c r="AR187" i="13"/>
  <c r="AS187" i="13"/>
  <c r="AM187" i="13"/>
  <c r="AW187" i="13"/>
  <c r="AV154" i="13"/>
  <c r="BA149" i="13"/>
  <c r="AY149" i="13"/>
  <c r="AW149" i="13"/>
  <c r="AU149" i="13"/>
  <c r="AS149" i="13"/>
  <c r="AQ149" i="13"/>
  <c r="BF158" i="13"/>
  <c r="BT158" i="13"/>
  <c r="BE196" i="13"/>
  <c r="BT196" i="13"/>
  <c r="BJ196" i="13"/>
  <c r="AK196" i="13"/>
  <c r="AY196" i="13"/>
  <c r="BA196" i="13"/>
  <c r="AJ192" i="13"/>
  <c r="AT192" i="13"/>
  <c r="AP192" i="13"/>
  <c r="AV192" i="13"/>
  <c r="AR192" i="13"/>
  <c r="AX154" i="13"/>
  <c r="AK145" i="13"/>
  <c r="AL145" i="13"/>
  <c r="AM145" i="13"/>
  <c r="AN145" i="13"/>
  <c r="AO145" i="13"/>
  <c r="AP145" i="13"/>
  <c r="AQ145" i="13"/>
  <c r="AV191" i="13"/>
  <c r="AJ191" i="13"/>
  <c r="AL191" i="13"/>
  <c r="AM191" i="13"/>
  <c r="AS191" i="13"/>
  <c r="AO191" i="13"/>
  <c r="AP191" i="13"/>
  <c r="AU191" i="13"/>
  <c r="AV183" i="13"/>
  <c r="AO183" i="13"/>
  <c r="AS183" i="13"/>
  <c r="AJ217" i="13"/>
  <c r="AN217" i="13"/>
  <c r="AR217" i="13"/>
  <c r="AV217" i="13"/>
  <c r="AZ217" i="13"/>
  <c r="AL217" i="13"/>
  <c r="AU217" i="13"/>
  <c r="AW217" i="13"/>
  <c r="BB217" i="13"/>
  <c r="AQ217" i="13"/>
  <c r="AS217" i="13"/>
  <c r="AX217" i="13"/>
  <c r="AM217" i="13"/>
  <c r="AO217" i="13"/>
  <c r="AT217" i="13"/>
  <c r="BE224" i="13"/>
  <c r="BI224" i="13"/>
  <c r="BM224" i="13"/>
  <c r="BQ224" i="13"/>
  <c r="BU224" i="13"/>
  <c r="BG224" i="13"/>
  <c r="BK224" i="13"/>
  <c r="BO224" i="13"/>
  <c r="BS224" i="13"/>
  <c r="BW224" i="13"/>
  <c r="BV224" i="13"/>
  <c r="BF224" i="13"/>
  <c r="BJ224" i="13"/>
  <c r="BN224" i="13"/>
  <c r="BT224" i="13"/>
  <c r="BR224" i="13"/>
  <c r="BB150" i="13"/>
  <c r="BB145" i="13"/>
  <c r="AZ150" i="13"/>
  <c r="AZ145" i="13"/>
  <c r="AX150" i="13"/>
  <c r="AX145" i="13"/>
  <c r="AV150" i="13"/>
  <c r="AV145" i="13"/>
  <c r="AT150" i="13"/>
  <c r="AT145" i="13"/>
  <c r="AR145" i="13"/>
  <c r="BF191" i="13"/>
  <c r="BJ191" i="13"/>
  <c r="BT191" i="13"/>
  <c r="BE191" i="13"/>
  <c r="BH191" i="13"/>
  <c r="BM191" i="13"/>
  <c r="BP191" i="13"/>
  <c r="BL191" i="13"/>
  <c r="BG187" i="13"/>
  <c r="BM187" i="13"/>
  <c r="BL187" i="13"/>
  <c r="BP187" i="13"/>
  <c r="BT187" i="13"/>
  <c r="BU187" i="13"/>
  <c r="BF187" i="13"/>
  <c r="BI187" i="13"/>
  <c r="BJ187" i="13"/>
  <c r="BK187" i="13"/>
  <c r="BQ187" i="13"/>
  <c r="BF183" i="13"/>
  <c r="BE183" i="13"/>
  <c r="BG183" i="13"/>
  <c r="BJ183" i="13"/>
  <c r="BO183" i="13"/>
  <c r="BP183" i="13"/>
  <c r="BH183" i="13"/>
  <c r="AN191" i="13"/>
  <c r="AM183" i="13"/>
  <c r="AK183" i="13"/>
  <c r="BE218" i="13"/>
  <c r="BJ218" i="13"/>
  <c r="BH218" i="13"/>
  <c r="BF218" i="13"/>
  <c r="BN218" i="13"/>
  <c r="BP218" i="13"/>
  <c r="BR218" i="13"/>
  <c r="BT218" i="13"/>
  <c r="BV218" i="13"/>
  <c r="BE213" i="13"/>
  <c r="BF213" i="13"/>
  <c r="BJ213" i="13"/>
  <c r="BN213" i="13"/>
  <c r="BR213" i="13"/>
  <c r="BV213" i="13"/>
  <c r="BH213" i="13"/>
  <c r="BP213" i="13"/>
  <c r="BT213" i="13"/>
  <c r="BL224" i="13"/>
  <c r="BB149" i="13"/>
  <c r="AZ149" i="13"/>
  <c r="AX149" i="13"/>
  <c r="AV149" i="13"/>
  <c r="AT149" i="13"/>
  <c r="AR149" i="13"/>
  <c r="BE198" i="13"/>
  <c r="BH198" i="13"/>
  <c r="BP198" i="13"/>
  <c r="AX192" i="13"/>
  <c r="AU183" i="13"/>
  <c r="AY217" i="13"/>
  <c r="BP224" i="13"/>
  <c r="AJ170" i="13"/>
  <c r="BV189" i="13"/>
  <c r="BN185" i="13"/>
  <c r="BG217" i="13"/>
  <c r="BK217" i="13"/>
  <c r="AX190" i="13"/>
  <c r="AX182" i="13"/>
  <c r="AP190" i="13"/>
  <c r="AO190" i="13"/>
  <c r="AM186" i="13"/>
  <c r="BV217" i="13"/>
  <c r="BT217" i="13"/>
  <c r="BR217" i="13"/>
  <c r="BP217" i="13"/>
  <c r="BN217" i="13"/>
  <c r="BI217" i="13"/>
  <c r="BF217" i="13"/>
  <c r="AL219" i="13"/>
  <c r="AP219" i="13"/>
  <c r="AT219" i="13"/>
  <c r="AX219" i="13"/>
  <c r="BB219" i="13"/>
  <c r="AL214" i="13"/>
  <c r="AP214" i="13"/>
  <c r="AT214" i="13"/>
  <c r="AX214" i="13"/>
  <c r="BB214" i="13"/>
  <c r="BG226" i="13"/>
  <c r="BK226" i="13"/>
  <c r="BO226" i="13"/>
  <c r="BS226" i="13"/>
  <c r="BW226" i="13"/>
  <c r="BE226" i="13"/>
  <c r="BI226" i="13"/>
  <c r="BM226" i="13"/>
  <c r="BQ226" i="13"/>
  <c r="BU226" i="13"/>
  <c r="BG222" i="13"/>
  <c r="BK222" i="13"/>
  <c r="BO222" i="13"/>
  <c r="BS222" i="13"/>
  <c r="BW222" i="13"/>
  <c r="BE222" i="13"/>
  <c r="BI222" i="13"/>
  <c r="BM222" i="13"/>
  <c r="BQ222" i="13"/>
  <c r="BU222" i="13"/>
  <c r="BB152" i="13"/>
  <c r="BB148" i="13"/>
  <c r="BA152" i="13"/>
  <c r="BA148" i="13"/>
  <c r="AZ152" i="13"/>
  <c r="AZ148" i="13"/>
  <c r="AY152" i="13"/>
  <c r="AY148" i="13"/>
  <c r="AX152" i="13"/>
  <c r="AX148" i="13"/>
  <c r="AW152" i="13"/>
  <c r="AW148" i="13"/>
  <c r="AV152" i="13"/>
  <c r="AV148" i="13"/>
  <c r="AU152" i="13"/>
  <c r="AU148" i="13"/>
  <c r="AT152" i="13"/>
  <c r="AT148" i="13"/>
  <c r="AS152" i="13"/>
  <c r="AS148" i="13"/>
  <c r="AR152" i="13"/>
  <c r="AR148" i="13"/>
  <c r="AQ152" i="13"/>
  <c r="AQ148" i="13"/>
  <c r="AP152" i="13"/>
  <c r="AP148" i="13"/>
  <c r="AO152" i="13"/>
  <c r="AO148" i="13"/>
  <c r="AN152" i="13"/>
  <c r="AN148" i="13"/>
  <c r="AM152" i="13"/>
  <c r="AM148" i="13"/>
  <c r="AL152" i="13"/>
  <c r="AL148" i="13"/>
  <c r="AK152" i="13"/>
  <c r="AK148" i="13"/>
  <c r="AN197" i="13"/>
  <c r="BT195" i="13"/>
  <c r="BF195" i="13"/>
  <c r="BV185" i="13"/>
  <c r="BR185" i="13"/>
  <c r="BP190" i="13"/>
  <c r="BP186" i="13"/>
  <c r="BP182" i="13"/>
  <c r="BN189" i="13"/>
  <c r="BA190" i="13"/>
  <c r="BA182" i="13"/>
  <c r="AY186" i="13"/>
  <c r="AW189" i="13"/>
  <c r="AS190" i="13"/>
  <c r="AS186" i="13"/>
  <c r="AS182" i="13"/>
  <c r="AR186" i="13"/>
  <c r="AO182" i="13"/>
  <c r="AM190" i="13"/>
  <c r="AL186" i="13"/>
  <c r="AK186" i="13"/>
  <c r="AJ186" i="13"/>
  <c r="BW217" i="13"/>
  <c r="BS217" i="13"/>
  <c r="BO217" i="13"/>
  <c r="BH217" i="13"/>
  <c r="BA219" i="13"/>
  <c r="AZ214" i="13"/>
  <c r="AV219" i="13"/>
  <c r="AO214" i="13"/>
  <c r="AM219" i="13"/>
  <c r="AM214" i="13"/>
  <c r="AK219" i="13"/>
  <c r="AJ214" i="13"/>
  <c r="AK218" i="13"/>
  <c r="AO218" i="13"/>
  <c r="AS218" i="13"/>
  <c r="AW218" i="13"/>
  <c r="BA218" i="13"/>
  <c r="AK213" i="13"/>
  <c r="AO213" i="13"/>
  <c r="AS213" i="13"/>
  <c r="AW213" i="13"/>
  <c r="BA213" i="13"/>
  <c r="BR222" i="13"/>
  <c r="AV226" i="13"/>
  <c r="AV222" i="13"/>
  <c r="AR226" i="13"/>
  <c r="AR222" i="13"/>
  <c r="AN226" i="13"/>
  <c r="AN222" i="13"/>
  <c r="AJ226" i="13"/>
  <c r="AJ222" i="13"/>
  <c r="AS226" i="13"/>
  <c r="AS222" i="13"/>
  <c r="AO226" i="13"/>
  <c r="AO222" i="13"/>
  <c r="AK226" i="13"/>
  <c r="AK222" i="13"/>
  <c r="BN225" i="13"/>
  <c r="BN221" i="13"/>
  <c r="BJ225" i="13"/>
  <c r="BJ221" i="13"/>
  <c r="AT226" i="13"/>
  <c r="AT222" i="13"/>
  <c r="AP226" i="13"/>
  <c r="AP222" i="13"/>
  <c r="AJ153" i="13"/>
  <c r="BT197" i="13"/>
  <c r="BF190" i="13"/>
  <c r="BK190" i="13"/>
  <c r="BN190" i="13"/>
  <c r="BQ190" i="13"/>
  <c r="BS190" i="13"/>
  <c r="BV190" i="13"/>
  <c r="BE190" i="13"/>
  <c r="BF186" i="13"/>
  <c r="BO186" i="13"/>
  <c r="BR186" i="13"/>
  <c r="BU186" i="13"/>
  <c r="BW186" i="13"/>
  <c r="BE182" i="13"/>
  <c r="BN182" i="13"/>
  <c r="BV182" i="13"/>
  <c r="AJ189" i="13"/>
  <c r="AX189" i="13"/>
  <c r="AZ189" i="13"/>
  <c r="BB189" i="13"/>
  <c r="AU189" i="13"/>
  <c r="AY189" i="13"/>
  <c r="BA189" i="13"/>
  <c r="AJ185" i="13"/>
  <c r="AQ185" i="13"/>
  <c r="AW185" i="13"/>
  <c r="AX185" i="13"/>
  <c r="AZ185" i="13"/>
  <c r="BB185" i="13"/>
  <c r="AY185" i="13"/>
  <c r="BA185" i="13"/>
  <c r="BE193" i="13"/>
  <c r="BL193" i="13"/>
  <c r="BB154" i="13"/>
  <c r="AQ154" i="13"/>
  <c r="AZ162" i="13"/>
  <c r="BU157" i="13"/>
  <c r="BH158" i="13"/>
  <c r="BR197" i="13"/>
  <c r="BF197" i="13"/>
  <c r="AY198" i="13"/>
  <c r="BT193" i="13"/>
  <c r="BH193" i="13"/>
  <c r="AJ195" i="13"/>
  <c r="AQ195" i="13"/>
  <c r="AU195" i="13"/>
  <c r="AY195" i="13"/>
  <c r="BU182" i="13"/>
  <c r="BT182" i="13"/>
  <c r="BQ186" i="13"/>
  <c r="BO190" i="13"/>
  <c r="BO182" i="13"/>
  <c r="BK182" i="13"/>
  <c r="BJ186" i="13"/>
  <c r="AK185" i="13"/>
  <c r="AU193" i="13"/>
  <c r="BB193" i="13"/>
  <c r="AL156" i="13"/>
  <c r="BV197" i="13"/>
  <c r="BV196" i="13"/>
  <c r="BT192" i="13"/>
  <c r="BO192" i="13"/>
  <c r="BG192" i="13"/>
  <c r="BL194" i="13"/>
  <c r="BG194" i="13"/>
  <c r="BP194" i="13"/>
  <c r="BT194" i="13"/>
  <c r="BW194" i="13"/>
  <c r="AP194" i="13"/>
  <c r="AM194" i="13"/>
  <c r="BW190" i="13"/>
  <c r="BW182" i="13"/>
  <c r="BT186" i="13"/>
  <c r="BS182" i="13"/>
  <c r="BR182" i="13"/>
  <c r="BQ182" i="13"/>
  <c r="BM190" i="13"/>
  <c r="BL190" i="13"/>
  <c r="BL182" i="13"/>
  <c r="BI182" i="13"/>
  <c r="BH186" i="13"/>
  <c r="BG182" i="13"/>
  <c r="BE184" i="13"/>
  <c r="BG184" i="13"/>
  <c r="BI184" i="13"/>
  <c r="BM184" i="13"/>
  <c r="AU185" i="13"/>
  <c r="AQ189" i="13"/>
  <c r="AM189" i="13"/>
  <c r="AM185" i="13"/>
  <c r="AK189" i="13"/>
  <c r="AQ191" i="13"/>
  <c r="AT191" i="13"/>
  <c r="AW191" i="13"/>
  <c r="AY191" i="13"/>
  <c r="BA191" i="13"/>
  <c r="AX191" i="13"/>
  <c r="AZ191" i="13"/>
  <c r="BB191" i="13"/>
  <c r="AJ187" i="13"/>
  <c r="AN187" i="13"/>
  <c r="AU187" i="13"/>
  <c r="AY187" i="13"/>
  <c r="BA187" i="13"/>
  <c r="AL187" i="13"/>
  <c r="AP187" i="13"/>
  <c r="AX187" i="13"/>
  <c r="AZ187" i="13"/>
  <c r="BB187" i="13"/>
  <c r="AL183" i="13"/>
  <c r="AP183" i="13"/>
  <c r="AY183" i="13"/>
  <c r="BA183" i="13"/>
  <c r="AJ183" i="13"/>
  <c r="AN183" i="13"/>
  <c r="AQ183" i="13"/>
  <c r="AR183" i="13"/>
  <c r="AT183" i="13"/>
  <c r="AW183" i="13"/>
  <c r="AX183" i="13"/>
  <c r="AZ183" i="13"/>
  <c r="BB183" i="13"/>
  <c r="BG220" i="13"/>
  <c r="BK220" i="13"/>
  <c r="BO220" i="13"/>
  <c r="BS220" i="13"/>
  <c r="BW220" i="13"/>
  <c r="BF220" i="13"/>
  <c r="BJ220" i="13"/>
  <c r="BN220" i="13"/>
  <c r="BR220" i="13"/>
  <c r="BV220" i="13"/>
  <c r="BE220" i="13"/>
  <c r="BI220" i="13"/>
  <c r="BM220" i="13"/>
  <c r="BQ220" i="13"/>
  <c r="BU220" i="13"/>
  <c r="BG215" i="13"/>
  <c r="BK215" i="13"/>
  <c r="BO215" i="13"/>
  <c r="BS215" i="13"/>
  <c r="BW215" i="13"/>
  <c r="BF215" i="13"/>
  <c r="BJ215" i="13"/>
  <c r="BN215" i="13"/>
  <c r="BR215" i="13"/>
  <c r="BV215" i="13"/>
  <c r="BE215" i="13"/>
  <c r="BI215" i="13"/>
  <c r="BM215" i="13"/>
  <c r="BQ215" i="13"/>
  <c r="BU215" i="13"/>
  <c r="BW218" i="13"/>
  <c r="BW213" i="13"/>
  <c r="BS218" i="13"/>
  <c r="BS213" i="13"/>
  <c r="BO218" i="13"/>
  <c r="BO213" i="13"/>
  <c r="BK218" i="13"/>
  <c r="BK213" i="13"/>
  <c r="BG218" i="13"/>
  <c r="BG213" i="13"/>
  <c r="BT189" i="13"/>
  <c r="BT185" i="13"/>
  <c r="AO188" i="13"/>
  <c r="AO184" i="13"/>
  <c r="AK188" i="13"/>
  <c r="AK184" i="13"/>
  <c r="BV219" i="13"/>
  <c r="BV214" i="13"/>
  <c r="BU218" i="13"/>
  <c r="BU213" i="13"/>
  <c r="BR219" i="13"/>
  <c r="BR214" i="13"/>
  <c r="BQ218" i="13"/>
  <c r="BQ213" i="13"/>
  <c r="BN219" i="13"/>
  <c r="BN214" i="13"/>
  <c r="BM218" i="13"/>
  <c r="BM213" i="13"/>
  <c r="BJ219" i="13"/>
  <c r="BJ214" i="13"/>
  <c r="BI218" i="13"/>
  <c r="BI213" i="13"/>
  <c r="AQ166" i="13"/>
  <c r="AS159" i="13"/>
  <c r="BW196" i="13"/>
  <c r="BV192" i="13"/>
  <c r="BS196" i="13"/>
  <c r="BQ196" i="13"/>
  <c r="BN192" i="13"/>
  <c r="BL192" i="13"/>
  <c r="BI196" i="13"/>
  <c r="BB196" i="13"/>
  <c r="AZ154" i="13"/>
  <c r="AU154" i="13"/>
  <c r="AP154" i="13"/>
  <c r="BO164" i="13"/>
  <c r="AJ166" i="13"/>
  <c r="AV170" i="13"/>
  <c r="BU159" i="13"/>
  <c r="AQ159" i="13"/>
  <c r="BM157" i="13"/>
  <c r="BP158" i="13"/>
  <c r="BN197" i="13"/>
  <c r="AQ198" i="13"/>
  <c r="BU196" i="13"/>
  <c r="BS192" i="13"/>
  <c r="BQ192" i="13"/>
  <c r="BP192" i="13"/>
  <c r="BM196" i="13"/>
  <c r="BK196" i="13"/>
  <c r="BI192" i="13"/>
  <c r="BH192" i="13"/>
  <c r="BF192" i="13"/>
  <c r="BB195" i="13"/>
  <c r="BA192" i="13"/>
  <c r="AX196" i="13"/>
  <c r="AV196" i="13"/>
  <c r="AU192" i="13"/>
  <c r="AS192" i="13"/>
  <c r="AQ193" i="13"/>
  <c r="AN195" i="13"/>
  <c r="AM193" i="13"/>
  <c r="AK195" i="13"/>
  <c r="BW187" i="13"/>
  <c r="BV188" i="13"/>
  <c r="BV184" i="13"/>
  <c r="BU184" i="13"/>
  <c r="BS187" i="13"/>
  <c r="BR188" i="13"/>
  <c r="BR184" i="13"/>
  <c r="BQ184" i="13"/>
  <c r="BO187" i="13"/>
  <c r="BN188" i="13"/>
  <c r="BN184" i="13"/>
  <c r="BM183" i="13"/>
  <c r="BL189" i="13"/>
  <c r="BL185" i="13"/>
  <c r="BK191" i="13"/>
  <c r="BK183" i="13"/>
  <c r="BJ189" i="13"/>
  <c r="BJ185" i="13"/>
  <c r="BI191" i="13"/>
  <c r="BI183" i="13"/>
  <c r="BH189" i="13"/>
  <c r="BH185" i="13"/>
  <c r="BG191" i="13"/>
  <c r="BF184" i="13"/>
  <c r="BE187" i="13"/>
  <c r="AW190" i="13"/>
  <c r="AW186" i="13"/>
  <c r="AW182" i="13"/>
  <c r="AU190" i="13"/>
  <c r="AU186" i="13"/>
  <c r="AU182" i="13"/>
  <c r="AT182" i="13"/>
  <c r="AR190" i="13"/>
  <c r="AQ190" i="13"/>
  <c r="AQ186" i="13"/>
  <c r="AQ182" i="13"/>
  <c r="AP182" i="13"/>
  <c r="AN190" i="13"/>
  <c r="AN182" i="13"/>
  <c r="AL190" i="13"/>
  <c r="AL182" i="13"/>
  <c r="AY154" i="13"/>
  <c r="AT154" i="13"/>
  <c r="AN154" i="13"/>
  <c r="AJ165" i="13"/>
  <c r="AO170" i="13"/>
  <c r="AJ159" i="13"/>
  <c r="BL158" i="13"/>
  <c r="BW192" i="13"/>
  <c r="BU192" i="13"/>
  <c r="BR196" i="13"/>
  <c r="BP196" i="13"/>
  <c r="BL196" i="13"/>
  <c r="BH196" i="13"/>
  <c r="AZ195" i="13"/>
  <c r="AX195" i="13"/>
  <c r="AV195" i="13"/>
  <c r="AT195" i="13"/>
  <c r="AR195" i="13"/>
  <c r="AP195" i="13"/>
  <c r="AN192" i="13"/>
  <c r="AL196" i="13"/>
  <c r="BW191" i="13"/>
  <c r="BV191" i="13"/>
  <c r="BV187" i="13"/>
  <c r="BV183" i="13"/>
  <c r="BU188" i="13"/>
  <c r="BU183" i="13"/>
  <c r="BS191" i="13"/>
  <c r="BR191" i="13"/>
  <c r="BR187" i="13"/>
  <c r="BR183" i="13"/>
  <c r="BQ188" i="13"/>
  <c r="BQ183" i="13"/>
  <c r="BO191" i="13"/>
  <c r="BN191" i="13"/>
  <c r="BN187" i="13"/>
  <c r="BN183" i="13"/>
  <c r="BM188" i="13"/>
  <c r="BL188" i="13"/>
  <c r="BL184" i="13"/>
  <c r="BJ188" i="13"/>
  <c r="BJ184" i="13"/>
  <c r="BH188" i="13"/>
  <c r="BH184" i="13"/>
  <c r="BA154" i="13"/>
  <c r="AW154" i="13"/>
  <c r="AS154" i="13"/>
  <c r="AO154" i="13"/>
  <c r="BP164" i="13"/>
  <c r="BB166" i="13"/>
  <c r="AN162" i="13"/>
  <c r="AZ159" i="13"/>
  <c r="AO159" i="13"/>
  <c r="BT157" i="13"/>
  <c r="AZ157" i="13"/>
  <c r="AJ157" i="13"/>
  <c r="BQ158" i="13"/>
  <c r="BI158" i="13"/>
  <c r="BP197" i="13"/>
  <c r="BL198" i="13"/>
  <c r="BA197" i="13"/>
  <c r="AQ197" i="13"/>
  <c r="AM197" i="13"/>
  <c r="AJ197" i="13"/>
  <c r="BW195" i="13"/>
  <c r="BV195" i="13"/>
  <c r="BO195" i="13"/>
  <c r="BF196" i="13"/>
  <c r="BG196" i="13"/>
  <c r="BN196" i="13"/>
  <c r="BO196" i="13"/>
  <c r="BE192" i="13"/>
  <c r="BJ192" i="13"/>
  <c r="BM192" i="13"/>
  <c r="BR192" i="13"/>
  <c r="BB192" i="13"/>
  <c r="BA193" i="13"/>
  <c r="AZ193" i="13"/>
  <c r="AY192" i="13"/>
  <c r="AW196" i="13"/>
  <c r="AT194" i="13"/>
  <c r="AS194" i="13"/>
  <c r="AR194" i="13"/>
  <c r="AQ194" i="13"/>
  <c r="AO192" i="13"/>
  <c r="AK192" i="13"/>
  <c r="BM186" i="13"/>
  <c r="BK188" i="13"/>
  <c r="BI186" i="13"/>
  <c r="BG188" i="13"/>
  <c r="BE186" i="13"/>
  <c r="BE195" i="13"/>
  <c r="BH195" i="13"/>
  <c r="BP195" i="13"/>
  <c r="AK194" i="13"/>
  <c r="AU194" i="13"/>
  <c r="AV194" i="13"/>
  <c r="AW194" i="13"/>
  <c r="AX194" i="13"/>
  <c r="BB194" i="13"/>
  <c r="BI164" i="13"/>
  <c r="AU162" i="13"/>
  <c r="BL159" i="13"/>
  <c r="BE157" i="13"/>
  <c r="AR157" i="13"/>
  <c r="BU158" i="13"/>
  <c r="BM158" i="13"/>
  <c r="BE158" i="13"/>
  <c r="AO197" i="13"/>
  <c r="BS195" i="13"/>
  <c r="BG195" i="13"/>
  <c r="BE194" i="13"/>
  <c r="BK194" i="13"/>
  <c r="BS194" i="13"/>
  <c r="AW192" i="13"/>
  <c r="AU196" i="13"/>
  <c r="AT196" i="13"/>
  <c r="AS196" i="13"/>
  <c r="AR196" i="13"/>
  <c r="AQ196" i="13"/>
  <c r="AQ192" i="13"/>
  <c r="AN194" i="13"/>
  <c r="AJ193" i="13"/>
  <c r="AY193" i="13"/>
  <c r="BK186" i="13"/>
  <c r="BI188" i="13"/>
  <c r="BG186" i="13"/>
  <c r="BE189" i="13"/>
  <c r="BG189" i="13"/>
  <c r="BI189" i="13"/>
  <c r="BK189" i="13"/>
  <c r="BM189" i="13"/>
  <c r="BO189" i="13"/>
  <c r="BQ189" i="13"/>
  <c r="BS189" i="13"/>
  <c r="BU189" i="13"/>
  <c r="BW189" i="13"/>
  <c r="BE185" i="13"/>
  <c r="BG185" i="13"/>
  <c r="BI185" i="13"/>
  <c r="BK185" i="13"/>
  <c r="BM185" i="13"/>
  <c r="BO185" i="13"/>
  <c r="BQ185" i="13"/>
  <c r="BS185" i="13"/>
  <c r="BU185" i="13"/>
  <c r="BW185" i="13"/>
  <c r="AQ157" i="13"/>
  <c r="BB197" i="13"/>
  <c r="AZ197" i="13"/>
  <c r="AU197" i="13"/>
  <c r="AT197" i="13"/>
  <c r="AS197" i="13"/>
  <c r="AR197" i="13"/>
  <c r="AP197" i="13"/>
  <c r="AL197" i="13"/>
  <c r="BN195" i="13"/>
  <c r="BL195" i="13"/>
  <c r="BJ195" i="13"/>
  <c r="BA194" i="13"/>
  <c r="AZ194" i="13"/>
  <c r="AY194" i="13"/>
  <c r="AO194" i="13"/>
  <c r="AJ196" i="13"/>
  <c r="AM196" i="13"/>
  <c r="AN196" i="13"/>
  <c r="AO196" i="13"/>
  <c r="AP196" i="13"/>
  <c r="AZ196" i="13"/>
  <c r="AL192" i="13"/>
  <c r="AM192" i="13"/>
  <c r="AZ192" i="13"/>
  <c r="BG190" i="13"/>
  <c r="BF182" i="13"/>
  <c r="AT189" i="13"/>
  <c r="AT185" i="13"/>
  <c r="AR189" i="13"/>
  <c r="AR185" i="13"/>
  <c r="AP189" i="13"/>
  <c r="AP185" i="13"/>
  <c r="AN189" i="13"/>
  <c r="AN185" i="13"/>
  <c r="AL189" i="13"/>
  <c r="AL185" i="13"/>
  <c r="AN188" i="13"/>
  <c r="AN184" i="13"/>
  <c r="AL188" i="13"/>
  <c r="AL184" i="13"/>
  <c r="BJ197" i="13"/>
  <c r="BH197" i="13"/>
  <c r="AJ164" i="13"/>
  <c r="BB156" i="13"/>
  <c r="AZ156" i="13"/>
  <c r="AX156" i="13"/>
  <c r="AV156" i="13"/>
  <c r="AT156" i="13"/>
  <c r="AR156" i="13"/>
  <c r="AP156" i="13"/>
  <c r="AN156" i="13"/>
  <c r="AZ166" i="13"/>
  <c r="AR162" i="13"/>
  <c r="AM162" i="13"/>
  <c r="AJ162" i="13"/>
  <c r="BF159" i="13"/>
  <c r="BL157" i="13"/>
  <c r="AY157" i="13"/>
  <c r="AN157" i="13"/>
  <c r="BU197" i="13"/>
  <c r="BS197" i="13"/>
  <c r="BM197" i="13"/>
  <c r="BK197" i="13"/>
  <c r="BE197" i="13"/>
  <c r="AY197" i="13"/>
  <c r="AX197" i="13"/>
  <c r="AW197" i="13"/>
  <c r="AU198" i="13"/>
  <c r="BW193" i="13"/>
  <c r="BV194" i="13"/>
  <c r="BU195" i="13"/>
  <c r="BS193" i="13"/>
  <c r="BR194" i="13"/>
  <c r="BQ195" i="13"/>
  <c r="BO193" i="13"/>
  <c r="BN194" i="13"/>
  <c r="BM195" i="13"/>
  <c r="BK193" i="13"/>
  <c r="BJ194" i="13"/>
  <c r="BI195" i="13"/>
  <c r="BG193" i="13"/>
  <c r="BF194" i="13"/>
  <c r="AX193" i="13"/>
  <c r="AT193" i="13"/>
  <c r="AP193" i="13"/>
  <c r="AL193" i="13"/>
  <c r="AY158" i="13"/>
  <c r="BV193" i="13"/>
  <c r="BU194" i="13"/>
  <c r="BR193" i="13"/>
  <c r="BQ194" i="13"/>
  <c r="BN193" i="13"/>
  <c r="BM194" i="13"/>
  <c r="BJ193" i="13"/>
  <c r="BI194" i="13"/>
  <c r="BF193" i="13"/>
  <c r="AW193" i="13"/>
  <c r="AS193" i="13"/>
  <c r="AO193" i="13"/>
  <c r="AK193" i="13"/>
  <c r="BA156" i="13"/>
  <c r="AY156" i="13"/>
  <c r="AW156" i="13"/>
  <c r="AU156" i="13"/>
  <c r="AS156" i="13"/>
  <c r="AQ156" i="13"/>
  <c r="AO156" i="13"/>
  <c r="AM156" i="13"/>
  <c r="BT161" i="13"/>
  <c r="AR161" i="13"/>
  <c r="AV166" i="13"/>
  <c r="AN166" i="13"/>
  <c r="BQ159" i="13"/>
  <c r="AQ158" i="13"/>
  <c r="BW197" i="13"/>
  <c r="BQ197" i="13"/>
  <c r="BO197" i="13"/>
  <c r="BI197" i="13"/>
  <c r="AZ198" i="13"/>
  <c r="AM198" i="13"/>
  <c r="BU193" i="13"/>
  <c r="BQ193" i="13"/>
  <c r="BM193" i="13"/>
  <c r="BI193" i="13"/>
  <c r="AV193" i="13"/>
  <c r="AR193" i="13"/>
  <c r="AN193" i="13"/>
  <c r="AV169" i="13"/>
  <c r="BB153" i="13"/>
  <c r="BA153" i="13"/>
  <c r="AZ153" i="13"/>
  <c r="AY153" i="13"/>
  <c r="AX153" i="13"/>
  <c r="AW153" i="13"/>
  <c r="AV153" i="13"/>
  <c r="AU153" i="13"/>
  <c r="AT153" i="13"/>
  <c r="AS153" i="13"/>
  <c r="AR153" i="13"/>
  <c r="AQ153" i="13"/>
  <c r="AP153" i="13"/>
  <c r="AO153" i="13"/>
  <c r="AN153" i="13"/>
  <c r="AJ156" i="13"/>
  <c r="BQ164" i="13"/>
  <c r="BN159" i="13"/>
  <c r="BE159" i="13"/>
  <c r="AV159" i="13"/>
  <c r="AK159" i="13"/>
  <c r="AU157" i="13"/>
  <c r="AM157" i="13"/>
  <c r="AV158" i="13"/>
  <c r="AN158" i="13"/>
  <c r="BW198" i="13"/>
  <c r="BS198" i="13"/>
  <c r="BO198" i="13"/>
  <c r="BK198" i="13"/>
  <c r="BG198" i="13"/>
  <c r="BB198" i="13"/>
  <c r="AX198" i="13"/>
  <c r="AT198" i="13"/>
  <c r="AP198" i="13"/>
  <c r="AL198" i="13"/>
  <c r="BB158" i="13"/>
  <c r="AU158" i="13"/>
  <c r="AM158" i="13"/>
  <c r="BV198" i="13"/>
  <c r="BR198" i="13"/>
  <c r="BN198" i="13"/>
  <c r="BJ198" i="13"/>
  <c r="BF198" i="13"/>
  <c r="AW198" i="13"/>
  <c r="AS198" i="13"/>
  <c r="AO198" i="13"/>
  <c r="AK198" i="13"/>
  <c r="BB155" i="13"/>
  <c r="BA155" i="13"/>
  <c r="AZ155" i="13"/>
  <c r="AY155" i="13"/>
  <c r="AX155" i="13"/>
  <c r="AW155" i="13"/>
  <c r="AV155" i="13"/>
  <c r="AU155" i="13"/>
  <c r="AT155" i="13"/>
  <c r="AS155" i="13"/>
  <c r="AR155" i="13"/>
  <c r="AQ155" i="13"/>
  <c r="AP155" i="13"/>
  <c r="AO155" i="13"/>
  <c r="AN155" i="13"/>
  <c r="AM155" i="13"/>
  <c r="AT165" i="13"/>
  <c r="BN170" i="13"/>
  <c r="BT159" i="13"/>
  <c r="BJ159" i="13"/>
  <c r="AZ158" i="13"/>
  <c r="AR158" i="13"/>
  <c r="AJ158" i="13"/>
  <c r="BU198" i="13"/>
  <c r="BQ198" i="13"/>
  <c r="BM198" i="13"/>
  <c r="BI198" i="13"/>
  <c r="AV198" i="13"/>
  <c r="AR198" i="13"/>
  <c r="AN198" i="13"/>
  <c r="AL153" i="13"/>
  <c r="BO161" i="13"/>
  <c r="AX165" i="13"/>
  <c r="AS165" i="13"/>
  <c r="BU170" i="13"/>
  <c r="BJ170" i="13"/>
  <c r="AM167" i="13"/>
  <c r="BT170" i="13"/>
  <c r="BI170" i="13"/>
  <c r="BQ157" i="13"/>
  <c r="BI157" i="13"/>
  <c r="BW158" i="13"/>
  <c r="BS158" i="13"/>
  <c r="BO158" i="13"/>
  <c r="BK158" i="13"/>
  <c r="BG158" i="13"/>
  <c r="AX158" i="13"/>
  <c r="AT158" i="13"/>
  <c r="AP158" i="13"/>
  <c r="AL158" i="13"/>
  <c r="AM153" i="13"/>
  <c r="AM161" i="13"/>
  <c r="BI165" i="13"/>
  <c r="BP170" i="13"/>
  <c r="BE170" i="13"/>
  <c r="AQ170" i="13"/>
  <c r="BV159" i="13"/>
  <c r="BP159" i="13"/>
  <c r="BI159" i="13"/>
  <c r="BA159" i="13"/>
  <c r="AU159" i="13"/>
  <c r="AN159" i="13"/>
  <c r="BP157" i="13"/>
  <c r="BH157" i="13"/>
  <c r="BV158" i="13"/>
  <c r="BR158" i="13"/>
  <c r="BN158" i="13"/>
  <c r="BJ158" i="13"/>
  <c r="BA158" i="13"/>
  <c r="AW158" i="13"/>
  <c r="AS158" i="13"/>
  <c r="AO158" i="13"/>
  <c r="AJ155" i="13"/>
  <c r="BU162" i="13"/>
  <c r="BQ162" i="13"/>
  <c r="BL166" i="13"/>
  <c r="AK155" i="13"/>
  <c r="BM168" i="13"/>
  <c r="BT162" i="13"/>
  <c r="BL165" i="13"/>
  <c r="BH162" i="13"/>
  <c r="BB162" i="13"/>
  <c r="AY166" i="13"/>
  <c r="AV162" i="13"/>
  <c r="AQ162" i="13"/>
  <c r="AM166" i="13"/>
  <c r="BR170" i="13"/>
  <c r="BM170" i="13"/>
  <c r="BH170" i="13"/>
  <c r="BA170" i="13"/>
  <c r="AU170" i="13"/>
  <c r="AN170" i="13"/>
  <c r="BW157" i="13"/>
  <c r="BS157" i="13"/>
  <c r="BO157" i="13"/>
  <c r="BK157" i="13"/>
  <c r="BG157" i="13"/>
  <c r="BB157" i="13"/>
  <c r="AX157" i="13"/>
  <c r="AT157" i="13"/>
  <c r="AP157" i="13"/>
  <c r="AL157" i="13"/>
  <c r="BW169" i="13"/>
  <c r="BT167" i="13"/>
  <c r="BG161" i="13"/>
  <c r="AV161" i="13"/>
  <c r="AL161" i="13"/>
  <c r="BS164" i="13"/>
  <c r="BP162" i="13"/>
  <c r="BI166" i="13"/>
  <c r="BE166" i="13"/>
  <c r="BA165" i="13"/>
  <c r="AY162" i="13"/>
  <c r="AU166" i="13"/>
  <c r="AR166" i="13"/>
  <c r="AO165" i="13"/>
  <c r="AM163" i="13"/>
  <c r="BV170" i="13"/>
  <c r="BQ170" i="13"/>
  <c r="BL170" i="13"/>
  <c r="BF170" i="13"/>
  <c r="AZ170" i="13"/>
  <c r="AS170" i="13"/>
  <c r="AK170" i="13"/>
  <c r="BR159" i="13"/>
  <c r="BM159" i="13"/>
  <c r="BH159" i="13"/>
  <c r="BB159" i="13"/>
  <c r="AW159" i="13"/>
  <c r="AR159" i="13"/>
  <c r="AM159" i="13"/>
  <c r="BV157" i="13"/>
  <c r="BR157" i="13"/>
  <c r="BN157" i="13"/>
  <c r="BJ157" i="13"/>
  <c r="BA157" i="13"/>
  <c r="AW157" i="13"/>
  <c r="AS157" i="13"/>
  <c r="AO157" i="13"/>
  <c r="BM169" i="13"/>
  <c r="AT169" i="13"/>
  <c r="BR161" i="13"/>
  <c r="BF161" i="13"/>
  <c r="BB161" i="13"/>
  <c r="AQ161" i="13"/>
  <c r="BT166" i="13"/>
  <c r="BQ166" i="13"/>
  <c r="BP166" i="13"/>
  <c r="BL162" i="13"/>
  <c r="BE165" i="13"/>
  <c r="BB165" i="13"/>
  <c r="AY165" i="13"/>
  <c r="AW165" i="13"/>
  <c r="AU165" i="13"/>
  <c r="AQ165" i="13"/>
  <c r="AM154" i="13"/>
  <c r="AL154" i="13"/>
  <c r="AK154" i="13"/>
  <c r="BV161" i="13"/>
  <c r="BP167" i="13"/>
  <c r="BL161" i="13"/>
  <c r="AX161" i="13"/>
  <c r="BU166" i="13"/>
  <c r="BT165" i="13"/>
  <c r="BQ165" i="13"/>
  <c r="BP165" i="13"/>
  <c r="BM166" i="13"/>
  <c r="BK164" i="13"/>
  <c r="BH166" i="13"/>
  <c r="BE164" i="13"/>
  <c r="BB163" i="13"/>
  <c r="AZ165" i="13"/>
  <c r="AY163" i="13"/>
  <c r="AR165" i="13"/>
  <c r="AQ163" i="13"/>
  <c r="AW170" i="13"/>
  <c r="AR170" i="13"/>
  <c r="AM170" i="13"/>
  <c r="BW159" i="13"/>
  <c r="BS159" i="13"/>
  <c r="BO159" i="13"/>
  <c r="BK159" i="13"/>
  <c r="AX159" i="13"/>
  <c r="AT159" i="13"/>
  <c r="AP159" i="13"/>
  <c r="BP161" i="13"/>
  <c r="BK161" i="13"/>
  <c r="BU165" i="13"/>
  <c r="BH163" i="13"/>
  <c r="AN165" i="13"/>
  <c r="AM165" i="13"/>
  <c r="AK165" i="13"/>
  <c r="AL169" i="13"/>
  <c r="BU161" i="13"/>
  <c r="BQ161" i="13"/>
  <c r="BJ161" i="13"/>
  <c r="BA161" i="13"/>
  <c r="AT161" i="13"/>
  <c r="AO161" i="13"/>
  <c r="BW164" i="13"/>
  <c r="BU164" i="13"/>
  <c r="BT164" i="13"/>
  <c r="BR164" i="13"/>
  <c r="BP163" i="13"/>
  <c r="BM165" i="13"/>
  <c r="BL164" i="13"/>
  <c r="BH165" i="13"/>
  <c r="BG164" i="13"/>
  <c r="AV165" i="13"/>
  <c r="AU163" i="13"/>
  <c r="AS164" i="13"/>
  <c r="AP165" i="13"/>
  <c r="AN164" i="13"/>
  <c r="AM164" i="13"/>
  <c r="BW170" i="13"/>
  <c r="BS170" i="13"/>
  <c r="BO170" i="13"/>
  <c r="BK170" i="13"/>
  <c r="BB170" i="13"/>
  <c r="AX170" i="13"/>
  <c r="AT170" i="13"/>
  <c r="AP170" i="13"/>
  <c r="BM161" i="13"/>
  <c r="BI161" i="13"/>
  <c r="AZ161" i="13"/>
  <c r="AS161" i="13"/>
  <c r="BV164" i="13"/>
  <c r="BT163" i="13"/>
  <c r="BM164" i="13"/>
  <c r="BL163" i="13"/>
  <c r="BH164" i="13"/>
  <c r="BT169" i="13"/>
  <c r="BK169" i="13"/>
  <c r="AV168" i="13"/>
  <c r="AO168" i="13"/>
  <c r="BV165" i="13"/>
  <c r="BR165" i="13"/>
  <c r="BN165" i="13"/>
  <c r="BJ165" i="13"/>
  <c r="BF165" i="13"/>
  <c r="AZ164" i="13"/>
  <c r="AY164" i="13"/>
  <c r="AX164" i="13"/>
  <c r="AO164" i="13"/>
  <c r="AK164" i="13"/>
  <c r="AY131" i="13"/>
  <c r="BT160" i="13"/>
  <c r="BJ169" i="13"/>
  <c r="BB169" i="13"/>
  <c r="AQ169" i="13"/>
  <c r="BN164" i="13"/>
  <c r="BM162" i="13"/>
  <c r="BJ164" i="13"/>
  <c r="BI162" i="13"/>
  <c r="BE162" i="13"/>
  <c r="BB164" i="13"/>
  <c r="BA164" i="13"/>
  <c r="AV164" i="13"/>
  <c r="AU164" i="13"/>
  <c r="AT164" i="13"/>
  <c r="AT133" i="13"/>
  <c r="AX131" i="13"/>
  <c r="BP169" i="13"/>
  <c r="BG169" i="13"/>
  <c r="BA169" i="13"/>
  <c r="AN169" i="13"/>
  <c r="AX168" i="13"/>
  <c r="AU161" i="13"/>
  <c r="AQ167" i="13"/>
  <c r="AM168" i="13"/>
  <c r="AK161" i="13"/>
  <c r="AW164" i="13"/>
  <c r="AR164" i="13"/>
  <c r="AQ164" i="13"/>
  <c r="AP164" i="13"/>
  <c r="BU168" i="13"/>
  <c r="BQ168" i="13"/>
  <c r="BH168" i="13"/>
  <c r="BA168" i="13"/>
  <c r="AY168" i="13"/>
  <c r="AT168" i="13"/>
  <c r="AR168" i="13"/>
  <c r="BW163" i="13"/>
  <c r="BS163" i="13"/>
  <c r="BO163" i="13"/>
  <c r="BK163" i="13"/>
  <c r="BG163" i="13"/>
  <c r="AX163" i="13"/>
  <c r="AT163" i="13"/>
  <c r="AP163" i="13"/>
  <c r="AL163" i="13"/>
  <c r="AY169" i="13"/>
  <c r="AS169" i="13"/>
  <c r="AK169" i="13"/>
  <c r="BW167" i="13"/>
  <c r="BS167" i="13"/>
  <c r="BL168" i="13"/>
  <c r="BH167" i="13"/>
  <c r="BE168" i="13"/>
  <c r="AY167" i="13"/>
  <c r="AW168" i="13"/>
  <c r="AU168" i="13"/>
  <c r="AP168" i="13"/>
  <c r="AN168" i="13"/>
  <c r="AJ168" i="13"/>
  <c r="BW166" i="13"/>
  <c r="BW162" i="13"/>
  <c r="BV163" i="13"/>
  <c r="BS166" i="13"/>
  <c r="BS162" i="13"/>
  <c r="BR163" i="13"/>
  <c r="BO166" i="13"/>
  <c r="BO162" i="13"/>
  <c r="BN163" i="13"/>
  <c r="BK166" i="13"/>
  <c r="BK162" i="13"/>
  <c r="BJ163" i="13"/>
  <c r="BG166" i="13"/>
  <c r="BG162" i="13"/>
  <c r="BF163" i="13"/>
  <c r="BA163" i="13"/>
  <c r="AX166" i="13"/>
  <c r="AX162" i="13"/>
  <c r="AW163" i="13"/>
  <c r="AT166" i="13"/>
  <c r="AT162" i="13"/>
  <c r="AS163" i="13"/>
  <c r="AP166" i="13"/>
  <c r="AP162" i="13"/>
  <c r="AO163" i="13"/>
  <c r="AL166" i="13"/>
  <c r="AL162" i="13"/>
  <c r="AK163" i="13"/>
  <c r="AY160" i="13"/>
  <c r="BW161" i="13"/>
  <c r="BT168" i="13"/>
  <c r="BS161" i="13"/>
  <c r="BP168" i="13"/>
  <c r="BN161" i="13"/>
  <c r="BL167" i="13"/>
  <c r="BI168" i="13"/>
  <c r="BH161" i="13"/>
  <c r="BB168" i="13"/>
  <c r="AZ168" i="13"/>
  <c r="AY161" i="13"/>
  <c r="AW161" i="13"/>
  <c r="AU167" i="13"/>
  <c r="AS168" i="13"/>
  <c r="AQ168" i="13"/>
  <c r="AP161" i="13"/>
  <c r="AN161" i="13"/>
  <c r="AL168" i="13"/>
  <c r="BW165" i="13"/>
  <c r="BV166" i="13"/>
  <c r="BV162" i="13"/>
  <c r="BU163" i="13"/>
  <c r="BS165" i="13"/>
  <c r="BR166" i="13"/>
  <c r="BR162" i="13"/>
  <c r="BQ163" i="13"/>
  <c r="BO165" i="13"/>
  <c r="BN166" i="13"/>
  <c r="BN162" i="13"/>
  <c r="BM163" i="13"/>
  <c r="BK165" i="13"/>
  <c r="BJ166" i="13"/>
  <c r="BJ162" i="13"/>
  <c r="BI163" i="13"/>
  <c r="BA166" i="13"/>
  <c r="BA162" i="13"/>
  <c r="AZ163" i="13"/>
  <c r="AW166" i="13"/>
  <c r="AW162" i="13"/>
  <c r="AV163" i="13"/>
  <c r="AS166" i="13"/>
  <c r="AS162" i="13"/>
  <c r="AR163" i="13"/>
  <c r="AO166" i="13"/>
  <c r="AO162" i="13"/>
  <c r="AN163" i="13"/>
  <c r="AJ131" i="13"/>
  <c r="BV160" i="13"/>
  <c r="BS169" i="13"/>
  <c r="BP160" i="13"/>
  <c r="BL169" i="13"/>
  <c r="BJ160" i="13"/>
  <c r="BF160" i="13"/>
  <c r="AQ160" i="13"/>
  <c r="BV168" i="13"/>
  <c r="BU167" i="13"/>
  <c r="BR168" i="13"/>
  <c r="BQ167" i="13"/>
  <c r="BN168" i="13"/>
  <c r="BM167" i="13"/>
  <c r="BJ168" i="13"/>
  <c r="BI167" i="13"/>
  <c r="BF168" i="13"/>
  <c r="BE167" i="13"/>
  <c r="AZ167" i="13"/>
  <c r="AV167" i="13"/>
  <c r="AR167" i="13"/>
  <c r="AN167" i="13"/>
  <c r="AJ167" i="13"/>
  <c r="BU169" i="13"/>
  <c r="BR169" i="13"/>
  <c r="BO169" i="13"/>
  <c r="BL160" i="13"/>
  <c r="BH169" i="13"/>
  <c r="BE169" i="13"/>
  <c r="BW168" i="13"/>
  <c r="BV167" i="13"/>
  <c r="BS168" i="13"/>
  <c r="BR167" i="13"/>
  <c r="BO168" i="13"/>
  <c r="BN167" i="13"/>
  <c r="BK168" i="13"/>
  <c r="BJ167" i="13"/>
  <c r="BF167" i="13"/>
  <c r="BA167" i="13"/>
  <c r="AW167" i="13"/>
  <c r="AS167" i="13"/>
  <c r="AO167" i="13"/>
  <c r="AK167" i="13"/>
  <c r="BR160" i="13"/>
  <c r="BN160" i="13"/>
  <c r="BH160" i="13"/>
  <c r="BO167" i="13"/>
  <c r="BK167" i="13"/>
  <c r="BB167" i="13"/>
  <c r="AX167" i="13"/>
  <c r="AT167" i="13"/>
  <c r="AP167" i="13"/>
  <c r="BA160" i="13"/>
  <c r="AX169" i="13"/>
  <c r="AU169" i="13"/>
  <c r="AS160" i="13"/>
  <c r="AP169" i="13"/>
  <c r="AM169" i="13"/>
  <c r="AK160" i="13"/>
  <c r="BV169" i="13"/>
  <c r="BQ169" i="13"/>
  <c r="BN169" i="13"/>
  <c r="BI169" i="13"/>
  <c r="AZ169" i="13"/>
  <c r="AW169" i="13"/>
  <c r="AU160" i="13"/>
  <c r="AR169" i="13"/>
  <c r="AO169" i="13"/>
  <c r="AM160" i="13"/>
  <c r="AW160" i="13"/>
  <c r="AO160" i="13"/>
  <c r="BP126" i="13"/>
  <c r="BE126" i="13"/>
  <c r="AM132" i="13"/>
  <c r="AR131" i="13"/>
  <c r="BW160" i="13"/>
  <c r="BU160" i="13"/>
  <c r="BS160" i="13"/>
  <c r="BQ160" i="13"/>
  <c r="BO160" i="13"/>
  <c r="BM160" i="13"/>
  <c r="BK160" i="13"/>
  <c r="BI160" i="13"/>
  <c r="BG160" i="13"/>
  <c r="BB160" i="13"/>
  <c r="AZ160" i="13"/>
  <c r="AX160" i="13"/>
  <c r="AV160" i="13"/>
  <c r="AT160" i="13"/>
  <c r="AR160" i="13"/>
  <c r="AP160" i="13"/>
  <c r="AN160" i="13"/>
  <c r="AL160" i="13"/>
  <c r="AP131" i="13"/>
  <c r="BR126" i="13"/>
  <c r="AJ133" i="13"/>
  <c r="AT275" i="13"/>
  <c r="BJ126" i="13"/>
  <c r="BL130" i="13"/>
  <c r="AV133" i="13"/>
  <c r="AU132" i="13"/>
  <c r="AU131" i="13"/>
  <c r="AN131" i="13"/>
  <c r="AZ131" i="13"/>
  <c r="AT131" i="13"/>
  <c r="AM131" i="13"/>
  <c r="AS272" i="13"/>
  <c r="AQ275" i="13"/>
  <c r="BU126" i="13"/>
  <c r="BL126" i="13"/>
  <c r="AY132" i="13"/>
  <c r="AJ132" i="13"/>
  <c r="BQ126" i="13"/>
  <c r="BI126" i="13"/>
  <c r="BU130" i="13"/>
  <c r="BT132" i="13"/>
  <c r="AR132" i="13"/>
  <c r="BB131" i="13"/>
  <c r="AV131" i="13"/>
  <c r="AQ131" i="13"/>
  <c r="AL131" i="13"/>
  <c r="BT130" i="13"/>
  <c r="BK130" i="13"/>
  <c r="AY130" i="13"/>
  <c r="AW276" i="13"/>
  <c r="AM276" i="13"/>
  <c r="BT127" i="13"/>
  <c r="BQ130" i="13"/>
  <c r="BG130" i="13"/>
  <c r="AU130" i="13"/>
  <c r="BB133" i="13"/>
  <c r="AR133" i="13"/>
  <c r="BT131" i="13"/>
  <c r="BA129" i="13"/>
  <c r="BT126" i="13"/>
  <c r="BM126" i="13"/>
  <c r="BH126" i="13"/>
  <c r="AU126" i="13"/>
  <c r="BO130" i="13"/>
  <c r="BE130" i="13"/>
  <c r="AJ130" i="13"/>
  <c r="AY133" i="13"/>
  <c r="AM133" i="13"/>
  <c r="AZ132" i="13"/>
  <c r="AQ132" i="13"/>
  <c r="BL131" i="13"/>
  <c r="BA280" i="13"/>
  <c r="AU284" i="13"/>
  <c r="AP276" i="13"/>
  <c r="AL280" i="13"/>
  <c r="AS126" i="13"/>
  <c r="BM132" i="13"/>
  <c r="BQ131" i="13"/>
  <c r="BI131" i="13"/>
  <c r="BK280" i="13"/>
  <c r="BR279" i="13"/>
  <c r="BA276" i="13"/>
  <c r="AU280" i="13"/>
  <c r="AQ283" i="13"/>
  <c r="AO280" i="13"/>
  <c r="AL276" i="13"/>
  <c r="AN126" i="13"/>
  <c r="AT130" i="13"/>
  <c r="BL132" i="13"/>
  <c r="BP131" i="13"/>
  <c r="BH131" i="13"/>
  <c r="AW284" i="13"/>
  <c r="AQ280" i="13"/>
  <c r="AM284" i="13"/>
  <c r="BL127" i="13"/>
  <c r="AY126" i="13"/>
  <c r="AN130" i="13"/>
  <c r="BN133" i="13"/>
  <c r="AX133" i="13"/>
  <c r="AQ133" i="13"/>
  <c r="BU132" i="13"/>
  <c r="BE132" i="13"/>
  <c r="AV132" i="13"/>
  <c r="AN132" i="13"/>
  <c r="BU131" i="13"/>
  <c r="BM131" i="13"/>
  <c r="BE131" i="13"/>
  <c r="BV129" i="13"/>
  <c r="BP133" i="13"/>
  <c r="BE133" i="13"/>
  <c r="BF278" i="13"/>
  <c r="AQ273" i="13"/>
  <c r="AQ272" i="13"/>
  <c r="AK280" i="13"/>
  <c r="BU133" i="13"/>
  <c r="BJ133" i="13"/>
  <c r="BQ132" i="13"/>
  <c r="BI132" i="13"/>
  <c r="BW131" i="13"/>
  <c r="BS131" i="13"/>
  <c r="BO131" i="13"/>
  <c r="BK131" i="13"/>
  <c r="BG131" i="13"/>
  <c r="AY276" i="13"/>
  <c r="AW272" i="13"/>
  <c r="AQ285" i="13"/>
  <c r="AQ277" i="13"/>
  <c r="AO276" i="13"/>
  <c r="AM273" i="13"/>
  <c r="AY272" i="13"/>
  <c r="AS276" i="13"/>
  <c r="AQ284" i="13"/>
  <c r="AQ276" i="13"/>
  <c r="AP284" i="13"/>
  <c r="AM272" i="13"/>
  <c r="AJ280" i="13"/>
  <c r="BW126" i="13"/>
  <c r="BR127" i="13"/>
  <c r="BO126" i="13"/>
  <c r="BG126" i="13"/>
  <c r="AZ126" i="13"/>
  <c r="BW130" i="13"/>
  <c r="BP130" i="13"/>
  <c r="AZ130" i="13"/>
  <c r="BT133" i="13"/>
  <c r="BI133" i="13"/>
  <c r="AZ133" i="13"/>
  <c r="AU133" i="13"/>
  <c r="AO133" i="13"/>
  <c r="BP132" i="13"/>
  <c r="BH132" i="13"/>
  <c r="BV131" i="13"/>
  <c r="BR131" i="13"/>
  <c r="BN131" i="13"/>
  <c r="BJ131" i="13"/>
  <c r="BA131" i="13"/>
  <c r="AW131" i="13"/>
  <c r="AS131" i="13"/>
  <c r="AO131" i="13"/>
  <c r="AZ277" i="13"/>
  <c r="BN129" i="13"/>
  <c r="AW129" i="13"/>
  <c r="BR133" i="13"/>
  <c r="BM133" i="13"/>
  <c r="BH133" i="13"/>
  <c r="BW132" i="13"/>
  <c r="BS132" i="13"/>
  <c r="BO132" i="13"/>
  <c r="BK132" i="13"/>
  <c r="BG132" i="13"/>
  <c r="BB132" i="13"/>
  <c r="AX132" i="13"/>
  <c r="AT132" i="13"/>
  <c r="AP132" i="13"/>
  <c r="AL132" i="13"/>
  <c r="BQ277" i="13"/>
  <c r="AU277" i="13"/>
  <c r="BB285" i="13"/>
  <c r="AW277" i="13"/>
  <c r="AU285" i="13"/>
  <c r="AP280" i="13"/>
  <c r="AN280" i="13"/>
  <c r="AM280" i="13"/>
  <c r="AL284" i="13"/>
  <c r="AK276" i="13"/>
  <c r="BV133" i="13"/>
  <c r="BQ133" i="13"/>
  <c r="BL133" i="13"/>
  <c r="BF133" i="13"/>
  <c r="BA133" i="13"/>
  <c r="AW133" i="13"/>
  <c r="AS133" i="13"/>
  <c r="AN133" i="13"/>
  <c r="BV132" i="13"/>
  <c r="BR132" i="13"/>
  <c r="BN132" i="13"/>
  <c r="BJ132" i="13"/>
  <c r="BA132" i="13"/>
  <c r="AW132" i="13"/>
  <c r="AS132" i="13"/>
  <c r="AO132" i="13"/>
  <c r="BO285" i="13"/>
  <c r="BF285" i="13"/>
  <c r="BB279" i="13"/>
  <c r="AL128" i="13"/>
  <c r="AY128" i="13"/>
  <c r="AN128" i="13"/>
  <c r="AS128" i="13"/>
  <c r="BJ282" i="13"/>
  <c r="BU282" i="13"/>
  <c r="BP278" i="13"/>
  <c r="BN278" i="13"/>
  <c r="AT287" i="13"/>
  <c r="AQ287" i="13"/>
  <c r="AW279" i="13"/>
  <c r="AK279" i="13"/>
  <c r="AT271" i="13"/>
  <c r="AQ271" i="13"/>
  <c r="BW274" i="13"/>
  <c r="BA271" i="13"/>
  <c r="AY286" i="13"/>
  <c r="AO286" i="13"/>
  <c r="BA283" i="13"/>
  <c r="AL285" i="13"/>
  <c r="AV285" i="13"/>
  <c r="AJ281" i="13"/>
  <c r="AQ281" i="13"/>
  <c r="BB273" i="13"/>
  <c r="AN273" i="13"/>
  <c r="AZ273" i="13"/>
  <c r="AL129" i="13"/>
  <c r="AN129" i="13"/>
  <c r="AX129" i="13"/>
  <c r="BG128" i="13"/>
  <c r="BR128" i="13"/>
  <c r="BE127" i="13"/>
  <c r="BG127" i="13"/>
  <c r="BI127" i="13"/>
  <c r="BK127" i="13"/>
  <c r="BM127" i="13"/>
  <c r="BO127" i="13"/>
  <c r="BQ127" i="13"/>
  <c r="BS127" i="13"/>
  <c r="BU127" i="13"/>
  <c r="BW127" i="13"/>
  <c r="AJ126" i="13"/>
  <c r="AL126" i="13"/>
  <c r="AP126" i="13"/>
  <c r="AT126" i="13"/>
  <c r="AX126" i="13"/>
  <c r="BB126" i="13"/>
  <c r="AK130" i="13"/>
  <c r="AO130" i="13"/>
  <c r="AS130" i="13"/>
  <c r="AW130" i="13"/>
  <c r="BA130" i="13"/>
  <c r="BG129" i="13"/>
  <c r="BF129" i="13"/>
  <c r="BQ129" i="13"/>
  <c r="AS129" i="13"/>
  <c r="BT128" i="13"/>
  <c r="BV127" i="13"/>
  <c r="BN127" i="13"/>
  <c r="BF127" i="13"/>
  <c r="AW126" i="13"/>
  <c r="AR126" i="13"/>
  <c r="AM126" i="13"/>
  <c r="BF130" i="13"/>
  <c r="BJ130" i="13"/>
  <c r="BN130" i="13"/>
  <c r="BR130" i="13"/>
  <c r="BV130" i="13"/>
  <c r="AX130" i="13"/>
  <c r="AR130" i="13"/>
  <c r="AM130" i="13"/>
  <c r="BP129" i="13"/>
  <c r="BB129" i="13"/>
  <c r="AR129" i="13"/>
  <c r="BN128" i="13"/>
  <c r="BV126" i="13"/>
  <c r="BS126" i="13"/>
  <c r="BP127" i="13"/>
  <c r="BN126" i="13"/>
  <c r="BK126" i="13"/>
  <c r="BH127" i="13"/>
  <c r="BA126" i="13"/>
  <c r="AV126" i="13"/>
  <c r="AQ126" i="13"/>
  <c r="AK126" i="13"/>
  <c r="BS130" i="13"/>
  <c r="BM130" i="13"/>
  <c r="BH130" i="13"/>
  <c r="BB130" i="13"/>
  <c r="AV130" i="13"/>
  <c r="AQ130" i="13"/>
  <c r="AL130" i="13"/>
  <c r="BW133" i="13"/>
  <c r="BS133" i="13"/>
  <c r="BO133" i="13"/>
  <c r="BK133" i="13"/>
  <c r="AP133" i="13"/>
  <c r="AL133" i="13"/>
  <c r="BH128" i="13"/>
  <c r="AW128" i="13"/>
  <c r="AM128" i="13"/>
  <c r="BA127" i="13"/>
  <c r="AY127" i="13"/>
  <c r="AW127" i="13"/>
  <c r="AU127" i="13"/>
  <c r="AS127" i="13"/>
  <c r="AQ127" i="13"/>
  <c r="AO127" i="13"/>
  <c r="AM127" i="13"/>
  <c r="AK127" i="13"/>
  <c r="BU274" i="13"/>
  <c r="BP286" i="13"/>
  <c r="BB281" i="13"/>
  <c r="AX281" i="13"/>
  <c r="AV281" i="13"/>
  <c r="AU273" i="13"/>
  <c r="BH286" i="13"/>
  <c r="AT273" i="13"/>
  <c r="AR285" i="13"/>
  <c r="BW282" i="13"/>
  <c r="BS282" i="13"/>
  <c r="BP285" i="13"/>
  <c r="BL282" i="13"/>
  <c r="BH278" i="13"/>
  <c r="AY284" i="13"/>
  <c r="AX277" i="13"/>
  <c r="AW273" i="13"/>
  <c r="AV277" i="13"/>
  <c r="AU281" i="13"/>
  <c r="AU272" i="13"/>
  <c r="AS284" i="13"/>
  <c r="AR277" i="13"/>
  <c r="AQ286" i="13"/>
  <c r="AQ282" i="13"/>
  <c r="AQ278" i="13"/>
  <c r="AQ274" i="13"/>
  <c r="AP285" i="13"/>
  <c r="AO272" i="13"/>
  <c r="AM285" i="13"/>
  <c r="AK272" i="13"/>
  <c r="BU129" i="13"/>
  <c r="BJ129" i="13"/>
  <c r="BM128" i="13"/>
  <c r="BB128" i="13"/>
  <c r="AR128" i="13"/>
  <c r="BB127" i="13"/>
  <c r="AZ127" i="13"/>
  <c r="AX127" i="13"/>
  <c r="AV127" i="13"/>
  <c r="AT127" i="13"/>
  <c r="AR127" i="13"/>
  <c r="AP127" i="13"/>
  <c r="AN127" i="13"/>
  <c r="AL127" i="13"/>
  <c r="AV287" i="13"/>
  <c r="AV275" i="13"/>
  <c r="AS275" i="13"/>
  <c r="AK287" i="13"/>
  <c r="AJ275" i="13"/>
  <c r="AU271" i="13"/>
  <c r="AO271" i="13"/>
  <c r="BO280" i="13"/>
  <c r="BF275" i="13"/>
  <c r="BA287" i="13"/>
  <c r="BA279" i="13"/>
  <c r="AZ283" i="13"/>
  <c r="AZ271" i="13"/>
  <c r="AX287" i="13"/>
  <c r="AX275" i="13"/>
  <c r="AU283" i="13"/>
  <c r="AU275" i="13"/>
  <c r="AO279" i="13"/>
  <c r="AM287" i="13"/>
  <c r="AM283" i="13"/>
  <c r="AM279" i="13"/>
  <c r="AM275" i="13"/>
  <c r="AM271" i="13"/>
  <c r="AK286" i="13"/>
  <c r="BT129" i="13"/>
  <c r="BL129" i="13"/>
  <c r="BE129" i="13"/>
  <c r="AZ129" i="13"/>
  <c r="AV129" i="13"/>
  <c r="AQ129" i="13"/>
  <c r="AK129" i="13"/>
  <c r="BV128" i="13"/>
  <c r="BQ128" i="13"/>
  <c r="BL128" i="13"/>
  <c r="BF128" i="13"/>
  <c r="BA128" i="13"/>
  <c r="AV128" i="13"/>
  <c r="AQ128" i="13"/>
  <c r="AK128" i="13"/>
  <c r="BQ279" i="13"/>
  <c r="BM272" i="13"/>
  <c r="BK279" i="13"/>
  <c r="BH279" i="13"/>
  <c r="BB275" i="13"/>
  <c r="AZ287" i="13"/>
  <c r="AY283" i="13"/>
  <c r="AY271" i="13"/>
  <c r="AP287" i="13"/>
  <c r="BW271" i="13"/>
  <c r="BT279" i="13"/>
  <c r="BV275" i="13"/>
  <c r="BO275" i="13"/>
  <c r="BI276" i="13"/>
  <c r="BG283" i="13"/>
  <c r="BA286" i="13"/>
  <c r="AZ279" i="13"/>
  <c r="AY275" i="13"/>
  <c r="AX283" i="13"/>
  <c r="AX271" i="13"/>
  <c r="AU287" i="13"/>
  <c r="AT279" i="13"/>
  <c r="AS283" i="13"/>
  <c r="AR287" i="13"/>
  <c r="AO287" i="13"/>
  <c r="AN275" i="13"/>
  <c r="AM286" i="13"/>
  <c r="AM282" i="13"/>
  <c r="AM278" i="13"/>
  <c r="AM274" i="13"/>
  <c r="AL287" i="13"/>
  <c r="AK271" i="13"/>
  <c r="AY129" i="13"/>
  <c r="AU129" i="13"/>
  <c r="AO129" i="13"/>
  <c r="AJ129" i="13"/>
  <c r="BU128" i="13"/>
  <c r="BP128" i="13"/>
  <c r="BJ128" i="13"/>
  <c r="BE128" i="13"/>
  <c r="AZ128" i="13"/>
  <c r="AU128" i="13"/>
  <c r="AO128" i="13"/>
  <c r="AJ128" i="13"/>
  <c r="BV284" i="13"/>
  <c r="BU279" i="13"/>
  <c r="BT275" i="13"/>
  <c r="BJ287" i="13"/>
  <c r="BJ275" i="13"/>
  <c r="BI275" i="13"/>
  <c r="BG280" i="13"/>
  <c r="BE283" i="13"/>
  <c r="AY282" i="13"/>
  <c r="AW282" i="13"/>
  <c r="AT283" i="13"/>
  <c r="AP275" i="13"/>
  <c r="AO283" i="13"/>
  <c r="AN287" i="13"/>
  <c r="AL275" i="13"/>
  <c r="AK283" i="13"/>
  <c r="BW279" i="13"/>
  <c r="BU287" i="13"/>
  <c r="BU271" i="13"/>
  <c r="BS275" i="13"/>
  <c r="BR275" i="13"/>
  <c r="BN287" i="13"/>
  <c r="BN271" i="13"/>
  <c r="BF283" i="13"/>
  <c r="AS279" i="13"/>
  <c r="AR283" i="13"/>
  <c r="AR271" i="13"/>
  <c r="AJ287" i="13"/>
  <c r="BW287" i="13"/>
  <c r="BW275" i="13"/>
  <c r="BV283" i="13"/>
  <c r="BU286" i="13"/>
  <c r="BU278" i="13"/>
  <c r="BS286" i="13"/>
  <c r="BR287" i="13"/>
  <c r="BR274" i="13"/>
  <c r="BQ272" i="13"/>
  <c r="BP274" i="13"/>
  <c r="BN282" i="13"/>
  <c r="BM283" i="13"/>
  <c r="BL274" i="13"/>
  <c r="BJ283" i="13"/>
  <c r="BJ271" i="13"/>
  <c r="BH274" i="13"/>
  <c r="BG279" i="13"/>
  <c r="BF279" i="13"/>
  <c r="BB283" i="13"/>
  <c r="BA282" i="13"/>
  <c r="BA275" i="13"/>
  <c r="AZ286" i="13"/>
  <c r="AZ274" i="13"/>
  <c r="AY287" i="13"/>
  <c r="AY279" i="13"/>
  <c r="AX282" i="13"/>
  <c r="AX274" i="13"/>
  <c r="AW281" i="13"/>
  <c r="AV279" i="13"/>
  <c r="AV271" i="13"/>
  <c r="AU279" i="13"/>
  <c r="AT282" i="13"/>
  <c r="AS287" i="13"/>
  <c r="AS278" i="13"/>
  <c r="AS271" i="13"/>
  <c r="AR279" i="13"/>
  <c r="AO282" i="13"/>
  <c r="AO275" i="13"/>
  <c r="AN281" i="13"/>
  <c r="AK275" i="13"/>
  <c r="BR129" i="13"/>
  <c r="BM129" i="13"/>
  <c r="BH129" i="13"/>
  <c r="BW128" i="13"/>
  <c r="BS128" i="13"/>
  <c r="BO128" i="13"/>
  <c r="BK128" i="13"/>
  <c r="AX128" i="13"/>
  <c r="AT128" i="13"/>
  <c r="AP128" i="13"/>
  <c r="BW283" i="13"/>
  <c r="BV279" i="13"/>
  <c r="BU283" i="13"/>
  <c r="BU275" i="13"/>
  <c r="BT283" i="13"/>
  <c r="BS283" i="13"/>
  <c r="BR283" i="13"/>
  <c r="BR271" i="13"/>
  <c r="BN279" i="13"/>
  <c r="BH271" i="13"/>
  <c r="BA274" i="13"/>
  <c r="AY278" i="13"/>
  <c r="BM277" i="13"/>
  <c r="BL273" i="13"/>
  <c r="AJ278" i="13"/>
  <c r="AU278" i="13"/>
  <c r="AX278" i="13"/>
  <c r="AZ278" i="13"/>
  <c r="BA278" i="13"/>
  <c r="BB278" i="13"/>
  <c r="BG281" i="13"/>
  <c r="BF281" i="13"/>
  <c r="BP281" i="13"/>
  <c r="BQ273" i="13"/>
  <c r="AJ282" i="13"/>
  <c r="AR282" i="13"/>
  <c r="AU282" i="13"/>
  <c r="BW286" i="13"/>
  <c r="BW278" i="13"/>
  <c r="BV285" i="13"/>
  <c r="BT273" i="13"/>
  <c r="BS278" i="13"/>
  <c r="BR282" i="13"/>
  <c r="BO281" i="13"/>
  <c r="BN286" i="13"/>
  <c r="BM273" i="13"/>
  <c r="BL281" i="13"/>
  <c r="BK281" i="13"/>
  <c r="BH282" i="13"/>
  <c r="BF282" i="13"/>
  <c r="BE285" i="13"/>
  <c r="BE287" i="13"/>
  <c r="BS287" i="13"/>
  <c r="BK283" i="13"/>
  <c r="BH283" i="13"/>
  <c r="BN283" i="13"/>
  <c r="BQ283" i="13"/>
  <c r="BM279" i="13"/>
  <c r="BO279" i="13"/>
  <c r="BS279" i="13"/>
  <c r="BE275" i="13"/>
  <c r="BH275" i="13"/>
  <c r="BK275" i="13"/>
  <c r="BN275" i="13"/>
  <c r="BB282" i="13"/>
  <c r="BB274" i="13"/>
  <c r="BA284" i="13"/>
  <c r="AZ282" i="13"/>
  <c r="AV282" i="13"/>
  <c r="AS282" i="13"/>
  <c r="AO284" i="13"/>
  <c r="AO274" i="13"/>
  <c r="AN284" i="13"/>
  <c r="AK284" i="13"/>
  <c r="AS285" i="13"/>
  <c r="AJ285" i="13"/>
  <c r="AK285" i="13"/>
  <c r="AN285" i="13"/>
  <c r="AO285" i="13"/>
  <c r="AW285" i="13"/>
  <c r="AY285" i="13"/>
  <c r="AZ285" i="13"/>
  <c r="AR281" i="13"/>
  <c r="AK281" i="13"/>
  <c r="AL281" i="13"/>
  <c r="AO281" i="13"/>
  <c r="AP281" i="13"/>
  <c r="AT281" i="13"/>
  <c r="AY281" i="13"/>
  <c r="AK277" i="13"/>
  <c r="AO277" i="13"/>
  <c r="AY277" i="13"/>
  <c r="AS273" i="13"/>
  <c r="AK273" i="13"/>
  <c r="AL273" i="13"/>
  <c r="AO273" i="13"/>
  <c r="AP273" i="13"/>
  <c r="AX273" i="13"/>
  <c r="AY273" i="13"/>
  <c r="BT285" i="13"/>
  <c r="BI277" i="13"/>
  <c r="AJ286" i="13"/>
  <c r="AS286" i="13"/>
  <c r="AT286" i="13"/>
  <c r="AU286" i="13"/>
  <c r="AV286" i="13"/>
  <c r="AX286" i="13"/>
  <c r="AJ274" i="13"/>
  <c r="AR274" i="13"/>
  <c r="AT274" i="13"/>
  <c r="AU274" i="13"/>
  <c r="AV274" i="13"/>
  <c r="AW274" i="13"/>
  <c r="BV273" i="13"/>
  <c r="BP277" i="13"/>
  <c r="BL277" i="13"/>
  <c r="BF286" i="13"/>
  <c r="BL286" i="13"/>
  <c r="BR286" i="13"/>
  <c r="BL278" i="13"/>
  <c r="BR278" i="13"/>
  <c r="BF274" i="13"/>
  <c r="BJ274" i="13"/>
  <c r="BB286" i="13"/>
  <c r="AY274" i="13"/>
  <c r="AW286" i="13"/>
  <c r="AW278" i="13"/>
  <c r="AT278" i="13"/>
  <c r="AS274" i="13"/>
  <c r="AR286" i="13"/>
  <c r="AR278" i="13"/>
  <c r="AO278" i="13"/>
  <c r="AK278" i="13"/>
  <c r="AS280" i="13"/>
  <c r="AW280" i="13"/>
  <c r="AJ276" i="13"/>
  <c r="AN276" i="13"/>
  <c r="BH285" i="13"/>
  <c r="BK285" i="13"/>
  <c r="BH273" i="13"/>
  <c r="BP273" i="13"/>
  <c r="BW129" i="13"/>
  <c r="BS129" i="13"/>
  <c r="BO129" i="13"/>
  <c r="BK129" i="13"/>
  <c r="AT129" i="13"/>
  <c r="AP129" i="13"/>
  <c r="BE284" i="13"/>
  <c r="BF284" i="13"/>
  <c r="BV277" i="13"/>
  <c r="BT277" i="13"/>
  <c r="BT272" i="13"/>
  <c r="BQ276" i="13"/>
  <c r="BP284" i="13"/>
  <c r="BO284" i="13"/>
  <c r="BM281" i="13"/>
  <c r="BL284" i="13"/>
  <c r="BK284" i="13"/>
  <c r="BF276" i="13"/>
  <c r="BG276" i="13"/>
  <c r="BV272" i="13"/>
  <c r="BS273" i="13"/>
  <c r="BQ281" i="13"/>
  <c r="BP280" i="13"/>
  <c r="BP272" i="13"/>
  <c r="BO273" i="13"/>
  <c r="BM276" i="13"/>
  <c r="BL280" i="13"/>
  <c r="BL276" i="13"/>
  <c r="BL272" i="13"/>
  <c r="BK273" i="13"/>
  <c r="BI281" i="13"/>
  <c r="BG285" i="13"/>
  <c r="BG272" i="13"/>
  <c r="BF273" i="13"/>
  <c r="BE276" i="13"/>
  <c r="BE279" i="13"/>
  <c r="BI279" i="13"/>
  <c r="AP279" i="13"/>
  <c r="AP271" i="13"/>
  <c r="AN279" i="13"/>
  <c r="AN271" i="13"/>
  <c r="AL279" i="13"/>
  <c r="AL271" i="13"/>
  <c r="AJ279" i="13"/>
  <c r="AJ271" i="13"/>
  <c r="AJ277" i="13"/>
  <c r="AL277" i="13"/>
  <c r="AN277" i="13"/>
  <c r="AP277" i="13"/>
  <c r="BW285" i="13"/>
  <c r="BW281" i="13"/>
  <c r="BW277" i="13"/>
  <c r="BW273" i="13"/>
  <c r="BV287" i="13"/>
  <c r="BV281" i="13"/>
  <c r="BV276" i="13"/>
  <c r="BV271" i="13"/>
  <c r="BU285" i="13"/>
  <c r="BU281" i="13"/>
  <c r="BU277" i="13"/>
  <c r="BU273" i="13"/>
  <c r="BT287" i="13"/>
  <c r="BT281" i="13"/>
  <c r="BT276" i="13"/>
  <c r="BT271" i="13"/>
  <c r="BS285" i="13"/>
  <c r="BS281" i="13"/>
  <c r="BS277" i="13"/>
  <c r="BS272" i="13"/>
  <c r="BR285" i="13"/>
  <c r="BR281" i="13"/>
  <c r="BR277" i="13"/>
  <c r="BR273" i="13"/>
  <c r="BQ285" i="13"/>
  <c r="BQ280" i="13"/>
  <c r="BQ275" i="13"/>
  <c r="BP287" i="13"/>
  <c r="BP283" i="13"/>
  <c r="BP279" i="13"/>
  <c r="BP275" i="13"/>
  <c r="BP271" i="13"/>
  <c r="BO283" i="13"/>
  <c r="BO277" i="13"/>
  <c r="BO272" i="13"/>
  <c r="BN285" i="13"/>
  <c r="BN281" i="13"/>
  <c r="BN277" i="13"/>
  <c r="BN273" i="13"/>
  <c r="BM285" i="13"/>
  <c r="BM280" i="13"/>
  <c r="BM275" i="13"/>
  <c r="BL287" i="13"/>
  <c r="BL283" i="13"/>
  <c r="BL279" i="13"/>
  <c r="BL275" i="13"/>
  <c r="BL271" i="13"/>
  <c r="BK277" i="13"/>
  <c r="BK272" i="13"/>
  <c r="BJ285" i="13"/>
  <c r="BJ281" i="13"/>
  <c r="BJ277" i="13"/>
  <c r="BJ273" i="13"/>
  <c r="BI285" i="13"/>
  <c r="BI280" i="13"/>
  <c r="BI272" i="13"/>
  <c r="BH281" i="13"/>
  <c r="BH277" i="13"/>
  <c r="BG284" i="13"/>
  <c r="BG277" i="13"/>
  <c r="BF287" i="13"/>
  <c r="BF271" i="13"/>
  <c r="BE281" i="13"/>
  <c r="BB287" i="13"/>
  <c r="BB277" i="13"/>
  <c r="BB271" i="13"/>
  <c r="BA285" i="13"/>
  <c r="BA281" i="13"/>
  <c r="BA277" i="13"/>
  <c r="BA273" i="13"/>
  <c r="AZ281" i="13"/>
  <c r="AZ275" i="13"/>
  <c r="AX285" i="13"/>
  <c r="AX279" i="13"/>
  <c r="AW287" i="13"/>
  <c r="AW283" i="13"/>
  <c r="AW275" i="13"/>
  <c r="AW271" i="13"/>
  <c r="AV273" i="13"/>
  <c r="AT277" i="13"/>
  <c r="AS281" i="13"/>
  <c r="AS277" i="13"/>
  <c r="AR284" i="13"/>
  <c r="AT284" i="13"/>
  <c r="AV284" i="13"/>
  <c r="AX284" i="13"/>
  <c r="AZ284" i="13"/>
  <c r="BB284" i="13"/>
  <c r="AR280" i="13"/>
  <c r="AT280" i="13"/>
  <c r="AV280" i="13"/>
  <c r="AX280" i="13"/>
  <c r="AZ280" i="13"/>
  <c r="BB280" i="13"/>
  <c r="AR276" i="13"/>
  <c r="AT276" i="13"/>
  <c r="AV276" i="13"/>
  <c r="AX276" i="13"/>
  <c r="AZ276" i="13"/>
  <c r="BB276" i="13"/>
  <c r="AJ272" i="13"/>
  <c r="AL272" i="13"/>
  <c r="AN272" i="13"/>
  <c r="AP272" i="13"/>
  <c r="AR272" i="13"/>
  <c r="AT272" i="13"/>
  <c r="AV272" i="13"/>
  <c r="AX272" i="13"/>
  <c r="AZ272" i="13"/>
  <c r="BB272" i="13"/>
  <c r="BW284" i="13"/>
  <c r="BW280" i="13"/>
  <c r="BW276" i="13"/>
  <c r="BW272" i="13"/>
  <c r="BV280" i="13"/>
  <c r="BU284" i="13"/>
  <c r="BU280" i="13"/>
  <c r="BU276" i="13"/>
  <c r="BU272" i="13"/>
  <c r="BT280" i="13"/>
  <c r="BS284" i="13"/>
  <c r="BS280" i="13"/>
  <c r="BS276" i="13"/>
  <c r="BR284" i="13"/>
  <c r="BR280" i="13"/>
  <c r="BR276" i="13"/>
  <c r="BR272" i="13"/>
  <c r="BQ284" i="13"/>
  <c r="BO276" i="13"/>
  <c r="BN284" i="13"/>
  <c r="BN280" i="13"/>
  <c r="BN276" i="13"/>
  <c r="BN272" i="13"/>
  <c r="BM284" i="13"/>
  <c r="BK276" i="13"/>
  <c r="BJ284" i="13"/>
  <c r="BJ280" i="13"/>
  <c r="BJ276" i="13"/>
  <c r="BJ272" i="13"/>
  <c r="BI284" i="13"/>
  <c r="BH284" i="13"/>
  <c r="BH280" i="13"/>
  <c r="BH276" i="13"/>
  <c r="BH272" i="13"/>
  <c r="BE280" i="13"/>
  <c r="BE272" i="13"/>
  <c r="BE273" i="13"/>
  <c r="BI273" i="13"/>
  <c r="AJ283" i="13"/>
  <c r="AL283" i="13"/>
  <c r="AN283" i="13"/>
  <c r="AP283" i="13"/>
  <c r="BE286" i="13"/>
  <c r="BG286" i="13"/>
  <c r="BI286" i="13"/>
  <c r="BK286" i="13"/>
  <c r="BM286" i="13"/>
  <c r="BO286" i="13"/>
  <c r="BQ286" i="13"/>
  <c r="BE282" i="13"/>
  <c r="BG282" i="13"/>
  <c r="BI282" i="13"/>
  <c r="BK282" i="13"/>
  <c r="BM282" i="13"/>
  <c r="BO282" i="13"/>
  <c r="BQ282" i="13"/>
  <c r="BE278" i="13"/>
  <c r="BG278" i="13"/>
  <c r="BI278" i="13"/>
  <c r="BK278" i="13"/>
  <c r="BM278" i="13"/>
  <c r="BO278" i="13"/>
  <c r="BQ278" i="13"/>
  <c r="BE274" i="13"/>
  <c r="BG274" i="13"/>
  <c r="BI274" i="13"/>
  <c r="BK274" i="13"/>
  <c r="BM274" i="13"/>
  <c r="BO274" i="13"/>
  <c r="BQ274" i="13"/>
  <c r="BS274" i="13"/>
  <c r="BV286" i="13"/>
  <c r="BV282" i="13"/>
  <c r="BV278" i="13"/>
  <c r="BV274" i="13"/>
  <c r="BT286" i="13"/>
  <c r="BT282" i="13"/>
  <c r="BT278" i="13"/>
  <c r="BT274" i="13"/>
  <c r="BS271" i="13"/>
  <c r="BQ287" i="13"/>
  <c r="BQ271" i="13"/>
  <c r="BO287" i="13"/>
  <c r="BO271" i="13"/>
  <c r="BM287" i="13"/>
  <c r="BM271" i="13"/>
  <c r="BK287" i="13"/>
  <c r="BK271" i="13"/>
  <c r="BI287" i="13"/>
  <c r="BI271" i="13"/>
  <c r="BG287" i="13"/>
  <c r="BG271" i="13"/>
  <c r="AP286" i="13"/>
  <c r="AP282" i="13"/>
  <c r="AP278" i="13"/>
  <c r="AP274" i="13"/>
  <c r="AN286" i="13"/>
  <c r="AN282" i="13"/>
  <c r="AN278" i="13"/>
  <c r="AN274" i="13"/>
  <c r="AL286" i="13"/>
  <c r="AL282" i="13"/>
  <c r="AL278" i="13"/>
  <c r="AL274" i="13"/>
  <c r="B11" i="19"/>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B41" i="22" l="1"/>
  <c r="B46" i="22"/>
  <c r="B44" i="22"/>
  <c r="B45" i="22"/>
  <c r="B42" i="22"/>
  <c r="B43" i="22"/>
  <c r="AF351" i="13"/>
  <c r="AF53" i="13"/>
  <c r="AF315" i="13"/>
  <c r="AE70" i="13"/>
  <c r="AE197" i="13"/>
  <c r="AE299" i="13"/>
  <c r="AF127" i="13"/>
  <c r="AE225" i="13"/>
  <c r="AF259" i="13"/>
  <c r="AE55" i="13"/>
  <c r="AE201" i="13"/>
  <c r="AE175" i="13"/>
  <c r="AE123" i="13"/>
  <c r="AF327" i="13"/>
  <c r="AE206" i="13"/>
  <c r="AE243" i="13"/>
  <c r="AE135" i="13"/>
  <c r="AE89" i="13"/>
  <c r="AF46" i="13"/>
  <c r="AE195" i="13"/>
  <c r="AF319" i="13"/>
  <c r="AE177" i="13"/>
  <c r="AF83" i="13"/>
  <c r="AE43" i="13"/>
  <c r="AE36" i="13"/>
  <c r="AF289" i="13"/>
  <c r="AE342" i="13"/>
  <c r="AE330" i="13"/>
  <c r="AE203" i="13"/>
  <c r="AF258" i="13"/>
  <c r="AF251" i="13"/>
  <c r="AF179" i="13"/>
  <c r="AF131" i="13"/>
  <c r="AE337" i="13"/>
  <c r="AE268" i="13"/>
  <c r="AE255" i="13"/>
  <c r="AE185" i="13"/>
  <c r="AE12" i="13"/>
  <c r="AE332" i="13"/>
  <c r="AF300" i="13"/>
  <c r="AE311" i="13"/>
  <c r="AF333" i="13"/>
  <c r="AF234" i="13"/>
  <c r="AE159" i="13"/>
  <c r="AF139" i="13"/>
  <c r="AE72" i="13"/>
  <c r="AF56" i="13"/>
  <c r="AE291" i="13"/>
  <c r="AE275" i="13"/>
  <c r="AF132" i="13"/>
  <c r="AF101" i="13"/>
  <c r="AF126" i="13"/>
  <c r="AF78" i="13"/>
  <c r="AE141" i="13"/>
  <c r="AE198" i="13"/>
  <c r="AF309" i="13"/>
  <c r="AE20" i="13"/>
  <c r="AF113" i="13"/>
  <c r="AE160" i="13"/>
  <c r="AE290" i="13"/>
  <c r="AF187" i="13"/>
  <c r="AE148" i="13"/>
  <c r="AE227" i="13"/>
  <c r="AF163" i="13"/>
  <c r="AE242" i="13"/>
  <c r="AE361" i="13"/>
  <c r="AE262" i="13"/>
  <c r="AE191" i="13"/>
  <c r="AF199" i="13"/>
  <c r="AF221" i="13"/>
  <c r="AE124" i="13"/>
  <c r="AF345" i="13"/>
  <c r="AF149" i="13"/>
  <c r="AF170" i="13"/>
  <c r="AF39" i="13"/>
  <c r="AE147" i="13"/>
  <c r="AF326" i="13"/>
  <c r="AF65" i="13"/>
  <c r="AE249" i="13"/>
  <c r="AF162" i="13"/>
  <c r="AF150" i="13"/>
  <c r="AF114" i="13"/>
  <c r="AE218" i="13"/>
  <c r="AE186" i="13"/>
  <c r="AE261" i="13"/>
  <c r="AF102" i="13"/>
  <c r="AE287" i="13"/>
  <c r="AE183" i="13"/>
  <c r="AF167" i="13"/>
  <c r="AE189" i="13"/>
  <c r="AE305" i="13"/>
  <c r="AE228" i="13"/>
  <c r="AE192" i="13"/>
  <c r="AE165" i="13"/>
  <c r="AE129" i="13"/>
  <c r="AE207" i="13"/>
  <c r="AE235" i="13"/>
  <c r="AE153" i="13"/>
  <c r="AE117" i="13"/>
  <c r="F24" i="19"/>
  <c r="F23" i="19"/>
  <c r="AE254" i="13"/>
  <c r="AF269" i="13"/>
  <c r="AF275" i="13"/>
  <c r="AE328" i="13"/>
  <c r="AE265" i="13"/>
  <c r="AF218" i="13"/>
  <c r="AF270" i="13"/>
  <c r="AF80" i="13"/>
  <c r="AE200" i="13"/>
  <c r="AF121" i="13"/>
  <c r="AF145" i="13"/>
  <c r="AF21" i="13"/>
  <c r="AF306" i="13"/>
  <c r="AF227" i="13"/>
  <c r="AF33" i="13"/>
  <c r="AF324" i="13"/>
  <c r="AF157" i="13"/>
  <c r="AF27" i="13"/>
  <c r="AF176" i="13"/>
  <c r="AF90" i="13"/>
  <c r="AF7" i="13"/>
  <c r="AF181" i="13"/>
  <c r="AF169" i="13"/>
  <c r="AF246" i="13"/>
  <c r="AF98" i="13"/>
  <c r="AF96" i="13"/>
  <c r="AF50" i="13"/>
  <c r="AF316" i="13"/>
  <c r="AF206" i="13"/>
  <c r="AF340" i="13"/>
  <c r="AF352" i="13"/>
  <c r="AF337" i="13"/>
  <c r="AF360" i="13"/>
  <c r="AE310" i="13"/>
  <c r="AF358" i="13"/>
  <c r="AF255" i="13"/>
  <c r="AF296" i="13"/>
  <c r="AF276" i="13"/>
  <c r="AF201" i="13"/>
  <c r="AF100" i="13"/>
  <c r="AF82" i="13"/>
  <c r="AF243" i="13"/>
  <c r="AF236" i="13"/>
  <c r="AF104" i="13"/>
  <c r="AF217" i="13"/>
  <c r="AF242" i="13"/>
  <c r="AF209" i="13"/>
  <c r="AF87" i="13"/>
  <c r="AF226" i="13"/>
  <c r="AF73" i="13"/>
  <c r="AF15" i="13"/>
  <c r="AF42" i="13"/>
  <c r="AF28" i="13"/>
  <c r="AF14" i="13"/>
  <c r="AF52" i="13"/>
  <c r="AF301" i="13"/>
  <c r="AF328" i="13"/>
  <c r="AF341" i="13"/>
  <c r="AF273" i="13"/>
  <c r="AF287" i="13"/>
  <c r="AF272" i="13"/>
  <c r="AE339" i="13"/>
  <c r="AF298" i="13"/>
  <c r="AF320" i="13"/>
  <c r="AF271" i="13"/>
  <c r="AF311" i="13"/>
  <c r="AF290" i="13"/>
  <c r="AF254" i="13"/>
  <c r="AF69" i="13"/>
  <c r="AF105" i="13"/>
  <c r="AF297" i="13"/>
  <c r="AF188" i="13"/>
  <c r="AF151" i="13"/>
  <c r="AF133" i="13"/>
  <c r="AF115" i="13"/>
  <c r="AF174" i="13"/>
  <c r="AF159" i="13"/>
  <c r="AF152" i="13"/>
  <c r="AF141" i="13"/>
  <c r="AF134" i="13"/>
  <c r="AF123" i="13"/>
  <c r="AF116" i="13"/>
  <c r="AF13" i="13"/>
  <c r="AF68" i="13"/>
  <c r="AF44" i="13"/>
  <c r="AF347" i="13"/>
  <c r="AF356" i="13"/>
  <c r="AF325" i="13"/>
  <c r="AF339" i="13"/>
  <c r="AF313" i="13"/>
  <c r="AF291" i="13"/>
  <c r="AF224" i="13"/>
  <c r="AF264" i="13"/>
  <c r="AF194" i="13"/>
  <c r="AF171" i="13"/>
  <c r="AF94" i="13"/>
  <c r="AF76" i="13"/>
  <c r="AF182" i="13"/>
  <c r="AF235" i="13"/>
  <c r="AF81" i="13"/>
  <c r="AF86" i="13"/>
  <c r="AF48" i="13"/>
  <c r="AF29" i="13"/>
  <c r="AF9" i="13"/>
  <c r="AF210" i="13"/>
  <c r="AF186" i="13"/>
  <c r="AF92" i="13"/>
  <c r="AF67" i="13"/>
  <c r="AF45" i="13"/>
  <c r="AF51" i="13"/>
  <c r="AF359" i="13"/>
  <c r="AF350" i="13"/>
  <c r="AF293" i="13"/>
  <c r="AF280" i="13"/>
  <c r="AF285" i="13"/>
  <c r="AF266" i="13"/>
  <c r="AF292" i="13"/>
  <c r="AF189" i="13"/>
  <c r="AF244" i="13"/>
  <c r="AF252" i="13"/>
  <c r="AF223" i="13"/>
  <c r="AF207" i="13"/>
  <c r="AF208" i="13"/>
  <c r="AF165" i="13"/>
  <c r="AF158" i="13"/>
  <c r="AF147" i="13"/>
  <c r="AF140" i="13"/>
  <c r="AF129" i="13"/>
  <c r="AF122" i="13"/>
  <c r="AF111" i="13"/>
  <c r="AF79" i="13"/>
  <c r="AF66" i="13"/>
  <c r="AF183" i="13"/>
  <c r="AF110" i="13"/>
  <c r="AF74" i="13"/>
  <c r="AF34" i="13"/>
  <c r="AF22" i="13"/>
  <c r="AF8" i="13"/>
  <c r="AF240" i="13"/>
  <c r="AF357" i="13"/>
  <c r="AF304" i="13"/>
  <c r="AF334" i="13"/>
  <c r="AF284" i="13"/>
  <c r="AE292" i="13"/>
  <c r="AF286" i="13"/>
  <c r="AF213" i="13"/>
  <c r="AF265" i="13"/>
  <c r="AF230" i="13"/>
  <c r="AF195" i="13"/>
  <c r="AE252" i="13"/>
  <c r="AF245" i="13"/>
  <c r="AF228" i="13"/>
  <c r="AF106" i="13"/>
  <c r="AF88" i="13"/>
  <c r="AF222" i="13"/>
  <c r="AF177" i="13"/>
  <c r="AF75" i="13"/>
  <c r="AF47" i="13"/>
  <c r="AF253" i="13"/>
  <c r="AF225" i="13"/>
  <c r="AF200" i="13"/>
  <c r="AF185" i="13"/>
  <c r="AF93" i="13"/>
  <c r="AF41" i="13"/>
  <c r="AF23" i="13"/>
  <c r="AF57" i="13"/>
  <c r="AF175" i="13"/>
  <c r="AF353" i="13"/>
  <c r="AF332" i="13"/>
  <c r="AF310" i="13"/>
  <c r="AF303" i="13"/>
  <c r="AF279" i="13"/>
  <c r="AF278" i="13"/>
  <c r="AF314" i="13"/>
  <c r="AF260" i="13"/>
  <c r="AF321" i="13"/>
  <c r="AF249" i="13"/>
  <c r="AF277" i="13"/>
  <c r="AF229" i="13"/>
  <c r="AF248" i="13"/>
  <c r="AE253" i="13"/>
  <c r="AF231" i="13"/>
  <c r="AF180" i="13"/>
  <c r="AF164" i="13"/>
  <c r="AF153" i="13"/>
  <c r="AF146" i="13"/>
  <c r="AF135" i="13"/>
  <c r="AF128" i="13"/>
  <c r="AF117" i="13"/>
  <c r="AF85" i="13"/>
  <c r="AF261" i="13"/>
  <c r="AF99" i="13"/>
  <c r="AF62" i="13"/>
  <c r="D12" i="19" l="1"/>
  <c r="D13" i="19"/>
  <c r="D10" i="19"/>
  <c r="F21" i="19"/>
  <c r="F22" i="19"/>
  <c r="F19" i="19"/>
  <c r="F20"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AD59" i="13" l="1"/>
  <c r="AD37" i="13"/>
  <c r="AD19" i="13"/>
  <c r="AD60" i="13"/>
  <c r="AD18" i="13"/>
  <c r="AD58" i="13"/>
  <c r="AD61" i="13"/>
  <c r="AD348" i="13"/>
  <c r="X37" i="13"/>
  <c r="X58" i="13"/>
  <c r="X19" i="13"/>
  <c r="X18" i="13"/>
  <c r="X60" i="13"/>
  <c r="X59" i="13"/>
  <c r="X61" i="13"/>
  <c r="C10" i="32"/>
  <c r="C9" i="32"/>
  <c r="G20" i="32" s="1"/>
  <c r="H20" i="32" s="1"/>
  <c r="X348" i="13"/>
  <c r="X95" i="13"/>
  <c r="X135" i="13"/>
  <c r="X307" i="13"/>
  <c r="X342" i="13"/>
  <c r="X24" i="13"/>
  <c r="X113" i="13"/>
  <c r="X239" i="13"/>
  <c r="X309" i="13"/>
  <c r="X10" i="13"/>
  <c r="X64" i="13"/>
  <c r="X328" i="13"/>
  <c r="X170" i="13"/>
  <c r="X261" i="13"/>
  <c r="X301" i="13"/>
  <c r="X222" i="13"/>
  <c r="X66" i="13"/>
  <c r="X136" i="13"/>
  <c r="X214" i="13"/>
  <c r="X349" i="13"/>
  <c r="X65" i="13"/>
  <c r="X23" i="13"/>
  <c r="X108" i="13"/>
  <c r="X73" i="13"/>
  <c r="X9" i="13"/>
  <c r="X101" i="13"/>
  <c r="X302" i="13"/>
  <c r="X323" i="13"/>
  <c r="X311" i="13"/>
  <c r="X345" i="13"/>
  <c r="X30" i="13"/>
  <c r="X120" i="13"/>
  <c r="X196" i="13"/>
  <c r="X241" i="13"/>
  <c r="X12" i="13"/>
  <c r="X141" i="13"/>
  <c r="X282" i="13"/>
  <c r="X336" i="13"/>
  <c r="X94" i="13"/>
  <c r="X172" i="13"/>
  <c r="X263" i="13"/>
  <c r="X312" i="13"/>
  <c r="X262" i="13"/>
  <c r="X71" i="13"/>
  <c r="X147" i="13"/>
  <c r="X216" i="13"/>
  <c r="X131" i="13"/>
  <c r="X25" i="13"/>
  <c r="X125" i="13"/>
  <c r="X234" i="13"/>
  <c r="X300" i="13"/>
  <c r="X162" i="13"/>
  <c r="X46" i="13"/>
  <c r="X173" i="13"/>
  <c r="X236" i="13"/>
  <c r="X315" i="13"/>
  <c r="X258" i="13"/>
  <c r="X55" i="13"/>
  <c r="X148" i="13"/>
  <c r="X237" i="13"/>
  <c r="X319" i="13"/>
  <c r="X356" i="13"/>
  <c r="X137" i="13"/>
  <c r="X243" i="13"/>
  <c r="X76" i="13"/>
  <c r="X20" i="13"/>
  <c r="X83" i="13"/>
  <c r="X154" i="13"/>
  <c r="X223" i="13"/>
  <c r="X344" i="13"/>
  <c r="X67" i="13"/>
  <c r="X106" i="13"/>
  <c r="X174" i="13"/>
  <c r="X279" i="13"/>
  <c r="X88" i="13"/>
  <c r="X160" i="13"/>
  <c r="X220" i="13"/>
  <c r="X155" i="13"/>
  <c r="X29" i="13"/>
  <c r="X132" i="13"/>
  <c r="X195" i="13"/>
  <c r="X244" i="13"/>
  <c r="X310" i="13"/>
  <c r="X193" i="13"/>
  <c r="X48" i="13"/>
  <c r="X118" i="13"/>
  <c r="X179" i="13"/>
  <c r="X240" i="13"/>
  <c r="X317" i="13"/>
  <c r="X84" i="13"/>
  <c r="X159" i="13"/>
  <c r="X251" i="13"/>
  <c r="X361" i="13"/>
  <c r="X53" i="13"/>
  <c r="X144" i="13"/>
  <c r="X205" i="13"/>
  <c r="X247" i="13"/>
  <c r="X347" i="13"/>
  <c r="X171" i="13"/>
  <c r="X26" i="13"/>
  <c r="X91" i="13"/>
  <c r="X232" i="13"/>
  <c r="X288" i="13"/>
  <c r="X107" i="13"/>
  <c r="X39" i="13"/>
  <c r="X119" i="13"/>
  <c r="X186" i="13"/>
  <c r="X272" i="13"/>
  <c r="X338" i="13"/>
  <c r="X215" i="13"/>
  <c r="X31" i="13"/>
  <c r="X149" i="13"/>
  <c r="X197" i="13"/>
  <c r="X329" i="13"/>
  <c r="X219" i="13"/>
  <c r="X129" i="13"/>
  <c r="X183" i="13"/>
  <c r="X333" i="13"/>
  <c r="X89" i="13"/>
  <c r="X42" i="13"/>
  <c r="X70" i="13"/>
  <c r="X161" i="13"/>
  <c r="X207" i="13"/>
  <c r="X350" i="13"/>
  <c r="X187" i="13"/>
  <c r="X32" i="13"/>
  <c r="X100" i="13"/>
  <c r="X165" i="13"/>
  <c r="X297" i="13"/>
  <c r="X363" i="13"/>
  <c r="X138" i="13"/>
  <c r="X43" i="13"/>
  <c r="X126" i="13"/>
  <c r="X192" i="13"/>
  <c r="X280" i="13"/>
  <c r="X355" i="13"/>
  <c r="X6" i="13"/>
  <c r="X102" i="13"/>
  <c r="X180" i="13"/>
  <c r="X238" i="13"/>
  <c r="X283" i="13"/>
  <c r="X38" i="13"/>
  <c r="X156" i="13"/>
  <c r="X208" i="13"/>
  <c r="X259" i="13"/>
  <c r="X335" i="13"/>
  <c r="X69" i="13"/>
  <c r="X142" i="13"/>
  <c r="X189" i="13"/>
  <c r="X256" i="13"/>
  <c r="X343" i="13"/>
  <c r="X36" i="13"/>
  <c r="X199" i="13"/>
  <c r="X299" i="13"/>
  <c r="X354" i="13"/>
  <c r="X78" i="13"/>
  <c r="X221" i="13"/>
  <c r="X49" i="13"/>
  <c r="X117" i="13"/>
  <c r="X190" i="13"/>
  <c r="X257" i="13"/>
  <c r="X322" i="13"/>
  <c r="X233" i="13"/>
  <c r="X150" i="13"/>
  <c r="X293" i="13"/>
  <c r="X114" i="13"/>
  <c r="X123" i="13"/>
  <c r="X308" i="13"/>
  <c r="X15" i="13"/>
  <c r="X56" i="13"/>
  <c r="X273" i="13"/>
  <c r="X351" i="13"/>
  <c r="X82" i="13"/>
  <c r="X201" i="13"/>
  <c r="X287" i="13"/>
  <c r="X330" i="13"/>
  <c r="X168" i="13"/>
  <c r="X184" i="13"/>
  <c r="X198" i="13"/>
  <c r="X35" i="13"/>
  <c r="X212" i="13"/>
  <c r="X289" i="13"/>
  <c r="X266" i="13"/>
  <c r="X337" i="13"/>
  <c r="X178" i="13"/>
  <c r="X202" i="13"/>
  <c r="X250" i="13"/>
  <c r="X54" i="13"/>
  <c r="X226" i="13"/>
  <c r="X294" i="13"/>
  <c r="X211" i="13"/>
  <c r="X249" i="13"/>
  <c r="X255" i="13"/>
  <c r="X290" i="13"/>
  <c r="X112" i="13"/>
  <c r="X11" i="13"/>
  <c r="X268" i="13"/>
  <c r="X79" i="13"/>
  <c r="X362" i="13"/>
  <c r="X331" i="13"/>
  <c r="X124" i="13"/>
  <c r="X225" i="13"/>
  <c r="X281" i="13"/>
  <c r="X295" i="13"/>
  <c r="X17" i="13"/>
  <c r="X274" i="13"/>
  <c r="X318" i="13"/>
  <c r="X57" i="13"/>
  <c r="X41" i="13"/>
  <c r="X341" i="13"/>
  <c r="X153" i="13"/>
  <c r="X229" i="13"/>
  <c r="X16" i="13"/>
  <c r="X285" i="13"/>
  <c r="X326" i="13"/>
  <c r="X77" i="13"/>
  <c r="X204" i="13"/>
  <c r="X63" i="13"/>
  <c r="X360" i="13"/>
  <c r="X166" i="13"/>
  <c r="X267" i="13"/>
  <c r="X72" i="13"/>
  <c r="X103" i="13"/>
  <c r="X143" i="13"/>
  <c r="X40" i="13"/>
  <c r="X304" i="13"/>
  <c r="X191" i="13"/>
  <c r="X305" i="13"/>
  <c r="X97" i="13"/>
  <c r="X130" i="13"/>
  <c r="X167" i="13"/>
  <c r="X346" i="13"/>
  <c r="X177" i="13"/>
  <c r="X203" i="13"/>
  <c r="X245" i="13"/>
  <c r="X359" i="13"/>
  <c r="X27" i="13"/>
  <c r="X277" i="13"/>
  <c r="X296" i="13"/>
  <c r="X271" i="13"/>
  <c r="X210" i="13"/>
  <c r="X13" i="13"/>
  <c r="X50" i="13"/>
  <c r="X7" i="13"/>
  <c r="X81" i="13"/>
  <c r="X252" i="13"/>
  <c r="X52" i="13"/>
  <c r="X185" i="13"/>
  <c r="X235" i="13"/>
  <c r="X260" i="13"/>
  <c r="X28" i="13"/>
  <c r="X122" i="13"/>
  <c r="X332" i="13"/>
  <c r="X109" i="13"/>
  <c r="X314" i="13"/>
  <c r="X357" i="13"/>
  <c r="X269" i="13"/>
  <c r="X270" i="13"/>
  <c r="X306" i="13"/>
  <c r="X140" i="13"/>
  <c r="X339" i="13"/>
  <c r="X157" i="13"/>
  <c r="X152" i="13"/>
  <c r="X98" i="13"/>
  <c r="X86" i="13"/>
  <c r="X164" i="13"/>
  <c r="X213" i="13"/>
  <c r="X110" i="13"/>
  <c r="X352" i="13"/>
  <c r="X284" i="13"/>
  <c r="X303" i="13"/>
  <c r="X62" i="13"/>
  <c r="X163" i="13"/>
  <c r="X246" i="13"/>
  <c r="X116" i="13"/>
  <c r="X265" i="13"/>
  <c r="X44" i="13"/>
  <c r="X68" i="13"/>
  <c r="X175" i="13"/>
  <c r="X228" i="13"/>
  <c r="X298" i="13"/>
  <c r="X105" i="13"/>
  <c r="X80" i="13"/>
  <c r="X327" i="13"/>
  <c r="X139" i="13"/>
  <c r="X264" i="13"/>
  <c r="X334" i="13"/>
  <c r="X115" i="13"/>
  <c r="X92" i="13"/>
  <c r="X230" i="13"/>
  <c r="X158" i="13"/>
  <c r="X128" i="13"/>
  <c r="X133" i="13"/>
  <c r="X176" i="13"/>
  <c r="X286" i="13"/>
  <c r="X121" i="13"/>
  <c r="X217" i="13"/>
  <c r="X325" i="13"/>
  <c r="X224" i="13"/>
  <c r="X74" i="13"/>
  <c r="X276" i="13"/>
  <c r="X93" i="13"/>
  <c r="X75" i="13"/>
  <c r="X206" i="13"/>
  <c r="X134" i="13"/>
  <c r="X45" i="13"/>
  <c r="X292" i="13"/>
  <c r="X340" i="13"/>
  <c r="X218" i="13"/>
  <c r="X85" i="13"/>
  <c r="X111" i="13"/>
  <c r="X248" i="13"/>
  <c r="X96" i="13"/>
  <c r="X90" i="13"/>
  <c r="X242" i="13"/>
  <c r="X33" i="13"/>
  <c r="X320" i="13"/>
  <c r="X275" i="13"/>
  <c r="X181" i="13"/>
  <c r="X353" i="13"/>
  <c r="X316" i="13"/>
  <c r="X8" i="13"/>
  <c r="X104" i="13"/>
  <c r="X209" i="13"/>
  <c r="X146" i="13"/>
  <c r="X169" i="13"/>
  <c r="X358" i="13"/>
  <c r="X291" i="13"/>
  <c r="X227" i="13"/>
  <c r="X194" i="13"/>
  <c r="X254" i="13"/>
  <c r="X321" i="13"/>
  <c r="X34" i="13"/>
  <c r="X51" i="13"/>
  <c r="X87" i="13"/>
  <c r="X253" i="13"/>
  <c r="X21" i="13"/>
  <c r="X14" i="13"/>
  <c r="X200" i="13"/>
  <c r="X188" i="13"/>
  <c r="X182" i="13"/>
  <c r="X99" i="13"/>
  <c r="X231" i="13"/>
  <c r="X324" i="13"/>
  <c r="X278" i="13"/>
  <c r="X151" i="13"/>
  <c r="X145" i="13"/>
  <c r="X127" i="13"/>
  <c r="X22" i="13"/>
  <c r="X313" i="13"/>
  <c r="X47" i="13"/>
  <c r="AD231" i="13"/>
  <c r="AD179" i="13"/>
  <c r="AD131" i="13"/>
  <c r="AD217" i="13"/>
  <c r="AD260" i="13"/>
  <c r="AD317" i="13"/>
  <c r="AD89" i="13"/>
  <c r="AD182" i="13"/>
  <c r="AD228" i="13"/>
  <c r="AD286" i="13"/>
  <c r="AD167" i="13"/>
  <c r="AD220" i="13"/>
  <c r="AD125" i="13"/>
  <c r="AD26" i="13"/>
  <c r="AD27" i="13"/>
  <c r="AD35" i="13"/>
  <c r="AD63" i="13"/>
  <c r="AD70" i="13"/>
  <c r="AD90" i="13"/>
  <c r="AD127" i="13"/>
  <c r="AD163" i="13"/>
  <c r="AD242" i="13"/>
  <c r="AD227" i="13"/>
  <c r="AD215" i="13"/>
  <c r="AD314" i="13"/>
  <c r="AD142" i="13"/>
  <c r="AD234" i="13"/>
  <c r="AD313" i="13"/>
  <c r="AD80" i="13"/>
  <c r="AD219" i="13"/>
  <c r="AD188" i="13"/>
  <c r="AD112" i="13"/>
  <c r="AD143" i="13"/>
  <c r="AD362" i="13"/>
  <c r="AD136" i="13"/>
  <c r="AD53" i="13"/>
  <c r="AD40" i="13"/>
  <c r="AD72" i="13"/>
  <c r="AD199" i="13"/>
  <c r="AD251" i="13"/>
  <c r="AD17" i="13"/>
  <c r="AD71" i="13"/>
  <c r="AD198" i="13"/>
  <c r="AD38" i="13"/>
  <c r="AD196" i="13"/>
  <c r="AD238" i="13"/>
  <c r="AD133" i="13"/>
  <c r="AD56" i="13"/>
  <c r="AD132" i="13"/>
  <c r="AD156" i="13"/>
  <c r="AD187" i="13"/>
  <c r="AD284" i="13"/>
  <c r="AD46" i="13"/>
  <c r="AD203" i="13"/>
  <c r="AD323" i="13"/>
  <c r="AD283" i="13"/>
  <c r="AD267" i="13"/>
  <c r="AD332" i="13"/>
  <c r="AD320" i="13"/>
  <c r="AD6" i="13"/>
  <c r="AD32" i="13"/>
  <c r="AD44" i="13"/>
  <c r="AD30" i="13"/>
  <c r="AD7" i="13"/>
  <c r="AD49" i="13"/>
  <c r="AD268" i="13"/>
  <c r="AD307" i="13"/>
  <c r="AD302" i="13"/>
  <c r="AD326" i="13"/>
  <c r="AD308" i="13"/>
  <c r="AD355" i="13"/>
  <c r="AD338" i="13"/>
  <c r="AD344" i="13"/>
  <c r="AD319" i="13"/>
  <c r="AD325" i="13"/>
  <c r="AD155" i="13"/>
  <c r="AD345" i="13"/>
  <c r="AD91" i="13"/>
  <c r="AD176" i="13"/>
  <c r="AD221" i="13"/>
  <c r="AD250" i="13"/>
  <c r="AD54" i="13"/>
  <c r="AD248" i="13"/>
  <c r="AD137" i="13"/>
  <c r="AD154" i="13"/>
  <c r="AD113" i="13"/>
  <c r="AD52" i="13"/>
  <c r="AD13" i="13"/>
  <c r="AD43" i="13"/>
  <c r="AD103" i="13"/>
  <c r="AD204" i="13"/>
  <c r="AD39" i="13"/>
  <c r="AD191" i="13"/>
  <c r="AD256" i="13"/>
  <c r="AD327" i="13"/>
  <c r="AD262" i="13"/>
  <c r="AD245" i="13"/>
  <c r="AD270" i="13"/>
  <c r="AD161" i="13"/>
  <c r="AD124" i="13"/>
  <c r="AD12" i="13"/>
  <c r="AD50" i="13"/>
  <c r="AD45" i="13"/>
  <c r="AD175" i="13"/>
  <c r="AD205" i="13"/>
  <c r="AD25" i="13"/>
  <c r="AD214" i="13"/>
  <c r="AD145" i="13"/>
  <c r="AD185" i="13"/>
  <c r="AD109" i="13"/>
  <c r="AD241" i="13"/>
  <c r="AD233" i="13"/>
  <c r="AD118" i="13"/>
  <c r="AD331" i="13"/>
  <c r="AD173" i="13"/>
  <c r="AD281" i="13"/>
  <c r="AD74" i="13"/>
  <c r="AD235" i="13"/>
  <c r="AD47" i="13"/>
  <c r="AD190" i="13"/>
  <c r="AD172" i="13"/>
  <c r="AD218" i="13"/>
  <c r="AD346" i="13"/>
  <c r="AD160" i="13"/>
  <c r="AD119" i="13"/>
  <c r="AD84" i="13"/>
  <c r="AD33" i="13"/>
  <c r="AD62" i="13"/>
  <c r="AD78" i="13"/>
  <c r="AD11" i="13"/>
  <c r="AD102" i="13"/>
  <c r="AD232" i="13"/>
  <c r="AD121" i="13"/>
  <c r="AD157" i="13"/>
  <c r="AD169" i="13"/>
  <c r="AD211" i="13"/>
  <c r="AD246" i="13"/>
  <c r="AD257" i="13"/>
  <c r="AD288" i="13"/>
  <c r="AD289" i="13"/>
  <c r="AD269" i="13"/>
  <c r="AD343" i="13"/>
  <c r="AD334" i="13"/>
  <c r="AD349" i="13"/>
  <c r="AD333" i="13"/>
  <c r="AD318" i="13"/>
  <c r="AD149" i="13"/>
  <c r="AD24" i="13"/>
  <c r="AD300" i="13"/>
  <c r="AD107" i="13"/>
  <c r="AD126" i="13"/>
  <c r="AD181" i="13"/>
  <c r="AD316" i="13"/>
  <c r="AD275" i="13"/>
  <c r="AD351" i="13"/>
  <c r="AD358" i="13"/>
  <c r="AD16" i="13"/>
  <c r="AD206" i="13"/>
  <c r="AD329" i="13"/>
  <c r="AD357" i="13"/>
  <c r="AD110" i="13"/>
  <c r="AD216" i="13"/>
  <c r="AD10" i="13"/>
  <c r="AD97" i="13"/>
  <c r="AD96" i="13"/>
  <c r="AD83" i="13"/>
  <c r="AD202" i="13"/>
  <c r="AD115" i="13"/>
  <c r="AD162" i="13"/>
  <c r="AD263" i="13"/>
  <c r="AD291" i="13"/>
  <c r="AD294" i="13"/>
  <c r="AD363" i="13"/>
  <c r="AD322" i="13"/>
  <c r="AD258" i="13"/>
  <c r="AD130" i="13"/>
  <c r="AD282" i="13"/>
  <c r="AD98" i="13"/>
  <c r="AD138" i="13"/>
  <c r="AD259" i="13"/>
  <c r="AD295" i="13"/>
  <c r="AD342" i="13"/>
  <c r="AD312" i="13"/>
  <c r="AD197" i="13"/>
  <c r="AD224" i="13"/>
  <c r="AD36" i="13"/>
  <c r="AD184" i="13"/>
  <c r="AD148" i="13"/>
  <c r="AD51" i="13"/>
  <c r="AD20" i="13"/>
  <c r="AD64" i="13"/>
  <c r="AD68" i="13"/>
  <c r="AD95" i="13"/>
  <c r="AD114" i="13"/>
  <c r="AD168" i="13"/>
  <c r="AD230" i="13"/>
  <c r="AD298" i="13"/>
  <c r="AD324" i="13"/>
  <c r="AD330" i="13"/>
  <c r="AD55" i="13"/>
  <c r="AD139" i="13"/>
  <c r="AD209" i="13"/>
  <c r="AD237" i="13"/>
  <c r="AD192" i="13"/>
  <c r="AD274" i="13"/>
  <c r="AD144" i="13"/>
  <c r="AD247" i="13"/>
  <c r="AD264" i="13"/>
  <c r="AD361" i="13"/>
  <c r="AD336" i="13"/>
  <c r="AD354" i="13"/>
  <c r="AD170" i="13"/>
  <c r="AD166" i="13"/>
  <c r="AD21" i="13"/>
  <c r="AD65" i="13"/>
  <c r="AD210" i="13"/>
  <c r="AD77" i="13"/>
  <c r="AD151" i="13"/>
  <c r="AD120" i="13"/>
  <c r="AD239" i="13"/>
  <c r="AD299" i="13"/>
  <c r="AD306" i="13"/>
  <c r="AD212" i="13"/>
  <c r="AD108" i="13"/>
  <c r="AD31" i="13"/>
  <c r="AD101" i="13"/>
  <c r="AD178" i="13"/>
  <c r="AD150" i="13"/>
  <c r="AD193" i="13"/>
  <c r="AD309" i="13"/>
  <c r="AD305" i="13"/>
  <c r="AD335" i="13"/>
  <c r="AD315" i="13"/>
  <c r="AD337" i="13"/>
  <c r="AD15" i="13"/>
  <c r="AD105" i="13"/>
  <c r="AD141" i="13"/>
  <c r="AD347" i="13"/>
  <c r="AD67" i="13"/>
  <c r="AD266" i="13"/>
  <c r="AD207" i="13"/>
  <c r="AD147" i="13"/>
  <c r="AD111" i="13"/>
  <c r="AD222" i="13"/>
  <c r="AD253" i="13"/>
  <c r="AD93" i="13"/>
  <c r="AD353" i="13"/>
  <c r="AD277" i="13"/>
  <c r="AD180" i="13"/>
  <c r="AD135" i="13"/>
  <c r="AD296" i="13"/>
  <c r="AD134" i="13"/>
  <c r="AD356" i="13"/>
  <c r="AD94" i="13"/>
  <c r="AD208" i="13"/>
  <c r="AD79" i="13"/>
  <c r="AD177" i="13"/>
  <c r="AD229" i="13"/>
  <c r="AD128" i="13"/>
  <c r="AD340" i="13"/>
  <c r="AD360" i="13"/>
  <c r="AD255" i="13"/>
  <c r="AD100" i="13"/>
  <c r="AD104" i="13"/>
  <c r="AD341" i="13"/>
  <c r="AD272" i="13"/>
  <c r="AD311" i="13"/>
  <c r="AD81" i="13"/>
  <c r="AD9" i="13"/>
  <c r="AD244" i="13"/>
  <c r="AD8" i="13"/>
  <c r="AD304" i="13"/>
  <c r="AD213" i="13"/>
  <c r="AD41" i="13"/>
  <c r="AD279" i="13"/>
  <c r="AD261" i="13"/>
  <c r="AD87" i="13"/>
  <c r="AD290" i="13"/>
  <c r="AD359" i="13"/>
  <c r="AD140" i="13"/>
  <c r="AD164" i="13"/>
  <c r="AD328" i="13"/>
  <c r="AD293" i="13"/>
  <c r="AD82" i="13"/>
  <c r="AD42" i="13"/>
  <c r="AD297" i="13"/>
  <c r="AD174" i="13"/>
  <c r="AD86" i="13"/>
  <c r="AD252" i="13"/>
  <c r="AD265" i="13"/>
  <c r="AD225" i="13"/>
  <c r="AD23" i="13"/>
  <c r="AD278" i="13"/>
  <c r="AD321" i="13"/>
  <c r="AD99" i="13"/>
  <c r="AD201" i="13"/>
  <c r="AD194" i="13"/>
  <c r="AD34" i="13"/>
  <c r="AD85" i="13"/>
  <c r="AD236" i="13"/>
  <c r="AD69" i="13"/>
  <c r="AD276" i="13"/>
  <c r="AD28" i="13"/>
  <c r="AD301" i="13"/>
  <c r="AD273" i="13"/>
  <c r="AD159" i="13"/>
  <c r="AD123" i="13"/>
  <c r="AD76" i="13"/>
  <c r="AD186" i="13"/>
  <c r="AD280" i="13"/>
  <c r="AD292" i="13"/>
  <c r="AD165" i="13"/>
  <c r="AD129" i="13"/>
  <c r="AD66" i="13"/>
  <c r="AD240" i="13"/>
  <c r="AD310" i="13"/>
  <c r="AD249" i="13"/>
  <c r="AD153" i="13"/>
  <c r="AD117" i="13"/>
  <c r="AD106" i="13"/>
  <c r="AD200" i="13"/>
  <c r="AD287" i="13"/>
  <c r="AD152" i="13"/>
  <c r="AD92" i="13"/>
  <c r="AD158" i="13"/>
  <c r="AD303" i="13"/>
  <c r="AD146" i="13"/>
  <c r="AD243" i="13"/>
  <c r="AD226" i="13"/>
  <c r="AD254" i="13"/>
  <c r="AD48" i="13"/>
  <c r="AD285" i="13"/>
  <c r="AD223" i="13"/>
  <c r="AD75" i="13"/>
  <c r="AD352" i="13"/>
  <c r="AD73" i="13"/>
  <c r="AD14" i="13"/>
  <c r="AD271" i="13"/>
  <c r="AD116" i="13"/>
  <c r="AD339" i="13"/>
  <c r="AD189" i="13"/>
  <c r="AD122" i="13"/>
  <c r="AD195" i="13"/>
  <c r="AD57" i="13"/>
  <c r="AD171" i="13"/>
  <c r="AD29" i="13"/>
  <c r="AD88" i="13"/>
  <c r="AD183" i="13"/>
  <c r="AD350" i="13"/>
  <c r="AD22" i="13"/>
  <c r="I35" i="31"/>
  <c r="I37" i="31" s="1"/>
  <c r="D32" i="31"/>
  <c r="D31" i="31"/>
  <c r="D30" i="31"/>
  <c r="D25" i="31"/>
  <c r="D23" i="31"/>
  <c r="D22" i="31"/>
  <c r="D21" i="31"/>
  <c r="D38" i="31"/>
  <c r="K33" i="31"/>
  <c r="M29" i="31"/>
  <c r="Q24" i="31"/>
  <c r="Q26" i="31" s="1"/>
  <c r="O26" i="31"/>
  <c r="E40" i="31"/>
  <c r="E39" i="31"/>
  <c r="Q13" i="31"/>
  <c r="Q18" i="31" s="1"/>
  <c r="O18" i="31"/>
  <c r="E41" i="31"/>
  <c r="AG348" i="13" l="1"/>
  <c r="AG60" i="13"/>
  <c r="AG61" i="13"/>
  <c r="E15" i="38"/>
  <c r="E18" i="38"/>
  <c r="AG58" i="13"/>
  <c r="AG18" i="13"/>
  <c r="E10" i="32"/>
  <c r="G14" i="32"/>
  <c r="H14" i="32" s="1"/>
  <c r="G21" i="32"/>
  <c r="H21" i="32" s="1"/>
  <c r="AG19" i="13"/>
  <c r="AG59" i="13"/>
  <c r="AG37" i="13"/>
  <c r="AG285" i="13"/>
  <c r="AG300" i="13"/>
  <c r="AG57" i="13"/>
  <c r="AG181" i="13"/>
  <c r="AG271" i="13"/>
  <c r="AG67" i="13"/>
  <c r="AG223" i="13"/>
  <c r="AG30" i="13"/>
  <c r="AG172" i="13"/>
  <c r="AG13" i="13"/>
  <c r="AG85" i="13"/>
  <c r="AG56" i="13"/>
  <c r="AG148" i="13"/>
  <c r="AG191" i="13"/>
  <c r="AG186" i="13"/>
  <c r="AG44" i="13"/>
  <c r="G18" i="32"/>
  <c r="H18" i="32" s="1"/>
  <c r="G19" i="32"/>
  <c r="H19" i="32" s="1"/>
  <c r="G13" i="32"/>
  <c r="H13" i="32" s="1"/>
  <c r="G16" i="32"/>
  <c r="H16" i="32" s="1"/>
  <c r="AG339" i="13"/>
  <c r="AG210" i="13"/>
  <c r="AG16" i="13"/>
  <c r="AG232" i="13"/>
  <c r="AG342" i="13"/>
  <c r="AG244" i="13"/>
  <c r="AG43" i="13"/>
  <c r="AG124" i="13"/>
  <c r="AG142" i="13"/>
  <c r="AG27" i="13"/>
  <c r="AG266" i="13"/>
  <c r="AG97" i="13"/>
  <c r="AG180" i="13"/>
  <c r="AG185" i="13"/>
  <c r="AG196" i="13"/>
  <c r="AG215" i="13"/>
  <c r="AG277" i="13"/>
  <c r="AG292" i="13"/>
  <c r="AG302" i="13"/>
  <c r="AG79" i="13"/>
  <c r="AG121" i="13"/>
  <c r="AG65" i="13"/>
  <c r="AG335" i="13"/>
  <c r="AG20" i="13"/>
  <c r="AG183" i="13"/>
  <c r="AG194" i="13"/>
  <c r="AG81" i="13"/>
  <c r="AG345" i="13"/>
  <c r="AG108" i="13"/>
  <c r="AG333" i="13"/>
  <c r="AG265" i="13"/>
  <c r="AG135" i="13"/>
  <c r="AG155" i="13"/>
  <c r="AG282" i="13"/>
  <c r="AG166" i="13"/>
  <c r="AG190" i="13"/>
  <c r="AG336" i="13"/>
  <c r="AG247" i="13"/>
  <c r="AG68" i="13"/>
  <c r="AG131" i="13"/>
  <c r="AG350" i="13"/>
  <c r="AG349" i="13"/>
  <c r="AG48" i="13"/>
  <c r="AG64" i="13"/>
  <c r="AG21" i="13"/>
  <c r="AG216" i="13"/>
  <c r="AG134" i="13"/>
  <c r="AG76" i="13"/>
  <c r="AG116" i="13"/>
  <c r="AG10" i="13"/>
  <c r="AG314" i="13"/>
  <c r="AG86" i="13"/>
  <c r="AG78" i="13"/>
  <c r="AG145" i="13"/>
  <c r="AG268" i="13"/>
  <c r="AG129" i="13"/>
  <c r="AG214" i="13"/>
  <c r="AG323" i="13"/>
  <c r="AG96" i="13"/>
  <c r="AG264" i="13"/>
  <c r="AG144" i="13"/>
  <c r="AG88" i="13"/>
  <c r="AG226" i="13"/>
  <c r="AG201" i="13"/>
  <c r="AG274" i="13"/>
  <c r="AG311" i="13"/>
  <c r="AG192" i="13"/>
  <c r="AG8" i="13"/>
  <c r="AG95" i="13"/>
  <c r="AG233" i="13"/>
  <c r="AG279" i="13"/>
  <c r="AG259" i="13"/>
  <c r="AG299" i="13"/>
  <c r="AG119" i="13"/>
  <c r="AG225" i="13"/>
  <c r="AG249" i="13"/>
  <c r="AG140" i="13"/>
  <c r="AG91" i="13"/>
  <c r="AG102" i="13"/>
  <c r="AG170" i="13"/>
  <c r="AG7" i="13"/>
  <c r="AG25" i="13"/>
  <c r="AG77" i="13"/>
  <c r="AG280" i="13"/>
  <c r="AG82" i="13"/>
  <c r="AG150" i="13"/>
  <c r="AG90" i="13"/>
  <c r="AG11" i="13"/>
  <c r="AG253" i="13"/>
  <c r="AG193" i="13"/>
  <c r="AG139" i="13"/>
  <c r="AG307" i="13"/>
  <c r="AG240" i="13"/>
  <c r="AG347" i="13"/>
  <c r="AG154" i="13"/>
  <c r="AG66" i="13"/>
  <c r="AG87" i="13"/>
  <c r="AG229" i="13"/>
  <c r="AG51" i="13"/>
  <c r="AG363" i="13"/>
  <c r="AG113" i="13"/>
  <c r="AG283" i="13"/>
  <c r="AG38" i="13"/>
  <c r="AG301" i="13"/>
  <c r="AG297" i="13"/>
  <c r="AG105" i="13"/>
  <c r="AG73" i="13"/>
  <c r="AG321" i="13"/>
  <c r="AG257" i="13"/>
  <c r="AG278" i="13"/>
  <c r="AG222" i="13"/>
  <c r="AG36" i="13"/>
  <c r="AG162" i="13"/>
  <c r="AG284" i="13"/>
  <c r="AG161" i="13"/>
  <c r="AG310" i="13"/>
  <c r="AG159" i="13"/>
  <c r="AG167" i="13"/>
  <c r="AG353" i="13"/>
  <c r="AG107" i="13"/>
  <c r="AG62" i="13"/>
  <c r="AG262" i="13"/>
  <c r="AG243" i="13"/>
  <c r="AG261" i="13"/>
  <c r="AG309" i="13"/>
  <c r="AG171" i="13"/>
  <c r="AG28" i="13"/>
  <c r="AG42" i="13"/>
  <c r="AG237" i="13"/>
  <c r="AG184" i="13"/>
  <c r="AG263" i="13"/>
  <c r="AG281" i="13"/>
  <c r="AG256" i="13"/>
  <c r="AG352" i="13"/>
  <c r="AG276" i="13"/>
  <c r="AG341" i="13"/>
  <c r="AG15" i="13"/>
  <c r="AG209" i="13"/>
  <c r="AG138" i="13"/>
  <c r="AG149" i="13"/>
  <c r="AG173" i="13"/>
  <c r="AG175" i="13"/>
  <c r="AG251" i="13"/>
  <c r="AG195" i="13"/>
  <c r="AG41" i="13"/>
  <c r="AG337" i="13"/>
  <c r="AG239" i="13"/>
  <c r="AG230" i="13"/>
  <c r="AG115" i="13"/>
  <c r="AG344" i="13"/>
  <c r="AG317" i="13"/>
  <c r="AG122" i="13"/>
  <c r="AG106" i="13"/>
  <c r="AG69" i="13"/>
  <c r="AG328" i="13"/>
  <c r="AG100" i="13"/>
  <c r="AG94" i="13"/>
  <c r="AG101" i="13"/>
  <c r="AG120" i="13"/>
  <c r="AG168" i="13"/>
  <c r="AG197" i="13"/>
  <c r="AG202" i="13"/>
  <c r="AG117" i="13"/>
  <c r="AG236" i="13"/>
  <c r="AG23" i="13"/>
  <c r="AG164" i="13"/>
  <c r="AG304" i="13"/>
  <c r="AG255" i="13"/>
  <c r="AG356" i="13"/>
  <c r="AG147" i="13"/>
  <c r="AG31" i="13"/>
  <c r="AG114" i="13"/>
  <c r="AG329" i="13"/>
  <c r="AG12" i="13"/>
  <c r="AG103" i="13"/>
  <c r="AG221" i="13"/>
  <c r="AG355" i="13"/>
  <c r="AG132" i="13"/>
  <c r="AG234" i="13"/>
  <c r="AG35" i="13"/>
  <c r="AG40" i="13"/>
  <c r="AG188" i="13"/>
  <c r="AG158" i="13"/>
  <c r="AG298" i="13"/>
  <c r="AG351" i="13"/>
  <c r="AG269" i="13"/>
  <c r="AG54" i="13"/>
  <c r="AG308" i="13"/>
  <c r="AG112" i="13"/>
  <c r="AG327" i="13"/>
  <c r="AG260" i="13"/>
  <c r="AG200" i="13"/>
  <c r="AG177" i="13"/>
  <c r="AG296" i="13"/>
  <c r="AG275" i="13"/>
  <c r="AG160" i="13"/>
  <c r="AG241" i="13"/>
  <c r="AG45" i="13"/>
  <c r="AG326" i="13"/>
  <c r="AG70" i="13"/>
  <c r="AG137" i="13"/>
  <c r="AG156" i="13"/>
  <c r="AG71" i="13"/>
  <c r="E35" i="24"/>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9" i="32"/>
  <c r="E13" i="38"/>
  <c r="E30" i="24"/>
  <c r="E22" i="24"/>
  <c r="E14" i="24"/>
  <c r="E14" i="38"/>
  <c r="E29" i="24"/>
  <c r="E21" i="24"/>
  <c r="E13" i="24"/>
  <c r="E13" i="22"/>
  <c r="E16" i="38"/>
  <c r="E36" i="24"/>
  <c r="E28" i="24"/>
  <c r="E20" i="24"/>
  <c r="E12" i="24"/>
  <c r="E19" i="22"/>
  <c r="E12" i="22"/>
  <c r="E17" i="38"/>
  <c r="AG14" i="13"/>
  <c r="AG146" i="13"/>
  <c r="AG213" i="13"/>
  <c r="AG93" i="13"/>
  <c r="AG354" i="13"/>
  <c r="AG324" i="13"/>
  <c r="AG295" i="13"/>
  <c r="AG334" i="13"/>
  <c r="AG204" i="13"/>
  <c r="AG189" i="13"/>
  <c r="AG34" i="13"/>
  <c r="AG290" i="13"/>
  <c r="AG128" i="13"/>
  <c r="AG322" i="13"/>
  <c r="AG358" i="13"/>
  <c r="AG343" i="13"/>
  <c r="AG157" i="13"/>
  <c r="AG84" i="13"/>
  <c r="AG118" i="13"/>
  <c r="AG205" i="13"/>
  <c r="AG267" i="13"/>
  <c r="AG127" i="13"/>
  <c r="AG313" i="13"/>
  <c r="I39" i="31"/>
  <c r="I38" i="31"/>
  <c r="I40" i="31"/>
  <c r="AG165" i="13"/>
  <c r="AG123" i="13"/>
  <c r="AG252" i="13"/>
  <c r="AG111" i="13"/>
  <c r="AG306" i="13"/>
  <c r="AG291" i="13"/>
  <c r="AG357" i="13"/>
  <c r="AG318" i="13"/>
  <c r="AG288" i="13"/>
  <c r="AG346" i="13"/>
  <c r="I41" i="31"/>
  <c r="AG104" i="13"/>
  <c r="AG178" i="13"/>
  <c r="AG294" i="13"/>
  <c r="AG289" i="13"/>
  <c r="AG32" i="13"/>
  <c r="AG199" i="13"/>
  <c r="AG109" i="13"/>
  <c r="AG50" i="13"/>
  <c r="AG6" i="13"/>
  <c r="AG46" i="13"/>
  <c r="AG287" i="13"/>
  <c r="AG360" i="13"/>
  <c r="AG208" i="13"/>
  <c r="AG207" i="13"/>
  <c r="AG305" i="13"/>
  <c r="AG330" i="13"/>
  <c r="AG206" i="13"/>
  <c r="AG126" i="13"/>
  <c r="AG246" i="13"/>
  <c r="AG53" i="13"/>
  <c r="AG219" i="13"/>
  <c r="AG198" i="13"/>
  <c r="AG39" i="13"/>
  <c r="AG55" i="13"/>
  <c r="AG338" i="13"/>
  <c r="AG163" i="13"/>
  <c r="AG151" i="13"/>
  <c r="AG220" i="13"/>
  <c r="AG75" i="13"/>
  <c r="AG92" i="13"/>
  <c r="AG293" i="13"/>
  <c r="AG141" i="13"/>
  <c r="AG250" i="13"/>
  <c r="AG133" i="13"/>
  <c r="AG286" i="13"/>
  <c r="AG80" i="13"/>
  <c r="AG235" i="13"/>
  <c r="AG245" i="13"/>
  <c r="K35" i="31"/>
  <c r="AG29" i="13"/>
  <c r="AG99" i="13"/>
  <c r="AG315" i="13"/>
  <c r="AG316" i="13"/>
  <c r="AG52" i="13"/>
  <c r="AG203" i="13"/>
  <c r="AG238" i="13"/>
  <c r="AG72" i="13"/>
  <c r="AG63" i="13"/>
  <c r="AG179" i="13"/>
  <c r="AG182" i="13"/>
  <c r="AG176" i="13"/>
  <c r="AG130" i="13"/>
  <c r="AG248" i="13"/>
  <c r="AG74" i="13"/>
  <c r="AG110" i="13"/>
  <c r="G17" i="32"/>
  <c r="H17" i="32" s="1"/>
  <c r="AG9" i="13"/>
  <c r="AG22" i="13"/>
  <c r="AG153" i="13"/>
  <c r="AG273" i="13"/>
  <c r="AG312" i="13"/>
  <c r="AG319" i="13"/>
  <c r="AG227" i="13"/>
  <c r="AG89" i="13"/>
  <c r="AG224" i="13"/>
  <c r="AG228" i="13"/>
  <c r="G15" i="32"/>
  <c r="H15" i="32" s="1"/>
  <c r="AG174" i="13"/>
  <c r="AG340" i="13"/>
  <c r="AG361" i="13"/>
  <c r="AG211" i="13"/>
  <c r="AG49" i="13"/>
  <c r="AG187" i="13"/>
  <c r="AG136" i="13"/>
  <c r="AG242" i="13"/>
  <c r="AG26" i="13"/>
  <c r="AG325" i="13"/>
  <c r="AG332" i="13"/>
  <c r="AG258" i="13"/>
  <c r="AG152" i="13"/>
  <c r="AG359" i="13"/>
  <c r="AG212" i="13"/>
  <c r="AG169" i="13"/>
  <c r="AG33" i="13"/>
  <c r="AG362" i="13"/>
  <c r="AG125" i="13"/>
  <c r="AG47" i="13"/>
  <c r="AG320" i="13"/>
  <c r="AG217" i="13"/>
  <c r="AG270" i="13"/>
  <c r="AG254" i="13"/>
  <c r="AG303" i="13"/>
  <c r="AG272" i="13"/>
  <c r="AG83" i="13"/>
  <c r="AG24" i="13"/>
  <c r="AG17" i="13"/>
  <c r="AG143" i="13"/>
  <c r="AG231" i="13"/>
  <c r="AG218" i="13"/>
  <c r="AG98" i="13"/>
  <c r="AG331" i="13"/>
  <c r="O29" i="31"/>
  <c r="M33" i="31"/>
  <c r="E38" i="31"/>
  <c r="E12" i="19" l="1"/>
  <c r="F12" i="19" s="1"/>
  <c r="E13" i="19"/>
  <c r="F13" i="19" s="1"/>
  <c r="E10" i="19"/>
  <c r="F10" i="19" s="1"/>
  <c r="M35" i="31"/>
  <c r="M37" i="31" s="1"/>
  <c r="K37" i="31"/>
  <c r="F10" i="32" s="1"/>
  <c r="Q29" i="31"/>
  <c r="Q33" i="31" s="1"/>
  <c r="O33" i="31"/>
  <c r="G10" i="32" l="1"/>
  <c r="F18" i="38"/>
  <c r="G18" i="38" s="1"/>
  <c r="F10" i="22"/>
  <c r="G10" i="22" s="1"/>
  <c r="F15" i="38"/>
  <c r="G15" i="38" s="1"/>
  <c r="F23" i="24"/>
  <c r="G23" i="24" s="1"/>
  <c r="F11" i="22"/>
  <c r="G11" i="22" s="1"/>
  <c r="F14" i="24"/>
  <c r="G14" i="24" s="1"/>
  <c r="F15" i="24"/>
  <c r="G15" i="24" s="1"/>
  <c r="F14" i="22"/>
  <c r="G14" i="22" s="1"/>
  <c r="F17" i="22"/>
  <c r="G17" i="22" s="1"/>
  <c r="F9" i="32"/>
  <c r="G9" i="32" s="1"/>
  <c r="F9" i="38"/>
  <c r="G9" i="38" s="1"/>
  <c r="F10" i="38"/>
  <c r="G10" i="38" s="1"/>
  <c r="F11" i="38"/>
  <c r="G11" i="38" s="1"/>
  <c r="F12" i="38"/>
  <c r="G12" i="38" s="1"/>
  <c r="F13" i="38"/>
  <c r="G13" i="38" s="1"/>
  <c r="F14" i="38"/>
  <c r="G14" i="38"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Q35" i="31"/>
  <c r="G25" i="22"/>
  <c r="D25" i="22"/>
  <c r="E5" i="13"/>
  <c r="E6" i="13"/>
  <c r="E7" i="13"/>
  <c r="E8" i="13"/>
  <c r="E9" i="13"/>
  <c r="E10" i="13"/>
  <c r="E11" i="13"/>
  <c r="E12" i="13"/>
  <c r="E13" i="13"/>
  <c r="E14" i="13"/>
  <c r="E15" i="13"/>
  <c r="E16" i="13"/>
  <c r="E17" i="13"/>
  <c r="E20" i="13"/>
  <c r="E21" i="13"/>
  <c r="E22" i="13"/>
  <c r="E23" i="13"/>
  <c r="E24" i="13"/>
  <c r="E25" i="13"/>
  <c r="E26" i="13"/>
  <c r="E27" i="13"/>
  <c r="E28" i="13"/>
  <c r="E29" i="13"/>
  <c r="E30" i="13"/>
  <c r="E31" i="13"/>
  <c r="E32" i="13"/>
  <c r="E33" i="13"/>
  <c r="E34" i="13"/>
  <c r="E35" i="13"/>
  <c r="E36" i="13"/>
  <c r="E38" i="13"/>
  <c r="E39" i="13"/>
  <c r="E40" i="13"/>
  <c r="E41" i="13"/>
  <c r="E42" i="13"/>
  <c r="E43" i="13"/>
  <c r="E44" i="13"/>
  <c r="E45" i="13"/>
  <c r="E46" i="13"/>
  <c r="E47" i="13"/>
  <c r="E48" i="13"/>
  <c r="E49" i="13"/>
  <c r="E50" i="13"/>
  <c r="E51" i="13"/>
  <c r="E52" i="13"/>
  <c r="E53" i="13"/>
  <c r="E54" i="13"/>
  <c r="E55" i="13"/>
  <c r="E56" i="13"/>
  <c r="E57"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34" i="13"/>
  <c r="E135" i="13"/>
  <c r="E136" i="13"/>
  <c r="E137" i="13"/>
  <c r="E138" i="13"/>
  <c r="E139" i="13"/>
  <c r="E140" i="13"/>
  <c r="E141" i="13"/>
  <c r="E142" i="13"/>
  <c r="E143" i="13"/>
  <c r="E144" i="13"/>
  <c r="E171" i="13"/>
  <c r="E172" i="13"/>
  <c r="E173" i="13"/>
  <c r="E174" i="13"/>
  <c r="E175" i="13"/>
  <c r="E176" i="13"/>
  <c r="E177" i="13"/>
  <c r="E178" i="13"/>
  <c r="E179" i="13"/>
  <c r="E180" i="13"/>
  <c r="E181" i="13"/>
  <c r="E199" i="13"/>
  <c r="E200" i="13"/>
  <c r="E201" i="13"/>
  <c r="E202" i="13"/>
  <c r="E203" i="13"/>
  <c r="E204" i="13"/>
  <c r="E205" i="13"/>
  <c r="E206" i="13"/>
  <c r="E207" i="13"/>
  <c r="E208" i="13"/>
  <c r="E209" i="13"/>
  <c r="E210" i="13"/>
  <c r="E211" i="13"/>
  <c r="E212" i="13"/>
  <c r="E228" i="13"/>
  <c r="E229" i="13"/>
  <c r="E230" i="13"/>
  <c r="E231" i="13"/>
  <c r="E232" i="13"/>
  <c r="E233" i="13"/>
  <c r="E234" i="13"/>
  <c r="D5" i="13"/>
  <c r="D6" i="13"/>
  <c r="D7" i="13"/>
  <c r="D8" i="13"/>
  <c r="D9" i="13"/>
  <c r="D10" i="13"/>
  <c r="D11" i="13"/>
  <c r="D12" i="13"/>
  <c r="D13" i="13"/>
  <c r="D14" i="13"/>
  <c r="D15" i="13"/>
  <c r="D16" i="13"/>
  <c r="D17" i="13"/>
  <c r="D20" i="13"/>
  <c r="D21" i="13"/>
  <c r="D22" i="13"/>
  <c r="D23" i="13"/>
  <c r="D24" i="13"/>
  <c r="D25" i="13"/>
  <c r="D26" i="13"/>
  <c r="D27" i="13"/>
  <c r="D28" i="13"/>
  <c r="D29" i="13"/>
  <c r="D30" i="13"/>
  <c r="D31" i="13"/>
  <c r="D32" i="13"/>
  <c r="D33" i="13"/>
  <c r="D34" i="13"/>
  <c r="D35" i="13"/>
  <c r="D36" i="13"/>
  <c r="D38" i="13"/>
  <c r="D39" i="13"/>
  <c r="D40" i="13"/>
  <c r="D41" i="13"/>
  <c r="D42" i="13"/>
  <c r="D43" i="13"/>
  <c r="D44" i="13"/>
  <c r="D45" i="13"/>
  <c r="D46" i="13"/>
  <c r="D47" i="13"/>
  <c r="D48" i="13"/>
  <c r="D49" i="13"/>
  <c r="D50" i="13"/>
  <c r="D51" i="13"/>
  <c r="D52" i="13"/>
  <c r="D53" i="13"/>
  <c r="D54" i="13"/>
  <c r="D55" i="13"/>
  <c r="D56" i="13"/>
  <c r="D57"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34" i="13"/>
  <c r="D135" i="13"/>
  <c r="D136" i="13"/>
  <c r="D137" i="13"/>
  <c r="D138" i="13"/>
  <c r="D139" i="13"/>
  <c r="D140" i="13"/>
  <c r="D141" i="13"/>
  <c r="D142" i="13"/>
  <c r="D143" i="13"/>
  <c r="D144" i="13"/>
  <c r="D171" i="13"/>
  <c r="D172" i="13"/>
  <c r="D173" i="13"/>
  <c r="D174" i="13"/>
  <c r="D175" i="13"/>
  <c r="D176" i="13"/>
  <c r="D177" i="13"/>
  <c r="D178" i="13"/>
  <c r="D179" i="13"/>
  <c r="D180" i="13"/>
  <c r="D181" i="13"/>
  <c r="D199" i="13"/>
  <c r="D200" i="13"/>
  <c r="D201" i="13"/>
  <c r="D202" i="13"/>
  <c r="D203" i="13"/>
  <c r="D204" i="13"/>
  <c r="D205" i="13"/>
  <c r="D206" i="13"/>
  <c r="D207" i="13"/>
  <c r="D208" i="13"/>
  <c r="D209" i="13"/>
  <c r="D210" i="13"/>
  <c r="D211" i="13"/>
  <c r="D212" i="13"/>
  <c r="D228" i="13"/>
  <c r="D229" i="13"/>
  <c r="D230" i="13"/>
  <c r="D231" i="13"/>
  <c r="D232" i="13"/>
  <c r="D233" i="13"/>
  <c r="D234" i="13"/>
  <c r="C5" i="13"/>
  <c r="C6" i="13"/>
  <c r="C7" i="13"/>
  <c r="C8" i="13"/>
  <c r="C9" i="13"/>
  <c r="C10" i="13"/>
  <c r="C11" i="13"/>
  <c r="C12" i="13"/>
  <c r="C13" i="13"/>
  <c r="C14" i="13"/>
  <c r="C15" i="13"/>
  <c r="C16" i="13"/>
  <c r="C17" i="13"/>
  <c r="C20" i="13"/>
  <c r="C21" i="13"/>
  <c r="C22" i="13"/>
  <c r="C23" i="13"/>
  <c r="C24" i="13"/>
  <c r="C25" i="13"/>
  <c r="C26" i="13"/>
  <c r="C27" i="13"/>
  <c r="C28" i="13"/>
  <c r="C29" i="13"/>
  <c r="C30" i="13"/>
  <c r="C31" i="13"/>
  <c r="C32" i="13"/>
  <c r="C33" i="13"/>
  <c r="C34" i="13"/>
  <c r="C35" i="13"/>
  <c r="C36" i="13"/>
  <c r="C38" i="13"/>
  <c r="C39" i="13"/>
  <c r="C40" i="13"/>
  <c r="C41" i="13"/>
  <c r="C42" i="13"/>
  <c r="C43" i="13"/>
  <c r="C44" i="13"/>
  <c r="C45" i="13"/>
  <c r="C46" i="13"/>
  <c r="C47" i="13"/>
  <c r="C48" i="13"/>
  <c r="C49" i="13"/>
  <c r="C50" i="13"/>
  <c r="C51" i="13"/>
  <c r="C52" i="13"/>
  <c r="C53" i="13"/>
  <c r="C54" i="13"/>
  <c r="C55" i="13"/>
  <c r="C56" i="13"/>
  <c r="C57"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34" i="13"/>
  <c r="C135" i="13"/>
  <c r="C136" i="13"/>
  <c r="C137" i="13"/>
  <c r="C138" i="13"/>
  <c r="C139" i="13"/>
  <c r="C140" i="13"/>
  <c r="C141" i="13"/>
  <c r="C142" i="13"/>
  <c r="C143" i="13"/>
  <c r="C144" i="13"/>
  <c r="C171" i="13"/>
  <c r="C172" i="13"/>
  <c r="C173" i="13"/>
  <c r="C174" i="13"/>
  <c r="C175" i="13"/>
  <c r="C176" i="13"/>
  <c r="C177" i="13"/>
  <c r="C178" i="13"/>
  <c r="C179" i="13"/>
  <c r="C180" i="13"/>
  <c r="C181" i="13"/>
  <c r="C199" i="13"/>
  <c r="C200" i="13"/>
  <c r="C201" i="13"/>
  <c r="C202" i="13"/>
  <c r="C203" i="13"/>
  <c r="C204" i="13"/>
  <c r="C205" i="13"/>
  <c r="C206" i="13"/>
  <c r="C207" i="13"/>
  <c r="C208" i="13"/>
  <c r="C209" i="13"/>
  <c r="C210" i="13"/>
  <c r="C211" i="13"/>
  <c r="C212" i="13"/>
  <c r="C228" i="13"/>
  <c r="C229" i="13"/>
  <c r="C230" i="13"/>
  <c r="C231" i="13"/>
  <c r="C232" i="13"/>
  <c r="C233" i="13"/>
  <c r="C234" i="13"/>
  <c r="D26" i="22"/>
  <c r="D24" i="22"/>
  <c r="D23" i="22"/>
  <c r="D22" i="22"/>
  <c r="H10" i="32" l="1"/>
  <c r="H18" i="38"/>
  <c r="H10" i="22"/>
  <c r="H15" i="38"/>
  <c r="H22" i="24"/>
  <c r="O39" i="31"/>
  <c r="H17" i="24"/>
  <c r="H12" i="22"/>
  <c r="H10" i="24"/>
  <c r="H25" i="24"/>
  <c r="H26" i="24"/>
  <c r="H24" i="24"/>
  <c r="H19" i="22"/>
  <c r="H13" i="24"/>
  <c r="H18" i="24"/>
  <c r="H32" i="24"/>
  <c r="H33" i="24"/>
  <c r="H30" i="24"/>
  <c r="H15" i="22"/>
  <c r="H12" i="24"/>
  <c r="Q37" i="31"/>
  <c r="H13" i="22"/>
  <c r="I13" i="22" s="1"/>
  <c r="H11" i="24"/>
  <c r="I11" i="24" s="1"/>
  <c r="H15" i="24"/>
  <c r="I15" i="24" s="1"/>
  <c r="O38" i="31"/>
  <c r="H14" i="24"/>
  <c r="H20" i="24"/>
  <c r="H19" i="24"/>
  <c r="H21" i="24"/>
  <c r="H16" i="24"/>
  <c r="H34" i="24"/>
  <c r="H31" i="24"/>
  <c r="H36" i="24"/>
  <c r="H29" i="24"/>
  <c r="I29" i="24" s="1"/>
  <c r="H17" i="22"/>
  <c r="I17" i="22" s="1"/>
  <c r="H9" i="32"/>
  <c r="I9" i="32" s="1"/>
  <c r="H9" i="38"/>
  <c r="H10" i="38"/>
  <c r="H11" i="38"/>
  <c r="H12" i="38"/>
  <c r="H13" i="38"/>
  <c r="H14" i="38"/>
  <c r="H16" i="38"/>
  <c r="H17" i="38"/>
  <c r="H18" i="22"/>
  <c r="O41" i="31"/>
  <c r="Q41" i="31" s="1"/>
  <c r="H9" i="24"/>
  <c r="I9" i="24" s="1"/>
  <c r="H16" i="22"/>
  <c r="I16" i="22" s="1"/>
  <c r="H14" i="22"/>
  <c r="O40" i="31"/>
  <c r="H27" i="24"/>
  <c r="H35" i="24"/>
  <c r="H28" i="24"/>
  <c r="H11" i="22"/>
  <c r="H9" i="22"/>
  <c r="H23" i="24"/>
  <c r="H25" i="22"/>
  <c r="I10" i="32" l="1"/>
  <c r="I13" i="38"/>
  <c r="I12" i="38"/>
  <c r="I27" i="24"/>
  <c r="Q40" i="31"/>
  <c r="I14" i="24"/>
  <c r="I18" i="38"/>
  <c r="I14" i="22"/>
  <c r="Q38" i="31"/>
  <c r="I19" i="22"/>
  <c r="I10" i="22"/>
  <c r="I24" i="24"/>
  <c r="I36" i="24"/>
  <c r="I11" i="22"/>
  <c r="I11" i="38"/>
  <c r="I31" i="24"/>
  <c r="I18" i="22"/>
  <c r="I17" i="38"/>
  <c r="I10" i="24"/>
  <c r="I12" i="22"/>
  <c r="I34" i="24"/>
  <c r="I9" i="22"/>
  <c r="I15" i="22"/>
  <c r="I10" i="38"/>
  <c r="I16" i="24"/>
  <c r="I30" i="24"/>
  <c r="I28" i="24"/>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D234" i="13" l="1"/>
  <c r="BD233" i="13"/>
  <c r="BD232" i="13"/>
  <c r="BD231" i="13"/>
  <c r="BD230" i="13"/>
  <c r="BD229" i="13"/>
  <c r="BD228" i="13"/>
  <c r="BD212" i="13"/>
  <c r="BD211" i="13"/>
  <c r="BD210" i="13"/>
  <c r="BD209" i="13"/>
  <c r="BD208" i="13"/>
  <c r="BD207" i="13"/>
  <c r="BD206" i="13"/>
  <c r="BD205" i="13"/>
  <c r="BD204" i="13"/>
  <c r="BD203" i="13"/>
  <c r="BD202" i="13"/>
  <c r="BD201" i="13"/>
  <c r="BD200" i="13"/>
  <c r="BD199" i="13"/>
  <c r="BD181" i="13"/>
  <c r="BD180" i="13"/>
  <c r="BD179" i="13"/>
  <c r="BD178" i="13"/>
  <c r="BD177" i="13"/>
  <c r="BD176" i="13"/>
  <c r="BD175" i="13"/>
  <c r="BD174" i="13"/>
  <c r="BD173" i="13"/>
  <c r="BD172" i="13"/>
  <c r="BD171" i="13"/>
  <c r="BD144" i="13"/>
  <c r="BD143" i="13"/>
  <c r="BD142" i="13"/>
  <c r="BD141" i="13"/>
  <c r="BD140" i="13"/>
  <c r="BD139" i="13"/>
  <c r="BD138" i="13"/>
  <c r="BD137" i="13"/>
  <c r="BD136" i="13"/>
  <c r="BD135" i="13"/>
  <c r="BD134" i="13"/>
  <c r="BD125" i="13"/>
  <c r="BD124" i="13"/>
  <c r="BD123" i="13"/>
  <c r="BD122" i="13"/>
  <c r="BD121" i="13"/>
  <c r="BD120" i="13"/>
  <c r="BD119" i="13"/>
  <c r="BD118" i="13"/>
  <c r="BD117" i="13"/>
  <c r="BD116" i="13"/>
  <c r="BD115" i="13"/>
  <c r="BD114" i="13"/>
  <c r="BD113" i="13"/>
  <c r="BD112" i="13"/>
  <c r="BD111" i="13"/>
  <c r="BD110" i="13"/>
  <c r="BD109" i="13"/>
  <c r="BD108" i="13"/>
  <c r="BD107" i="13"/>
  <c r="BD106" i="13"/>
  <c r="BD105" i="13"/>
  <c r="BD104" i="13"/>
  <c r="BD103" i="13"/>
  <c r="BD102" i="13"/>
  <c r="BD101" i="13"/>
  <c r="BD100" i="13"/>
  <c r="BD99" i="13"/>
  <c r="BD98" i="13"/>
  <c r="BD97" i="13"/>
  <c r="BD96" i="13"/>
  <c r="BD95" i="13"/>
  <c r="BD94" i="13"/>
  <c r="BD93" i="13"/>
  <c r="BD92" i="13"/>
  <c r="BD91" i="13"/>
  <c r="BD90" i="13"/>
  <c r="BD89" i="13"/>
  <c r="BD88" i="13"/>
  <c r="BD87" i="13"/>
  <c r="BD86" i="13"/>
  <c r="BD85" i="13"/>
  <c r="BD84" i="13"/>
  <c r="BD83" i="13"/>
  <c r="BD82" i="13"/>
  <c r="BD81" i="13"/>
  <c r="BD80" i="13"/>
  <c r="BD79" i="13"/>
  <c r="BD78" i="13"/>
  <c r="BD77" i="13"/>
  <c r="BD76" i="13"/>
  <c r="BD75" i="13"/>
  <c r="BD74" i="13"/>
  <c r="BD73" i="13"/>
  <c r="BD72" i="13"/>
  <c r="BD71" i="13"/>
  <c r="BD70" i="13"/>
  <c r="BD69" i="13"/>
  <c r="BD68" i="13"/>
  <c r="BD67" i="13"/>
  <c r="BD66" i="13"/>
  <c r="BD65" i="13"/>
  <c r="BD64" i="13"/>
  <c r="BD63" i="13"/>
  <c r="BD62" i="13"/>
  <c r="BD57" i="13"/>
  <c r="BD56" i="13"/>
  <c r="BD55" i="13"/>
  <c r="BD54" i="13"/>
  <c r="BD53" i="13"/>
  <c r="BD52" i="13"/>
  <c r="BD51" i="13"/>
  <c r="BD50" i="13"/>
  <c r="BD49" i="13"/>
  <c r="BD48" i="13"/>
  <c r="BD47" i="13"/>
  <c r="BD46" i="13"/>
  <c r="BD45" i="13"/>
  <c r="BD44" i="13"/>
  <c r="BD43" i="13"/>
  <c r="BD42" i="13"/>
  <c r="BD41" i="13"/>
  <c r="BD40" i="13"/>
  <c r="BD39" i="13"/>
  <c r="BD38" i="13"/>
  <c r="BD36" i="13"/>
  <c r="BD35" i="13"/>
  <c r="BD34" i="13"/>
  <c r="BD33" i="13"/>
  <c r="BD32" i="13"/>
  <c r="BD31" i="13"/>
  <c r="BD30" i="13"/>
  <c r="BD29" i="13"/>
  <c r="BD28" i="13"/>
  <c r="BD27" i="13"/>
  <c r="BD26" i="13"/>
  <c r="BD25" i="13"/>
  <c r="BD24" i="13"/>
  <c r="BD23" i="13"/>
  <c r="BD22" i="13"/>
  <c r="BD21" i="13"/>
  <c r="BD20" i="13"/>
  <c r="BD17" i="13"/>
  <c r="BD16" i="13"/>
  <c r="BD15" i="13"/>
  <c r="BD14" i="13"/>
  <c r="BD13" i="13"/>
  <c r="BD12" i="13"/>
  <c r="BD11" i="13"/>
  <c r="BD10" i="13"/>
  <c r="BD9" i="13"/>
  <c r="BD8" i="13"/>
  <c r="BD7" i="13"/>
  <c r="BD6" i="13"/>
  <c r="BD5" i="13"/>
  <c r="AI234" i="13"/>
  <c r="AI233" i="13"/>
  <c r="AI232" i="13"/>
  <c r="AI231" i="13"/>
  <c r="AI230" i="13"/>
  <c r="AI229" i="13"/>
  <c r="AI228" i="13"/>
  <c r="AI212" i="13"/>
  <c r="AI211" i="13"/>
  <c r="AI210" i="13"/>
  <c r="AI209" i="13"/>
  <c r="AI208" i="13"/>
  <c r="AI207" i="13"/>
  <c r="AI206" i="13"/>
  <c r="AI205" i="13"/>
  <c r="AI204" i="13"/>
  <c r="AI203" i="13"/>
  <c r="AI202" i="13"/>
  <c r="AI201" i="13"/>
  <c r="AI200" i="13"/>
  <c r="AI199" i="13"/>
  <c r="AI181" i="13"/>
  <c r="AI180" i="13"/>
  <c r="AI179" i="13"/>
  <c r="AI178" i="13"/>
  <c r="AI177" i="13"/>
  <c r="AI176" i="13"/>
  <c r="AI175" i="13"/>
  <c r="AI174" i="13"/>
  <c r="AI173" i="13"/>
  <c r="AI172" i="13"/>
  <c r="AI171" i="13"/>
  <c r="AI144" i="13"/>
  <c r="AI143" i="13"/>
  <c r="AI142" i="13"/>
  <c r="AI141" i="13"/>
  <c r="AI140" i="13"/>
  <c r="AI139" i="13"/>
  <c r="AI138" i="13"/>
  <c r="AI137" i="13"/>
  <c r="AI136" i="13"/>
  <c r="AI135" i="13"/>
  <c r="AI134" i="13"/>
  <c r="AI125" i="13"/>
  <c r="AI124" i="13"/>
  <c r="AI123" i="13"/>
  <c r="AI122" i="13"/>
  <c r="AI121" i="13"/>
  <c r="AI120" i="13"/>
  <c r="AI119" i="13"/>
  <c r="AI118" i="13"/>
  <c r="AI117" i="13"/>
  <c r="AI116" i="13"/>
  <c r="AI115" i="13"/>
  <c r="AI114" i="13"/>
  <c r="AI113" i="13"/>
  <c r="AI112" i="13"/>
  <c r="AI111" i="13"/>
  <c r="AI110" i="13"/>
  <c r="AI109" i="13"/>
  <c r="AI108" i="13"/>
  <c r="AI107" i="13"/>
  <c r="AI106" i="13"/>
  <c r="AI105" i="13"/>
  <c r="AI104" i="13"/>
  <c r="AI103" i="13"/>
  <c r="AI102" i="13"/>
  <c r="AI101" i="13"/>
  <c r="AI100" i="13"/>
  <c r="AI99" i="13"/>
  <c r="AI98" i="13"/>
  <c r="AI97" i="13"/>
  <c r="AI96" i="13"/>
  <c r="AI95" i="13"/>
  <c r="AI94" i="13"/>
  <c r="AI93" i="13"/>
  <c r="AI92" i="13"/>
  <c r="AI91" i="13"/>
  <c r="AI90" i="13"/>
  <c r="AI89" i="13"/>
  <c r="AI88" i="13"/>
  <c r="AI87" i="13"/>
  <c r="AI86" i="13"/>
  <c r="AI85" i="13"/>
  <c r="AI84" i="13"/>
  <c r="AI83" i="13"/>
  <c r="AI82" i="13"/>
  <c r="AI81" i="13"/>
  <c r="AI80" i="13"/>
  <c r="AI79" i="13"/>
  <c r="AI78" i="13"/>
  <c r="AI77" i="13"/>
  <c r="AI76" i="13"/>
  <c r="AI75" i="13"/>
  <c r="AI74" i="13"/>
  <c r="AI73" i="13"/>
  <c r="AI72" i="13"/>
  <c r="AI71" i="13"/>
  <c r="AI70" i="13"/>
  <c r="AI69" i="13"/>
  <c r="AI68" i="13"/>
  <c r="AI67" i="13"/>
  <c r="AI66" i="13"/>
  <c r="AI65" i="13"/>
  <c r="AI64" i="13"/>
  <c r="AI63" i="13"/>
  <c r="AI62" i="13"/>
  <c r="AI57" i="13"/>
  <c r="AI56" i="13"/>
  <c r="AI55" i="13"/>
  <c r="AI54" i="13"/>
  <c r="AI53" i="13"/>
  <c r="AI52" i="13"/>
  <c r="AI51" i="13"/>
  <c r="AI50" i="13"/>
  <c r="AI49" i="13"/>
  <c r="AI48" i="13"/>
  <c r="AI47" i="13"/>
  <c r="AI46" i="13"/>
  <c r="AI45" i="13"/>
  <c r="AI44" i="13"/>
  <c r="AI43" i="13"/>
  <c r="AI42" i="13"/>
  <c r="AI41" i="13"/>
  <c r="AI40" i="13"/>
  <c r="AI39" i="13"/>
  <c r="AI38" i="13"/>
  <c r="AI36" i="13"/>
  <c r="AI35" i="13"/>
  <c r="AI34" i="13"/>
  <c r="AI33" i="13"/>
  <c r="AI32" i="13"/>
  <c r="AI31" i="13"/>
  <c r="AI30" i="13"/>
  <c r="AI29" i="13"/>
  <c r="AI28" i="13"/>
  <c r="AI27" i="13"/>
  <c r="AI26" i="13"/>
  <c r="AI25" i="13"/>
  <c r="AI24" i="13"/>
  <c r="AI23" i="13"/>
  <c r="AI22" i="13"/>
  <c r="AI21" i="13"/>
  <c r="AI20" i="13"/>
  <c r="AI17" i="13"/>
  <c r="AI16" i="13"/>
  <c r="AI15" i="13"/>
  <c r="AI14" i="13"/>
  <c r="AI13" i="13"/>
  <c r="AI12" i="13"/>
  <c r="AI11" i="13"/>
  <c r="AI10" i="13"/>
  <c r="AI9" i="13"/>
  <c r="AI8" i="13"/>
  <c r="AI7" i="13"/>
  <c r="AI6" i="13"/>
  <c r="AI5" i="13"/>
  <c r="AJ5" i="13" l="1"/>
  <c r="AQ5" i="13"/>
  <c r="AY5" i="13"/>
  <c r="AR5" i="13"/>
  <c r="BB5" i="13"/>
  <c r="BA5" i="13"/>
  <c r="AZ5" i="13"/>
  <c r="AS5" i="13"/>
  <c r="AL5" i="13"/>
  <c r="AV5" i="13"/>
  <c r="AU5" i="13"/>
  <c r="AT5" i="13"/>
  <c r="AM5" i="13"/>
  <c r="AW5" i="13"/>
  <c r="AX5" i="13"/>
  <c r="AP5" i="13"/>
  <c r="AK5" i="13"/>
  <c r="AO5" i="13"/>
  <c r="AN5" i="13"/>
  <c r="AM23" i="13"/>
  <c r="BB23" i="13"/>
  <c r="AY23" i="13"/>
  <c r="AS23" i="13"/>
  <c r="AL23" i="13"/>
  <c r="AV23" i="13"/>
  <c r="AU23" i="13"/>
  <c r="AN23" i="13"/>
  <c r="AW23" i="13"/>
  <c r="AP23" i="13"/>
  <c r="AO23" i="13"/>
  <c r="AX23" i="13"/>
  <c r="AJ23" i="13"/>
  <c r="AR23" i="13"/>
  <c r="AZ23" i="13"/>
  <c r="AQ23" i="13"/>
  <c r="AT23" i="13"/>
  <c r="AK23" i="13"/>
  <c r="BA23" i="13"/>
  <c r="AT27" i="13"/>
  <c r="AM27" i="13"/>
  <c r="BA27" i="13"/>
  <c r="AO27" i="13"/>
  <c r="AJ27" i="13"/>
  <c r="AN27" i="13"/>
  <c r="AX27" i="13"/>
  <c r="AW27" i="13"/>
  <c r="BB27" i="13"/>
  <c r="AU27" i="13"/>
  <c r="AS27" i="13"/>
  <c r="AK27" i="13"/>
  <c r="AR27" i="13"/>
  <c r="AV27" i="13"/>
  <c r="AY27" i="13"/>
  <c r="AL27" i="13"/>
  <c r="AZ27" i="13"/>
  <c r="AQ27" i="13"/>
  <c r="AP27" i="13"/>
  <c r="AJ31" i="13"/>
  <c r="AO31" i="13"/>
  <c r="AW31" i="13"/>
  <c r="AX31" i="13"/>
  <c r="BB31" i="13"/>
  <c r="AQ31" i="13"/>
  <c r="AZ31" i="13"/>
  <c r="AY31" i="13"/>
  <c r="AR31" i="13"/>
  <c r="AV31" i="13"/>
  <c r="AT31" i="13"/>
  <c r="AL31" i="13"/>
  <c r="AP31" i="13"/>
  <c r="AN31" i="13"/>
  <c r="AK31" i="13"/>
  <c r="AU31" i="13"/>
  <c r="AS31" i="13"/>
  <c r="BA31" i="13"/>
  <c r="AM31" i="13"/>
  <c r="AR35" i="13"/>
  <c r="AQ35" i="13"/>
  <c r="AV35" i="13"/>
  <c r="BA35" i="13"/>
  <c r="AT35" i="13"/>
  <c r="AL35" i="13"/>
  <c r="AM35" i="13"/>
  <c r="AY35" i="13"/>
  <c r="AN35" i="13"/>
  <c r="AS35" i="13"/>
  <c r="BB35" i="13"/>
  <c r="AU35" i="13"/>
  <c r="AW35" i="13"/>
  <c r="AO35" i="13"/>
  <c r="AK35" i="13"/>
  <c r="AP35" i="13"/>
  <c r="AJ35" i="13"/>
  <c r="AX35" i="13"/>
  <c r="AZ35" i="13"/>
  <c r="AO40" i="13"/>
  <c r="AX40" i="13"/>
  <c r="AW40" i="13"/>
  <c r="AV40" i="13"/>
  <c r="AZ40" i="13"/>
  <c r="AY40" i="13"/>
  <c r="AR40" i="13"/>
  <c r="AM40" i="13"/>
  <c r="AK40" i="13"/>
  <c r="AU40" i="13"/>
  <c r="AT40" i="13"/>
  <c r="AL40" i="13"/>
  <c r="BB40" i="13"/>
  <c r="AQ40" i="13"/>
  <c r="AP40" i="13"/>
  <c r="AN40" i="13"/>
  <c r="AS40" i="13"/>
  <c r="BA40" i="13"/>
  <c r="AJ40" i="13"/>
  <c r="AV44" i="13"/>
  <c r="BA44" i="13"/>
  <c r="AT44" i="13"/>
  <c r="AS44" i="13"/>
  <c r="AR44" i="13"/>
  <c r="AP44" i="13"/>
  <c r="AU44" i="13"/>
  <c r="AN44" i="13"/>
  <c r="AM44" i="13"/>
  <c r="AL44" i="13"/>
  <c r="AJ44" i="13"/>
  <c r="AK44" i="13"/>
  <c r="AW44" i="13"/>
  <c r="AY44" i="13"/>
  <c r="BB44" i="13"/>
  <c r="AX44" i="13"/>
  <c r="AO44" i="13"/>
  <c r="AZ44" i="13"/>
  <c r="AQ44" i="13"/>
  <c r="AW48" i="13"/>
  <c r="BB48" i="13"/>
  <c r="AR48" i="13"/>
  <c r="AM48" i="13"/>
  <c r="AY48" i="13"/>
  <c r="AS48" i="13"/>
  <c r="AL48" i="13"/>
  <c r="AV48" i="13"/>
  <c r="BA48" i="13"/>
  <c r="AZ48" i="13"/>
  <c r="AP48" i="13"/>
  <c r="AT48" i="13"/>
  <c r="AJ48" i="13"/>
  <c r="AX48" i="13"/>
  <c r="AU48" i="13"/>
  <c r="AQ48" i="13"/>
  <c r="AO48" i="13"/>
  <c r="AK48" i="13"/>
  <c r="AN48" i="13"/>
  <c r="AT52" i="13"/>
  <c r="AS52" i="13"/>
  <c r="AL52" i="13"/>
  <c r="AK52" i="13"/>
  <c r="AJ52" i="13"/>
  <c r="AN52" i="13"/>
  <c r="AX52" i="13"/>
  <c r="AQ52" i="13"/>
  <c r="AU52" i="13"/>
  <c r="BA52" i="13"/>
  <c r="AR52" i="13"/>
  <c r="BB52" i="13"/>
  <c r="AM52" i="13"/>
  <c r="AP52" i="13"/>
  <c r="AO52" i="13"/>
  <c r="AY52" i="13"/>
  <c r="AW52" i="13"/>
  <c r="AV52" i="13"/>
  <c r="AZ52" i="13"/>
  <c r="AJ56" i="13"/>
  <c r="AO56" i="13"/>
  <c r="AN56" i="13"/>
  <c r="AX56" i="13"/>
  <c r="BB56" i="13"/>
  <c r="AQ56" i="13"/>
  <c r="AW56" i="13"/>
  <c r="AY56" i="13"/>
  <c r="AR56" i="13"/>
  <c r="BA56" i="13"/>
  <c r="AS56" i="13"/>
  <c r="AU56" i="13"/>
  <c r="AM56" i="13"/>
  <c r="AT56" i="13"/>
  <c r="AV56" i="13"/>
  <c r="AL56" i="13"/>
  <c r="AP56" i="13"/>
  <c r="AZ56" i="13"/>
  <c r="AK56" i="13"/>
  <c r="AR63" i="13"/>
  <c r="AQ63" i="13"/>
  <c r="AV63" i="13"/>
  <c r="BA63" i="13"/>
  <c r="AT63" i="13"/>
  <c r="AL63" i="13"/>
  <c r="AK63" i="13"/>
  <c r="AP63" i="13"/>
  <c r="AU63" i="13"/>
  <c r="AN63" i="13"/>
  <c r="AY63" i="13"/>
  <c r="AJ63" i="13"/>
  <c r="AW63" i="13"/>
  <c r="AO63" i="13"/>
  <c r="AM63" i="13"/>
  <c r="AZ63" i="13"/>
  <c r="BB63" i="13"/>
  <c r="AS63" i="13"/>
  <c r="AX63" i="13"/>
  <c r="AY67" i="13"/>
  <c r="AX67" i="13"/>
  <c r="AQ67" i="13"/>
  <c r="AV67" i="13"/>
  <c r="AT67" i="13"/>
  <c r="BA67" i="13"/>
  <c r="AK67" i="13"/>
  <c r="AJ67" i="13"/>
  <c r="AN67" i="13"/>
  <c r="AR67" i="13"/>
  <c r="AU67" i="13"/>
  <c r="AO67" i="13"/>
  <c r="AZ67" i="13"/>
  <c r="AW67" i="13"/>
  <c r="AS67" i="13"/>
  <c r="BB67" i="13"/>
  <c r="AL67" i="13"/>
  <c r="AP67" i="13"/>
  <c r="AM67" i="13"/>
  <c r="AV71" i="13"/>
  <c r="BA71" i="13"/>
  <c r="AZ71" i="13"/>
  <c r="AY71" i="13"/>
  <c r="AR71" i="13"/>
  <c r="AP71" i="13"/>
  <c r="AU71" i="13"/>
  <c r="AT71" i="13"/>
  <c r="AS71" i="13"/>
  <c r="AL71" i="13"/>
  <c r="AO71" i="13"/>
  <c r="AM71" i="13"/>
  <c r="BB71" i="13"/>
  <c r="AW71" i="13"/>
  <c r="AX71" i="13"/>
  <c r="AK71" i="13"/>
  <c r="AN71" i="13"/>
  <c r="AQ71" i="13"/>
  <c r="AJ71" i="13"/>
  <c r="AS75" i="13"/>
  <c r="BB75" i="13"/>
  <c r="AY75" i="13"/>
  <c r="AZ75" i="13"/>
  <c r="AX75" i="13"/>
  <c r="AW75" i="13"/>
  <c r="AV75" i="13"/>
  <c r="BA75" i="13"/>
  <c r="AT75" i="13"/>
  <c r="AQ75" i="13"/>
  <c r="AU75" i="13"/>
  <c r="AP75" i="13"/>
  <c r="AM75" i="13"/>
  <c r="AR75" i="13"/>
  <c r="AJ75" i="13"/>
  <c r="AL75" i="13"/>
  <c r="AO75" i="13"/>
  <c r="AN75" i="13"/>
  <c r="AK75" i="13"/>
  <c r="AT79" i="13"/>
  <c r="AM79" i="13"/>
  <c r="AO79" i="13"/>
  <c r="BA79" i="13"/>
  <c r="AJ79" i="13"/>
  <c r="AZ79" i="13"/>
  <c r="AX79" i="13"/>
  <c r="AQ79" i="13"/>
  <c r="AP79" i="13"/>
  <c r="AN79" i="13"/>
  <c r="AR79" i="13"/>
  <c r="AK79" i="13"/>
  <c r="AU79" i="13"/>
  <c r="AS79" i="13"/>
  <c r="AV79" i="13"/>
  <c r="AL79" i="13"/>
  <c r="BB79" i="13"/>
  <c r="AY79" i="13"/>
  <c r="AW79" i="13"/>
  <c r="AJ83" i="13"/>
  <c r="AZ83" i="13"/>
  <c r="AY83" i="13"/>
  <c r="AX83" i="13"/>
  <c r="BB83" i="13"/>
  <c r="BA83" i="13"/>
  <c r="AT83" i="13"/>
  <c r="AS83" i="13"/>
  <c r="AR83" i="13"/>
  <c r="AV83" i="13"/>
  <c r="AN83" i="13"/>
  <c r="AL83" i="13"/>
  <c r="AP83" i="13"/>
  <c r="AQ83" i="13"/>
  <c r="AK83" i="13"/>
  <c r="AW83" i="13"/>
  <c r="AU83" i="13"/>
  <c r="AM83" i="13"/>
  <c r="AO83" i="13"/>
  <c r="AR87" i="13"/>
  <c r="AK87" i="13"/>
  <c r="AJ87" i="13"/>
  <c r="AO87" i="13"/>
  <c r="AN87" i="13"/>
  <c r="AL87" i="13"/>
  <c r="BB87" i="13"/>
  <c r="AS87" i="13"/>
  <c r="AM87" i="13"/>
  <c r="AY87" i="13"/>
  <c r="AV87" i="13"/>
  <c r="AZ87" i="13"/>
  <c r="AW87" i="13"/>
  <c r="AU87" i="13"/>
  <c r="AQ87" i="13"/>
  <c r="AT87" i="13"/>
  <c r="AP87" i="13"/>
  <c r="AX87" i="13"/>
  <c r="BA87" i="13"/>
  <c r="AZ91" i="13"/>
  <c r="AY91" i="13"/>
  <c r="AX91" i="13"/>
  <c r="AW91" i="13"/>
  <c r="AV91" i="13"/>
  <c r="AT91" i="13"/>
  <c r="AS91" i="13"/>
  <c r="AR91" i="13"/>
  <c r="AQ91" i="13"/>
  <c r="AP91" i="13"/>
  <c r="AO91" i="13"/>
  <c r="BA91" i="13"/>
  <c r="AM91" i="13"/>
  <c r="AK91" i="13"/>
  <c r="AL91" i="13"/>
  <c r="BB91" i="13"/>
  <c r="AN91" i="13"/>
  <c r="AJ91" i="13"/>
  <c r="AU91" i="13"/>
  <c r="AV95" i="13"/>
  <c r="BA95" i="13"/>
  <c r="AT95" i="13"/>
  <c r="AS95" i="13"/>
  <c r="AL95" i="13"/>
  <c r="AP95" i="13"/>
  <c r="AU95" i="13"/>
  <c r="AN95" i="13"/>
  <c r="AM95" i="13"/>
  <c r="AW95" i="13"/>
  <c r="AJ95" i="13"/>
  <c r="AK95" i="13"/>
  <c r="AQ95" i="13"/>
  <c r="AY95" i="13"/>
  <c r="AZ95" i="13"/>
  <c r="AX95" i="13"/>
  <c r="AO95" i="13"/>
  <c r="AR95" i="13"/>
  <c r="BB95" i="13"/>
  <c r="AW99" i="13"/>
  <c r="BB99" i="13"/>
  <c r="AY99" i="13"/>
  <c r="AZ99" i="13"/>
  <c r="AX99" i="13"/>
  <c r="AQ99" i="13"/>
  <c r="AV99" i="13"/>
  <c r="BA99" i="13"/>
  <c r="AT99" i="13"/>
  <c r="AR99" i="13"/>
  <c r="AP99" i="13"/>
  <c r="AN99" i="13"/>
  <c r="AM99" i="13"/>
  <c r="AS99" i="13"/>
  <c r="AJ99" i="13"/>
  <c r="AL99" i="13"/>
  <c r="AU99" i="13"/>
  <c r="AO99" i="13"/>
  <c r="AK99" i="13"/>
  <c r="AN103" i="13"/>
  <c r="AM103" i="13"/>
  <c r="AL103" i="13"/>
  <c r="BB103" i="13"/>
  <c r="AU103" i="13"/>
  <c r="BA103" i="13"/>
  <c r="AO103" i="13"/>
  <c r="AW103" i="13"/>
  <c r="AV103" i="13"/>
  <c r="AS103" i="13"/>
  <c r="AK103" i="13"/>
  <c r="AZ103" i="13"/>
  <c r="AX103" i="13"/>
  <c r="AP103" i="13"/>
  <c r="AY103" i="13"/>
  <c r="AR103" i="13"/>
  <c r="AQ103" i="13"/>
  <c r="AJ103" i="13"/>
  <c r="AT103" i="13"/>
  <c r="AJ107" i="13"/>
  <c r="AO107" i="13"/>
  <c r="AY107" i="13"/>
  <c r="AX107" i="13"/>
  <c r="BB107" i="13"/>
  <c r="AK107" i="13"/>
  <c r="AZ107" i="13"/>
  <c r="AS107" i="13"/>
  <c r="AR107" i="13"/>
  <c r="BA107" i="13"/>
  <c r="AM107" i="13"/>
  <c r="AU107" i="13"/>
  <c r="AW107" i="13"/>
  <c r="AP107" i="13"/>
  <c r="AQ107" i="13"/>
  <c r="AT107" i="13"/>
  <c r="AV107" i="13"/>
  <c r="AN107" i="13"/>
  <c r="AL107" i="13"/>
  <c r="AR111" i="13"/>
  <c r="AK111" i="13"/>
  <c r="AJ111" i="13"/>
  <c r="AO111" i="13"/>
  <c r="AN111" i="13"/>
  <c r="AL111" i="13"/>
  <c r="BB111" i="13"/>
  <c r="AY111" i="13"/>
  <c r="AS111" i="13"/>
  <c r="AM111" i="13"/>
  <c r="AW111" i="13"/>
  <c r="BA111" i="13"/>
  <c r="AX111" i="13"/>
  <c r="AU111" i="13"/>
  <c r="AQ111" i="13"/>
  <c r="AZ111" i="13"/>
  <c r="AV111" i="13"/>
  <c r="AT111" i="13"/>
  <c r="AP111" i="13"/>
  <c r="AZ115" i="13"/>
  <c r="AY115" i="13"/>
  <c r="AR115" i="13"/>
  <c r="AQ115" i="13"/>
  <c r="AV115" i="13"/>
  <c r="AT115" i="13"/>
  <c r="AS115" i="13"/>
  <c r="AL115" i="13"/>
  <c r="AK115" i="13"/>
  <c r="AP115" i="13"/>
  <c r="AX115" i="13"/>
  <c r="BB115" i="13"/>
  <c r="AN115" i="13"/>
  <c r="AO115" i="13"/>
  <c r="AJ115" i="13"/>
  <c r="AU115" i="13"/>
  <c r="BA115" i="13"/>
  <c r="AM115" i="13"/>
  <c r="AW115" i="13"/>
  <c r="AP119" i="13"/>
  <c r="AU119" i="13"/>
  <c r="AN119" i="13"/>
  <c r="AW119" i="13"/>
  <c r="AK119" i="13"/>
  <c r="AJ119" i="13"/>
  <c r="AO119" i="13"/>
  <c r="AY119" i="13"/>
  <c r="AX119" i="13"/>
  <c r="BA119" i="13"/>
  <c r="AM119" i="13"/>
  <c r="BB119" i="13"/>
  <c r="AZ119" i="13"/>
  <c r="AR119" i="13"/>
  <c r="AS119" i="13"/>
  <c r="AV119" i="13"/>
  <c r="AL119" i="13"/>
  <c r="AQ119" i="13"/>
  <c r="AT119" i="13"/>
  <c r="AY123" i="13"/>
  <c r="AM123" i="13"/>
  <c r="AJ123" i="13"/>
  <c r="AS123" i="13"/>
  <c r="AX123" i="13"/>
  <c r="AW123" i="13"/>
  <c r="BB123" i="13"/>
  <c r="BA123" i="13"/>
  <c r="AZ123" i="13"/>
  <c r="AQ123" i="13"/>
  <c r="AU123" i="13"/>
  <c r="AK123" i="13"/>
  <c r="AT123" i="13"/>
  <c r="AV123" i="13"/>
  <c r="AN123" i="13"/>
  <c r="AR123" i="13"/>
  <c r="AP123" i="13"/>
  <c r="AL123" i="13"/>
  <c r="AO123" i="13"/>
  <c r="AN135" i="13"/>
  <c r="AM135" i="13"/>
  <c r="AL135" i="13"/>
  <c r="BB135" i="13"/>
  <c r="AO135" i="13"/>
  <c r="AU135" i="13"/>
  <c r="BA135" i="13"/>
  <c r="AW135" i="13"/>
  <c r="AV135" i="13"/>
  <c r="AT135" i="13"/>
  <c r="AR135" i="13"/>
  <c r="AJ135" i="13"/>
  <c r="AY135" i="13"/>
  <c r="AQ135" i="13"/>
  <c r="AX135" i="13"/>
  <c r="AK135" i="13"/>
  <c r="AZ135" i="13"/>
  <c r="AP135" i="13"/>
  <c r="AS135" i="13"/>
  <c r="BB139" i="13"/>
  <c r="AW139" i="13"/>
  <c r="AZ139" i="13"/>
  <c r="AY139" i="13"/>
  <c r="AR139" i="13"/>
  <c r="AV139" i="13"/>
  <c r="BA139" i="13"/>
  <c r="AT139" i="13"/>
  <c r="AS139" i="13"/>
  <c r="AL139" i="13"/>
  <c r="AO139" i="13"/>
  <c r="AX139" i="13"/>
  <c r="AP139" i="13"/>
  <c r="AN139" i="13"/>
  <c r="AK139" i="13"/>
  <c r="AU139" i="13"/>
  <c r="AQ139" i="13"/>
  <c r="AJ139" i="13"/>
  <c r="AM139" i="13"/>
  <c r="AR143" i="13"/>
  <c r="AK143" i="13"/>
  <c r="AJ143" i="13"/>
  <c r="AS143" i="13"/>
  <c r="AY143" i="13"/>
  <c r="AL143" i="13"/>
  <c r="BB143" i="13"/>
  <c r="BA143" i="13"/>
  <c r="AZ143" i="13"/>
  <c r="AM143" i="13"/>
  <c r="AV143" i="13"/>
  <c r="AT143" i="13"/>
  <c r="AX143" i="13"/>
  <c r="AU143" i="13"/>
  <c r="AW143" i="13"/>
  <c r="AO143" i="13"/>
  <c r="AQ143" i="13"/>
  <c r="AN143" i="13"/>
  <c r="AP143" i="13"/>
  <c r="AZ173" i="13"/>
  <c r="AS173" i="13"/>
  <c r="AL173" i="13"/>
  <c r="AK173" i="13"/>
  <c r="AJ173" i="13"/>
  <c r="AT173" i="13"/>
  <c r="AM173" i="13"/>
  <c r="AO173" i="13"/>
  <c r="BB173" i="13"/>
  <c r="BA173" i="13"/>
  <c r="AY173" i="13"/>
  <c r="AQ173" i="13"/>
  <c r="AX173" i="13"/>
  <c r="AV173" i="13"/>
  <c r="AN173" i="13"/>
  <c r="AU173" i="13"/>
  <c r="AR173" i="13"/>
  <c r="AW173" i="13"/>
  <c r="AP173" i="13"/>
  <c r="AP177" i="13"/>
  <c r="AU177" i="13"/>
  <c r="AT177" i="13"/>
  <c r="AM177" i="13"/>
  <c r="AL177" i="13"/>
  <c r="AJ177" i="13"/>
  <c r="AO177" i="13"/>
  <c r="AN177" i="13"/>
  <c r="AQ177" i="13"/>
  <c r="AV177" i="13"/>
  <c r="AZ177" i="13"/>
  <c r="AR177" i="13"/>
  <c r="AW177" i="13"/>
  <c r="AY177" i="13"/>
  <c r="BB177" i="13"/>
  <c r="AX177" i="13"/>
  <c r="BA177" i="13"/>
  <c r="AS177" i="13"/>
  <c r="AK177" i="13"/>
  <c r="AY181" i="13"/>
  <c r="AS181" i="13"/>
  <c r="AJ181" i="13"/>
  <c r="AM181" i="13"/>
  <c r="AX181" i="13"/>
  <c r="AW181" i="13"/>
  <c r="BB181" i="13"/>
  <c r="BA181" i="13"/>
  <c r="AZ181" i="13"/>
  <c r="AK181" i="13"/>
  <c r="AO181" i="13"/>
  <c r="AL181" i="13"/>
  <c r="AU181" i="13"/>
  <c r="AQ181" i="13"/>
  <c r="AT181" i="13"/>
  <c r="AV181" i="13"/>
  <c r="AN181" i="13"/>
  <c r="AR181" i="13"/>
  <c r="AP181" i="13"/>
  <c r="AN202" i="13"/>
  <c r="AO202" i="13"/>
  <c r="BA202" i="13"/>
  <c r="BB202" i="13"/>
  <c r="AU202" i="13"/>
  <c r="AY202" i="13"/>
  <c r="AX202" i="13"/>
  <c r="AW202" i="13"/>
  <c r="AV202" i="13"/>
  <c r="AM202" i="13"/>
  <c r="AK202" i="13"/>
  <c r="AP202" i="13"/>
  <c r="AZ202" i="13"/>
  <c r="AR202" i="13"/>
  <c r="AQ202" i="13"/>
  <c r="AT202" i="13"/>
  <c r="AJ202" i="13"/>
  <c r="AS202" i="13"/>
  <c r="AL202" i="13"/>
  <c r="BB206" i="13"/>
  <c r="AQ206" i="13"/>
  <c r="AZ206" i="13"/>
  <c r="AY206" i="13"/>
  <c r="AX206" i="13"/>
  <c r="AV206" i="13"/>
  <c r="BA206" i="13"/>
  <c r="AT206" i="13"/>
  <c r="AS206" i="13"/>
  <c r="AR206" i="13"/>
  <c r="AJ206" i="13"/>
  <c r="AW206" i="13"/>
  <c r="AU206" i="13"/>
  <c r="AM206" i="13"/>
  <c r="AN206" i="13"/>
  <c r="AK206" i="13"/>
  <c r="AO206" i="13"/>
  <c r="AL206" i="13"/>
  <c r="AP206" i="13"/>
  <c r="AR210" i="13"/>
  <c r="AK210" i="13"/>
  <c r="AP210" i="13"/>
  <c r="AU210" i="13"/>
  <c r="AN210" i="13"/>
  <c r="AL210" i="13"/>
  <c r="AM210" i="13"/>
  <c r="AJ210" i="13"/>
  <c r="AO210" i="13"/>
  <c r="AS210" i="13"/>
  <c r="AX210" i="13"/>
  <c r="AV210" i="13"/>
  <c r="AT210" i="13"/>
  <c r="BB210" i="13"/>
  <c r="AY210" i="13"/>
  <c r="AW210" i="13"/>
  <c r="BA210" i="13"/>
  <c r="AQ210" i="13"/>
  <c r="AZ210" i="13"/>
  <c r="AZ229" i="13"/>
  <c r="AY229" i="13"/>
  <c r="AX229" i="13"/>
  <c r="AQ229" i="13"/>
  <c r="AV229" i="13"/>
  <c r="AT229" i="13"/>
  <c r="AS229" i="13"/>
  <c r="AR229" i="13"/>
  <c r="AK229" i="13"/>
  <c r="AP229" i="13"/>
  <c r="AO229" i="13"/>
  <c r="BB229" i="13"/>
  <c r="AL229" i="13"/>
  <c r="AN229" i="13"/>
  <c r="AJ229" i="13"/>
  <c r="AM229" i="13"/>
  <c r="AW229" i="13"/>
  <c r="AU229" i="13"/>
  <c r="BA229" i="13"/>
  <c r="AP233" i="13"/>
  <c r="AU233" i="13"/>
  <c r="AT233" i="13"/>
  <c r="AM233" i="13"/>
  <c r="AW233" i="13"/>
  <c r="AJ233" i="13"/>
  <c r="AO233" i="13"/>
  <c r="AN233" i="13"/>
  <c r="AX233" i="13"/>
  <c r="BA233" i="13"/>
  <c r="AS233" i="13"/>
  <c r="BB233" i="13"/>
  <c r="AQ233" i="13"/>
  <c r="AR233" i="13"/>
  <c r="AK233" i="13"/>
  <c r="AZ233" i="13"/>
  <c r="AV233" i="13"/>
  <c r="AY233" i="13"/>
  <c r="AL233" i="13"/>
  <c r="AV17" i="13"/>
  <c r="AU17" i="13"/>
  <c r="AN17" i="13"/>
  <c r="AM17" i="13"/>
  <c r="AL17" i="13"/>
  <c r="AP17" i="13"/>
  <c r="AO17" i="13"/>
  <c r="AQ17" i="13"/>
  <c r="AK17" i="13"/>
  <c r="AW17" i="13"/>
  <c r="AJ17" i="13"/>
  <c r="AZ17" i="13"/>
  <c r="AX17" i="13"/>
  <c r="AT17" i="13"/>
  <c r="AR17" i="13"/>
  <c r="AS17" i="13"/>
  <c r="BB17" i="13"/>
  <c r="AY17" i="13"/>
  <c r="BA17" i="13"/>
  <c r="AS14" i="13"/>
  <c r="AL14" i="13"/>
  <c r="AK14" i="13"/>
  <c r="AJ14" i="13"/>
  <c r="AT14" i="13"/>
  <c r="AM14" i="13"/>
  <c r="AN14" i="13"/>
  <c r="BB14" i="13"/>
  <c r="BA14" i="13"/>
  <c r="AZ14" i="13"/>
  <c r="AY14" i="13"/>
  <c r="AQ14" i="13"/>
  <c r="AO14" i="13"/>
  <c r="AX14" i="13"/>
  <c r="AV14" i="13"/>
  <c r="AW14" i="13"/>
  <c r="AP14" i="13"/>
  <c r="AU14" i="13"/>
  <c r="AR14" i="13"/>
  <c r="AO20" i="13"/>
  <c r="AN20" i="13"/>
  <c r="AM20" i="13"/>
  <c r="AW20" i="13"/>
  <c r="BB20" i="13"/>
  <c r="AP20" i="13"/>
  <c r="AV20" i="13"/>
  <c r="AX20" i="13"/>
  <c r="AQ20" i="13"/>
  <c r="AT20" i="13"/>
  <c r="AL20" i="13"/>
  <c r="BA20" i="13"/>
  <c r="AY20" i="13"/>
  <c r="AK20" i="13"/>
  <c r="AR20" i="13"/>
  <c r="AU20" i="13"/>
  <c r="AJ20" i="13"/>
  <c r="AZ20" i="13"/>
  <c r="AS20" i="13"/>
  <c r="AW24" i="13"/>
  <c r="AV24" i="13"/>
  <c r="BA24" i="13"/>
  <c r="AT24" i="13"/>
  <c r="AM24" i="13"/>
  <c r="AP24" i="13"/>
  <c r="AO24" i="13"/>
  <c r="AS24" i="13"/>
  <c r="AQ24" i="13"/>
  <c r="AJ24" i="13"/>
  <c r="AZ24" i="13"/>
  <c r="AR24" i="13"/>
  <c r="AK24" i="13"/>
  <c r="AX24" i="13"/>
  <c r="AN24" i="13"/>
  <c r="AL24" i="13"/>
  <c r="BB24" i="13"/>
  <c r="AU24" i="13"/>
  <c r="AY24" i="13"/>
  <c r="AX28" i="13"/>
  <c r="AW28" i="13"/>
  <c r="AT28" i="13"/>
  <c r="AJ28" i="13"/>
  <c r="AY28" i="13"/>
  <c r="AR28" i="13"/>
  <c r="AQ28" i="13"/>
  <c r="BB28" i="13"/>
  <c r="AM28" i="13"/>
  <c r="AZ28" i="13"/>
  <c r="AU28" i="13"/>
  <c r="AV28" i="13"/>
  <c r="AO28" i="13"/>
  <c r="AL28" i="13"/>
  <c r="AS28" i="13"/>
  <c r="BA28" i="13"/>
  <c r="AN28" i="13"/>
  <c r="AK28" i="13"/>
  <c r="AP28" i="13"/>
  <c r="BA32" i="13"/>
  <c r="AT32" i="13"/>
  <c r="AS32" i="13"/>
  <c r="AR32" i="13"/>
  <c r="AQ32" i="13"/>
  <c r="AU32" i="13"/>
  <c r="AN32" i="13"/>
  <c r="AM32" i="13"/>
  <c r="AL32" i="13"/>
  <c r="AK32" i="13"/>
  <c r="AY32" i="13"/>
  <c r="AW32" i="13"/>
  <c r="AO32" i="13"/>
  <c r="BB32" i="13"/>
  <c r="AV32" i="13"/>
  <c r="AP32" i="13"/>
  <c r="AX32" i="13"/>
  <c r="AJ32" i="13"/>
  <c r="AZ32" i="13"/>
  <c r="AK36" i="13"/>
  <c r="AJ36" i="13"/>
  <c r="AR36" i="13"/>
  <c r="AL36" i="13"/>
  <c r="AX36" i="13"/>
  <c r="AV36" i="13"/>
  <c r="AO36" i="13"/>
  <c r="AY36" i="13"/>
  <c r="AW36" i="13"/>
  <c r="AP36" i="13"/>
  <c r="AZ36" i="13"/>
  <c r="AS36" i="13"/>
  <c r="AQ36" i="13"/>
  <c r="BA36" i="13"/>
  <c r="AT36" i="13"/>
  <c r="AM36" i="13"/>
  <c r="AU36" i="13"/>
  <c r="BB36" i="13"/>
  <c r="AN36" i="13"/>
  <c r="AS41" i="13"/>
  <c r="AL41" i="13"/>
  <c r="AK41" i="13"/>
  <c r="AP41" i="13"/>
  <c r="AO41" i="13"/>
  <c r="AY41" i="13"/>
  <c r="AN41" i="13"/>
  <c r="BB41" i="13"/>
  <c r="AU41" i="13"/>
  <c r="AW41" i="13"/>
  <c r="AV41" i="13"/>
  <c r="AM41" i="13"/>
  <c r="AZ41" i="13"/>
  <c r="AT41" i="13"/>
  <c r="AX41" i="13"/>
  <c r="AJ41" i="13"/>
  <c r="AR41" i="13"/>
  <c r="BA41" i="13"/>
  <c r="AQ41" i="13"/>
  <c r="AO45" i="13"/>
  <c r="AJ45" i="13"/>
  <c r="AP45" i="13"/>
  <c r="BB45" i="13"/>
  <c r="AV45" i="13"/>
  <c r="AZ45" i="13"/>
  <c r="AY45" i="13"/>
  <c r="AX45" i="13"/>
  <c r="AW45" i="13"/>
  <c r="AU45" i="13"/>
  <c r="AM45" i="13"/>
  <c r="AK45" i="13"/>
  <c r="AT45" i="13"/>
  <c r="AR45" i="13"/>
  <c r="BA45" i="13"/>
  <c r="AQ45" i="13"/>
  <c r="AN45" i="13"/>
  <c r="AL45" i="13"/>
  <c r="AS45" i="13"/>
  <c r="AW49" i="13"/>
  <c r="BB49" i="13"/>
  <c r="AX49" i="13"/>
  <c r="AZ49" i="13"/>
  <c r="AS49" i="13"/>
  <c r="AR49" i="13"/>
  <c r="BA49" i="13"/>
  <c r="AN49" i="13"/>
  <c r="AV49" i="13"/>
  <c r="AU49" i="13"/>
  <c r="AY49" i="13"/>
  <c r="AQ49" i="13"/>
  <c r="AP49" i="13"/>
  <c r="AO49" i="13"/>
  <c r="AM49" i="13"/>
  <c r="AT49" i="13"/>
  <c r="AL49" i="13"/>
  <c r="AK49" i="13"/>
  <c r="AJ49" i="13"/>
  <c r="AX53" i="13"/>
  <c r="AW53" i="13"/>
  <c r="AV53" i="13"/>
  <c r="BA53" i="13"/>
  <c r="AY53" i="13"/>
  <c r="AL53" i="13"/>
  <c r="BB53" i="13"/>
  <c r="AU53" i="13"/>
  <c r="AS53" i="13"/>
  <c r="AP53" i="13"/>
  <c r="AO53" i="13"/>
  <c r="AN53" i="13"/>
  <c r="AR53" i="13"/>
  <c r="AT53" i="13"/>
  <c r="AQ53" i="13"/>
  <c r="AZ53" i="13"/>
  <c r="AK53" i="13"/>
  <c r="AM53" i="13"/>
  <c r="AJ53" i="13"/>
  <c r="BA57" i="13"/>
  <c r="AT57" i="13"/>
  <c r="AM57" i="13"/>
  <c r="AL57" i="13"/>
  <c r="AK57" i="13"/>
  <c r="AU57" i="13"/>
  <c r="AN57" i="13"/>
  <c r="AP57" i="13"/>
  <c r="BB57" i="13"/>
  <c r="AV57" i="13"/>
  <c r="AZ57" i="13"/>
  <c r="AR57" i="13"/>
  <c r="AY57" i="13"/>
  <c r="AW57" i="13"/>
  <c r="AX57" i="13"/>
  <c r="AQ57" i="13"/>
  <c r="AS57" i="13"/>
  <c r="AJ57" i="13"/>
  <c r="AO57" i="13"/>
  <c r="AK64" i="13"/>
  <c r="AJ64" i="13"/>
  <c r="AO64" i="13"/>
  <c r="AR64" i="13"/>
  <c r="AL64" i="13"/>
  <c r="BB64" i="13"/>
  <c r="BA64" i="13"/>
  <c r="AN64" i="13"/>
  <c r="AV64" i="13"/>
  <c r="AU64" i="13"/>
  <c r="AY64" i="13"/>
  <c r="AW64" i="13"/>
  <c r="AP64" i="13"/>
  <c r="AZ64" i="13"/>
  <c r="AS64" i="13"/>
  <c r="AM64" i="13"/>
  <c r="AQ64" i="13"/>
  <c r="AX64" i="13"/>
  <c r="AT64" i="13"/>
  <c r="AS68" i="13"/>
  <c r="AR68" i="13"/>
  <c r="AK68" i="13"/>
  <c r="AP68" i="13"/>
  <c r="AO68" i="13"/>
  <c r="AX68" i="13"/>
  <c r="AT68" i="13"/>
  <c r="BA68" i="13"/>
  <c r="AY68" i="13"/>
  <c r="BB68" i="13"/>
  <c r="AU68" i="13"/>
  <c r="AL68" i="13"/>
  <c r="AQ68" i="13"/>
  <c r="AM68" i="13"/>
  <c r="AV68" i="13"/>
  <c r="AZ68" i="13"/>
  <c r="AJ68" i="13"/>
  <c r="AW68" i="13"/>
  <c r="AN68" i="13"/>
  <c r="AO72" i="13"/>
  <c r="AN72" i="13"/>
  <c r="AP72" i="13"/>
  <c r="AV72" i="13"/>
  <c r="AJ72" i="13"/>
  <c r="BB72" i="13"/>
  <c r="AY72" i="13"/>
  <c r="AX72" i="13"/>
  <c r="AW72" i="13"/>
  <c r="AT72" i="13"/>
  <c r="AL72" i="13"/>
  <c r="BA72" i="13"/>
  <c r="AS72" i="13"/>
  <c r="AQ72" i="13"/>
  <c r="AZ72" i="13"/>
  <c r="AM72" i="13"/>
  <c r="AU72" i="13"/>
  <c r="AR72" i="13"/>
  <c r="AK72" i="13"/>
  <c r="AW76" i="13"/>
  <c r="AV76" i="13"/>
  <c r="BA76" i="13"/>
  <c r="AT76" i="13"/>
  <c r="AM76" i="13"/>
  <c r="AK76" i="13"/>
  <c r="AL76" i="13"/>
  <c r="AN76" i="13"/>
  <c r="AR76" i="13"/>
  <c r="BB76" i="13"/>
  <c r="AU76" i="13"/>
  <c r="AY76" i="13"/>
  <c r="AP76" i="13"/>
  <c r="AO76" i="13"/>
  <c r="AS76" i="13"/>
  <c r="AQ76" i="13"/>
  <c r="AJ76" i="13"/>
  <c r="AZ76" i="13"/>
  <c r="AX76" i="13"/>
  <c r="AN80" i="13"/>
  <c r="AT80" i="13"/>
  <c r="BB80" i="13"/>
  <c r="BA80" i="13"/>
  <c r="AX80" i="13"/>
  <c r="AQ80" i="13"/>
  <c r="AJ80" i="13"/>
  <c r="AY80" i="13"/>
  <c r="AK80" i="13"/>
  <c r="AU80" i="13"/>
  <c r="AR80" i="13"/>
  <c r="AM80" i="13"/>
  <c r="AP80" i="13"/>
  <c r="AL80" i="13"/>
  <c r="AO80" i="13"/>
  <c r="AW80" i="13"/>
  <c r="AZ80" i="13"/>
  <c r="AS80" i="13"/>
  <c r="AV80" i="13"/>
  <c r="BA84" i="13"/>
  <c r="AZ84" i="13"/>
  <c r="AY84" i="13"/>
  <c r="AX84" i="13"/>
  <c r="AQ84" i="13"/>
  <c r="AU84" i="13"/>
  <c r="AT84" i="13"/>
  <c r="AS84" i="13"/>
  <c r="AR84" i="13"/>
  <c r="AK84" i="13"/>
  <c r="AJ84" i="13"/>
  <c r="AW84" i="13"/>
  <c r="AO84" i="13"/>
  <c r="AM84" i="13"/>
  <c r="AV84" i="13"/>
  <c r="AL84" i="13"/>
  <c r="AP84" i="13"/>
  <c r="AN84" i="13"/>
  <c r="BB84" i="13"/>
  <c r="AK88" i="13"/>
  <c r="AJ88" i="13"/>
  <c r="AO88" i="13"/>
  <c r="AN88" i="13"/>
  <c r="AM88" i="13"/>
  <c r="AQ88" i="13"/>
  <c r="AR88" i="13"/>
  <c r="AZ88" i="13"/>
  <c r="AS88" i="13"/>
  <c r="BB88" i="13"/>
  <c r="BA88" i="13"/>
  <c r="AT88" i="13"/>
  <c r="AV88" i="13"/>
  <c r="AU88" i="13"/>
  <c r="AX88" i="13"/>
  <c r="AP88" i="13"/>
  <c r="AW88" i="13"/>
  <c r="AL88" i="13"/>
  <c r="AY88" i="13"/>
  <c r="AS92" i="13"/>
  <c r="AL92" i="13"/>
  <c r="AZ92" i="13"/>
  <c r="AP92" i="13"/>
  <c r="AO92" i="13"/>
  <c r="AX92" i="13"/>
  <c r="AK92" i="13"/>
  <c r="AJ92" i="13"/>
  <c r="AR92" i="13"/>
  <c r="AN92" i="13"/>
  <c r="BA92" i="13"/>
  <c r="AQ92" i="13"/>
  <c r="AT92" i="13"/>
  <c r="AY92" i="13"/>
  <c r="BB92" i="13"/>
  <c r="AM92" i="13"/>
  <c r="AV92" i="13"/>
  <c r="AW92" i="13"/>
  <c r="AU92" i="13"/>
  <c r="AO96" i="13"/>
  <c r="AN96" i="13"/>
  <c r="AM96" i="13"/>
  <c r="AL96" i="13"/>
  <c r="AK96" i="13"/>
  <c r="BB96" i="13"/>
  <c r="AP96" i="13"/>
  <c r="AV96" i="13"/>
  <c r="AJ96" i="13"/>
  <c r="AU96" i="13"/>
  <c r="AS96" i="13"/>
  <c r="AQ96" i="13"/>
  <c r="AZ96" i="13"/>
  <c r="AX96" i="13"/>
  <c r="AY96" i="13"/>
  <c r="AR96" i="13"/>
  <c r="BA96" i="13"/>
  <c r="AW96" i="13"/>
  <c r="AT96" i="13"/>
  <c r="AW100" i="13"/>
  <c r="BB100" i="13"/>
  <c r="AX100" i="13"/>
  <c r="AZ100" i="13"/>
  <c r="AY100" i="13"/>
  <c r="AQ100" i="13"/>
  <c r="AP100" i="13"/>
  <c r="AO100" i="13"/>
  <c r="AS100" i="13"/>
  <c r="AL100" i="13"/>
  <c r="BA100" i="13"/>
  <c r="AN100" i="13"/>
  <c r="AJ100" i="13"/>
  <c r="AM100" i="13"/>
  <c r="AR100" i="13"/>
  <c r="AU100" i="13"/>
  <c r="AK100" i="13"/>
  <c r="AT100" i="13"/>
  <c r="AV100" i="13"/>
  <c r="AX104" i="13"/>
  <c r="AQ104" i="13"/>
  <c r="AV104" i="13"/>
  <c r="BA104" i="13"/>
  <c r="AM104" i="13"/>
  <c r="AK104" i="13"/>
  <c r="AJ104" i="13"/>
  <c r="AZ104" i="13"/>
  <c r="AR104" i="13"/>
  <c r="AT104" i="13"/>
  <c r="AN104" i="13"/>
  <c r="AS104" i="13"/>
  <c r="AL104" i="13"/>
  <c r="AU104" i="13"/>
  <c r="AW104" i="13"/>
  <c r="AO104" i="13"/>
  <c r="AY104" i="13"/>
  <c r="BB104" i="13"/>
  <c r="AP104" i="13"/>
  <c r="BA108" i="13"/>
  <c r="AZ108" i="13"/>
  <c r="AS108" i="13"/>
  <c r="AR108" i="13"/>
  <c r="AK108" i="13"/>
  <c r="AU108" i="13"/>
  <c r="AT108" i="13"/>
  <c r="AM108" i="13"/>
  <c r="AL108" i="13"/>
  <c r="AV108" i="13"/>
  <c r="BB108" i="13"/>
  <c r="AX108" i="13"/>
  <c r="AN108" i="13"/>
  <c r="AW108" i="13"/>
  <c r="AO108" i="13"/>
  <c r="AP108" i="13"/>
  <c r="AY108" i="13"/>
  <c r="AQ108" i="13"/>
  <c r="AJ108" i="13"/>
  <c r="AK112" i="13"/>
  <c r="AP112" i="13"/>
  <c r="AU112" i="13"/>
  <c r="AN112" i="13"/>
  <c r="AL112" i="13"/>
  <c r="AW112" i="13"/>
  <c r="AV112" i="13"/>
  <c r="AO112" i="13"/>
  <c r="AS112" i="13"/>
  <c r="AR112" i="13"/>
  <c r="AX112" i="13"/>
  <c r="AT112" i="13"/>
  <c r="AQ112" i="13"/>
  <c r="AZ112" i="13"/>
  <c r="BA112" i="13"/>
  <c r="BB112" i="13"/>
  <c r="AY112" i="13"/>
  <c r="AJ112" i="13"/>
  <c r="AM112" i="13"/>
  <c r="AS116" i="13"/>
  <c r="AR116" i="13"/>
  <c r="AK116" i="13"/>
  <c r="AJ116" i="13"/>
  <c r="AT116" i="13"/>
  <c r="AM116" i="13"/>
  <c r="AW116" i="13"/>
  <c r="AP116" i="13"/>
  <c r="AN116" i="13"/>
  <c r="AZ116" i="13"/>
  <c r="AQ116" i="13"/>
  <c r="BA116" i="13"/>
  <c r="BB116" i="13"/>
  <c r="AY116" i="13"/>
  <c r="AV116" i="13"/>
  <c r="AL116" i="13"/>
  <c r="AU116" i="13"/>
  <c r="AO116" i="13"/>
  <c r="AX116" i="13"/>
  <c r="AO120" i="13"/>
  <c r="AN120" i="13"/>
  <c r="AM120" i="13"/>
  <c r="AL120" i="13"/>
  <c r="AP120" i="13"/>
  <c r="BB120" i="13"/>
  <c r="AV120" i="13"/>
  <c r="AJ120" i="13"/>
  <c r="AW120" i="13"/>
  <c r="AT120" i="13"/>
  <c r="AR120" i="13"/>
  <c r="BA120" i="13"/>
  <c r="AY120" i="13"/>
  <c r="AQ120" i="13"/>
  <c r="AX120" i="13"/>
  <c r="AU120" i="13"/>
  <c r="AK120" i="13"/>
  <c r="AS120" i="13"/>
  <c r="AZ120" i="13"/>
  <c r="AW124" i="13"/>
  <c r="BB124" i="13"/>
  <c r="BA124" i="13"/>
  <c r="AZ124" i="13"/>
  <c r="AS124" i="13"/>
  <c r="AV124" i="13"/>
  <c r="AO124" i="13"/>
  <c r="AY124" i="13"/>
  <c r="AK124" i="13"/>
  <c r="AJ124" i="13"/>
  <c r="AT124" i="13"/>
  <c r="AL124" i="13"/>
  <c r="AP124" i="13"/>
  <c r="AM124" i="13"/>
  <c r="AN124" i="13"/>
  <c r="AU124" i="13"/>
  <c r="AQ124" i="13"/>
  <c r="AR124" i="13"/>
  <c r="AX124" i="13"/>
  <c r="AZ136" i="13"/>
  <c r="AW136" i="13"/>
  <c r="BB136" i="13"/>
  <c r="AT136" i="13"/>
  <c r="AS136" i="13"/>
  <c r="AL136" i="13"/>
  <c r="AV136" i="13"/>
  <c r="AU136" i="13"/>
  <c r="AM136" i="13"/>
  <c r="AQ136" i="13"/>
  <c r="AP136" i="13"/>
  <c r="AO136" i="13"/>
  <c r="AX136" i="13"/>
  <c r="AJ136" i="13"/>
  <c r="AR136" i="13"/>
  <c r="BA136" i="13"/>
  <c r="AN136" i="13"/>
  <c r="AY136" i="13"/>
  <c r="AK136" i="13"/>
  <c r="BA140" i="13"/>
  <c r="AT140" i="13"/>
  <c r="AS140" i="13"/>
  <c r="AR140" i="13"/>
  <c r="AQ140" i="13"/>
  <c r="AU140" i="13"/>
  <c r="AN140" i="13"/>
  <c r="AM140" i="13"/>
  <c r="AL140" i="13"/>
  <c r="AK140" i="13"/>
  <c r="AY140" i="13"/>
  <c r="AW140" i="13"/>
  <c r="AO140" i="13"/>
  <c r="BB140" i="13"/>
  <c r="AP140" i="13"/>
  <c r="AV140" i="13"/>
  <c r="AX140" i="13"/>
  <c r="AZ140" i="13"/>
  <c r="AJ140" i="13"/>
  <c r="AK144" i="13"/>
  <c r="AP144" i="13"/>
  <c r="AU144" i="13"/>
  <c r="AT144" i="13"/>
  <c r="AM144" i="13"/>
  <c r="BB144" i="13"/>
  <c r="BA144" i="13"/>
  <c r="AN144" i="13"/>
  <c r="AQ144" i="13"/>
  <c r="AJ144" i="13"/>
  <c r="AL144" i="13"/>
  <c r="AS144" i="13"/>
  <c r="AW144" i="13"/>
  <c r="AO144" i="13"/>
  <c r="AX144" i="13"/>
  <c r="AZ144" i="13"/>
  <c r="AV144" i="13"/>
  <c r="AY144" i="13"/>
  <c r="AR144" i="13"/>
  <c r="AS174" i="13"/>
  <c r="AR174" i="13"/>
  <c r="AK174" i="13"/>
  <c r="AP174" i="13"/>
  <c r="AU174" i="13"/>
  <c r="AY174" i="13"/>
  <c r="AL174" i="13"/>
  <c r="BB174" i="13"/>
  <c r="BA174" i="13"/>
  <c r="AM174" i="13"/>
  <c r="AW174" i="13"/>
  <c r="AV174" i="13"/>
  <c r="AO174" i="13"/>
  <c r="AQ174" i="13"/>
  <c r="AZ174" i="13"/>
  <c r="AN174" i="13"/>
  <c r="AT174" i="13"/>
  <c r="AX174" i="13"/>
  <c r="AJ174" i="13"/>
  <c r="AO178" i="13"/>
  <c r="AN178" i="13"/>
  <c r="AJ178" i="13"/>
  <c r="AP178" i="13"/>
  <c r="AV178" i="13"/>
  <c r="BB178" i="13"/>
  <c r="AY178" i="13"/>
  <c r="AX178" i="13"/>
  <c r="AW178" i="13"/>
  <c r="AU178" i="13"/>
  <c r="AM178" i="13"/>
  <c r="AK178" i="13"/>
  <c r="AZ178" i="13"/>
  <c r="AR178" i="13"/>
  <c r="BA178" i="13"/>
  <c r="AQ178" i="13"/>
  <c r="AT178" i="13"/>
  <c r="AS178" i="13"/>
  <c r="AL178" i="13"/>
  <c r="AW199" i="13"/>
  <c r="AV199" i="13"/>
  <c r="AU199" i="13"/>
  <c r="AT199" i="13"/>
  <c r="AM199" i="13"/>
  <c r="BB199" i="13"/>
  <c r="AO199" i="13"/>
  <c r="AY199" i="13"/>
  <c r="AQ199" i="13"/>
  <c r="AJ199" i="13"/>
  <c r="AZ199" i="13"/>
  <c r="AX199" i="13"/>
  <c r="AP199" i="13"/>
  <c r="AS199" i="13"/>
  <c r="AK199" i="13"/>
  <c r="BA199" i="13"/>
  <c r="AL199" i="13"/>
  <c r="AR199" i="13"/>
  <c r="AN199" i="13"/>
  <c r="AT203" i="13"/>
  <c r="AZ203" i="13"/>
  <c r="BB203" i="13"/>
  <c r="AN203" i="13"/>
  <c r="AY203" i="13"/>
  <c r="AR203" i="13"/>
  <c r="AK203" i="13"/>
  <c r="BA203" i="13"/>
  <c r="AS203" i="13"/>
  <c r="AL203" i="13"/>
  <c r="AV203" i="13"/>
  <c r="AU203" i="13"/>
  <c r="AM203" i="13"/>
  <c r="AP203" i="13"/>
  <c r="AX203" i="13"/>
  <c r="AJ203" i="13"/>
  <c r="AW203" i="13"/>
  <c r="AQ203" i="13"/>
  <c r="AO203" i="13"/>
  <c r="BA207" i="13"/>
  <c r="AZ207" i="13"/>
  <c r="AU207" i="13"/>
  <c r="BB207" i="13"/>
  <c r="AY207" i="13"/>
  <c r="AR207" i="13"/>
  <c r="AQ207" i="13"/>
  <c r="AT207" i="13"/>
  <c r="AS207" i="13"/>
  <c r="AL207" i="13"/>
  <c r="AK207" i="13"/>
  <c r="AJ207" i="13"/>
  <c r="AW207" i="13"/>
  <c r="AM207" i="13"/>
  <c r="AP207" i="13"/>
  <c r="AV207" i="13"/>
  <c r="AO207" i="13"/>
  <c r="AX207" i="13"/>
  <c r="AN207" i="13"/>
  <c r="AK211" i="13"/>
  <c r="AP211" i="13"/>
  <c r="AU211" i="13"/>
  <c r="AN211" i="13"/>
  <c r="AM211" i="13"/>
  <c r="AL211" i="13"/>
  <c r="AX211" i="13"/>
  <c r="AT211" i="13"/>
  <c r="AW211" i="13"/>
  <c r="AV211" i="13"/>
  <c r="AO211" i="13"/>
  <c r="AY211" i="13"/>
  <c r="BA211" i="13"/>
  <c r="AJ211" i="13"/>
  <c r="AQ211" i="13"/>
  <c r="AZ211" i="13"/>
  <c r="BB211" i="13"/>
  <c r="AR211" i="13"/>
  <c r="AS211" i="13"/>
  <c r="AS230" i="13"/>
  <c r="AL230" i="13"/>
  <c r="AK230" i="13"/>
  <c r="AP230" i="13"/>
  <c r="AO230" i="13"/>
  <c r="AR230" i="13"/>
  <c r="AN230" i="13"/>
  <c r="BA230" i="13"/>
  <c r="AY230" i="13"/>
  <c r="AT230" i="13"/>
  <c r="BB230" i="13"/>
  <c r="AU230" i="13"/>
  <c r="AW230" i="13"/>
  <c r="AZ230" i="13"/>
  <c r="AM230" i="13"/>
  <c r="AJ230" i="13"/>
  <c r="AX230" i="13"/>
  <c r="AQ230" i="13"/>
  <c r="AV230" i="13"/>
  <c r="AO234" i="13"/>
  <c r="AN234" i="13"/>
  <c r="AM234" i="13"/>
  <c r="AL234" i="13"/>
  <c r="AK234" i="13"/>
  <c r="AV234" i="13"/>
  <c r="BB234" i="13"/>
  <c r="AP234" i="13"/>
  <c r="AJ234" i="13"/>
  <c r="AU234" i="13"/>
  <c r="AS234" i="13"/>
  <c r="AQ234" i="13"/>
  <c r="AZ234" i="13"/>
  <c r="AX234" i="13"/>
  <c r="AY234" i="13"/>
  <c r="AR234" i="13"/>
  <c r="AT234" i="13"/>
  <c r="AW234" i="13"/>
  <c r="BA234" i="13"/>
  <c r="BA13" i="13"/>
  <c r="AX13" i="13"/>
  <c r="AQ13" i="13"/>
  <c r="AV13" i="13"/>
  <c r="AZ13" i="13"/>
  <c r="AY13" i="13"/>
  <c r="AR13" i="13"/>
  <c r="AK13" i="13"/>
  <c r="AP13" i="13"/>
  <c r="AN13" i="13"/>
  <c r="AW13" i="13"/>
  <c r="AU13" i="13"/>
  <c r="AS13" i="13"/>
  <c r="AO13" i="13"/>
  <c r="AL13" i="13"/>
  <c r="BB13" i="13"/>
  <c r="AM13" i="13"/>
  <c r="AJ13" i="13"/>
  <c r="AT13" i="13"/>
  <c r="BA6" i="13"/>
  <c r="AZ6" i="13"/>
  <c r="AY6" i="13"/>
  <c r="AR6" i="13"/>
  <c r="AK6" i="13"/>
  <c r="AU6" i="13"/>
  <c r="AT6" i="13"/>
  <c r="AS6" i="13"/>
  <c r="AL6" i="13"/>
  <c r="AP6" i="13"/>
  <c r="BB6" i="13"/>
  <c r="AX6" i="13"/>
  <c r="AN6" i="13"/>
  <c r="AW6" i="13"/>
  <c r="AO6" i="13"/>
  <c r="AJ6" i="13"/>
  <c r="AV6" i="13"/>
  <c r="AM6" i="13"/>
  <c r="AQ6" i="13"/>
  <c r="AN7" i="13"/>
  <c r="AX7" i="13"/>
  <c r="AW7" i="13"/>
  <c r="BB7" i="13"/>
  <c r="AU7" i="13"/>
  <c r="AY7" i="13"/>
  <c r="AR7" i="13"/>
  <c r="AQ7" i="13"/>
  <c r="AV7" i="13"/>
  <c r="AM7" i="13"/>
  <c r="BA7" i="13"/>
  <c r="AZ7" i="13"/>
  <c r="AL7" i="13"/>
  <c r="AP7" i="13"/>
  <c r="AK7" i="13"/>
  <c r="AT7" i="13"/>
  <c r="AJ7" i="13"/>
  <c r="AS7" i="13"/>
  <c r="AO7" i="13"/>
  <c r="BB11" i="13"/>
  <c r="BA11" i="13"/>
  <c r="AZ11" i="13"/>
  <c r="AS11" i="13"/>
  <c r="AR11" i="13"/>
  <c r="AV11" i="13"/>
  <c r="AU11" i="13"/>
  <c r="AT11" i="13"/>
  <c r="AM11" i="13"/>
  <c r="AL11" i="13"/>
  <c r="AP11" i="13"/>
  <c r="AO11" i="13"/>
  <c r="AN11" i="13"/>
  <c r="AK11" i="13"/>
  <c r="AW11" i="13"/>
  <c r="AY11" i="13"/>
  <c r="AX11" i="13"/>
  <c r="AQ11" i="13"/>
  <c r="AJ11" i="13"/>
  <c r="AL15" i="13"/>
  <c r="BB15" i="13"/>
  <c r="AM15" i="13"/>
  <c r="AS15" i="13"/>
  <c r="AY15" i="13"/>
  <c r="AX15" i="13"/>
  <c r="AK15" i="13"/>
  <c r="BA15" i="13"/>
  <c r="AT15" i="13"/>
  <c r="AR15" i="13"/>
  <c r="AV15" i="13"/>
  <c r="AU15" i="13"/>
  <c r="AN15" i="13"/>
  <c r="AP15" i="13"/>
  <c r="AQ15" i="13"/>
  <c r="AJ15" i="13"/>
  <c r="AO15" i="13"/>
  <c r="AW15" i="13"/>
  <c r="AZ15" i="13"/>
  <c r="AZ21" i="13"/>
  <c r="AS21" i="13"/>
  <c r="AL21" i="13"/>
  <c r="AK21" i="13"/>
  <c r="AP21" i="13"/>
  <c r="AT21" i="13"/>
  <c r="AM21" i="13"/>
  <c r="AU21" i="13"/>
  <c r="AO21" i="13"/>
  <c r="AJ21" i="13"/>
  <c r="AR21" i="13"/>
  <c r="AV21" i="13"/>
  <c r="AN21" i="13"/>
  <c r="AW21" i="13"/>
  <c r="BA21" i="13"/>
  <c r="AX21" i="13"/>
  <c r="AQ21" i="13"/>
  <c r="AY21" i="13"/>
  <c r="BB21" i="13"/>
  <c r="AP25" i="13"/>
  <c r="AU25" i="13"/>
  <c r="AN25" i="13"/>
  <c r="AK25" i="13"/>
  <c r="AW25" i="13"/>
  <c r="AJ25" i="13"/>
  <c r="AO25" i="13"/>
  <c r="AY25" i="13"/>
  <c r="AX25" i="13"/>
  <c r="AQ25" i="13"/>
  <c r="AS25" i="13"/>
  <c r="BA25" i="13"/>
  <c r="AM25" i="13"/>
  <c r="AT25" i="13"/>
  <c r="BB25" i="13"/>
  <c r="AR25" i="13"/>
  <c r="AV25" i="13"/>
  <c r="AL25" i="13"/>
  <c r="AZ25" i="13"/>
  <c r="AX29" i="13"/>
  <c r="AW29" i="13"/>
  <c r="AV29" i="13"/>
  <c r="AU29" i="13"/>
  <c r="AT29" i="13"/>
  <c r="AQ29" i="13"/>
  <c r="AJ29" i="13"/>
  <c r="AZ29" i="13"/>
  <c r="AR29" i="13"/>
  <c r="AK29" i="13"/>
  <c r="BA29" i="13"/>
  <c r="AN29" i="13"/>
  <c r="AL29" i="13"/>
  <c r="AO29" i="13"/>
  <c r="AP29" i="13"/>
  <c r="AY29" i="13"/>
  <c r="AM29" i="13"/>
  <c r="AS29" i="13"/>
  <c r="BB29" i="13"/>
  <c r="AN33" i="13"/>
  <c r="AM33" i="13"/>
  <c r="AU33" i="13"/>
  <c r="BA33" i="13"/>
  <c r="AJ33" i="13"/>
  <c r="AO33" i="13"/>
  <c r="AX33" i="13"/>
  <c r="AW33" i="13"/>
  <c r="BB33" i="13"/>
  <c r="AT33" i="13"/>
  <c r="AL33" i="13"/>
  <c r="AP33" i="13"/>
  <c r="AY33" i="13"/>
  <c r="AQ33" i="13"/>
  <c r="AZ33" i="13"/>
  <c r="AV33" i="13"/>
  <c r="AS33" i="13"/>
  <c r="AK33" i="13"/>
  <c r="AR33" i="13"/>
  <c r="BB38" i="13"/>
  <c r="AQ38" i="13"/>
  <c r="AZ38" i="13"/>
  <c r="AY38" i="13"/>
  <c r="AR38" i="13"/>
  <c r="AV38" i="13"/>
  <c r="BA38" i="13"/>
  <c r="AT38" i="13"/>
  <c r="AS38" i="13"/>
  <c r="AL38" i="13"/>
  <c r="AU38" i="13"/>
  <c r="AM38" i="13"/>
  <c r="AO38" i="13"/>
  <c r="AX38" i="13"/>
  <c r="AJ38" i="13"/>
  <c r="AN38" i="13"/>
  <c r="AK38" i="13"/>
  <c r="AP38" i="13"/>
  <c r="AW38" i="13"/>
  <c r="AL42" i="13"/>
  <c r="AK42" i="13"/>
  <c r="AJ42" i="13"/>
  <c r="AO42" i="13"/>
  <c r="AN42" i="13"/>
  <c r="AW42" i="13"/>
  <c r="AP42" i="13"/>
  <c r="AM42" i="13"/>
  <c r="AX42" i="13"/>
  <c r="AQ42" i="13"/>
  <c r="AY42" i="13"/>
  <c r="AZ42" i="13"/>
  <c r="BB42" i="13"/>
  <c r="AT42" i="13"/>
  <c r="AR42" i="13"/>
  <c r="AU42" i="13"/>
  <c r="AS42" i="13"/>
  <c r="AV42" i="13"/>
  <c r="BA42" i="13"/>
  <c r="AZ46" i="13"/>
  <c r="AY46" i="13"/>
  <c r="AX46" i="13"/>
  <c r="AQ46" i="13"/>
  <c r="AP46" i="13"/>
  <c r="AS46" i="13"/>
  <c r="AL46" i="13"/>
  <c r="AV46" i="13"/>
  <c r="AT46" i="13"/>
  <c r="AM46" i="13"/>
  <c r="AW46" i="13"/>
  <c r="AJ46" i="13"/>
  <c r="BA46" i="13"/>
  <c r="BB46" i="13"/>
  <c r="AO46" i="13"/>
  <c r="AU46" i="13"/>
  <c r="AN46" i="13"/>
  <c r="AR46" i="13"/>
  <c r="AK46" i="13"/>
  <c r="AP50" i="13"/>
  <c r="AO50" i="13"/>
  <c r="AW50" i="13"/>
  <c r="AK50" i="13"/>
  <c r="AQ50" i="13"/>
  <c r="AJ50" i="13"/>
  <c r="AZ50" i="13"/>
  <c r="AY50" i="13"/>
  <c r="AX50" i="13"/>
  <c r="BB50" i="13"/>
  <c r="AT50" i="13"/>
  <c r="AR50" i="13"/>
  <c r="AV50" i="13"/>
  <c r="AN50" i="13"/>
  <c r="AL50" i="13"/>
  <c r="AM50" i="13"/>
  <c r="BA50" i="13"/>
  <c r="AS50" i="13"/>
  <c r="AU50" i="13"/>
  <c r="AX54" i="13"/>
  <c r="AW54" i="13"/>
  <c r="AV54" i="13"/>
  <c r="BA54" i="13"/>
  <c r="AT54" i="13"/>
  <c r="AR54" i="13"/>
  <c r="AQ54" i="13"/>
  <c r="AP54" i="13"/>
  <c r="AU54" i="13"/>
  <c r="AN54" i="13"/>
  <c r="AK54" i="13"/>
  <c r="AO54" i="13"/>
  <c r="AL54" i="13"/>
  <c r="AM54" i="13"/>
  <c r="AY54" i="13"/>
  <c r="AZ54" i="13"/>
  <c r="BB54" i="13"/>
  <c r="AS54" i="13"/>
  <c r="AJ54" i="13"/>
  <c r="BB65" i="13"/>
  <c r="BA65" i="13"/>
  <c r="AZ65" i="13"/>
  <c r="AY65" i="13"/>
  <c r="AR65" i="13"/>
  <c r="AV65" i="13"/>
  <c r="AU65" i="13"/>
  <c r="AT65" i="13"/>
  <c r="AS65" i="13"/>
  <c r="AL65" i="13"/>
  <c r="AP65" i="13"/>
  <c r="AN65" i="13"/>
  <c r="AQ65" i="13"/>
  <c r="AJ65" i="13"/>
  <c r="AK65" i="13"/>
  <c r="AW65" i="13"/>
  <c r="AM65" i="13"/>
  <c r="AO65" i="13"/>
  <c r="AX65" i="13"/>
  <c r="AL69" i="13"/>
  <c r="AS69" i="13"/>
  <c r="AJ69" i="13"/>
  <c r="AO69" i="13"/>
  <c r="AM69" i="13"/>
  <c r="AW69" i="13"/>
  <c r="BB69" i="13"/>
  <c r="AY69" i="13"/>
  <c r="AZ69" i="13"/>
  <c r="AX69" i="13"/>
  <c r="AV69" i="13"/>
  <c r="AT69" i="13"/>
  <c r="AK69" i="13"/>
  <c r="AN69" i="13"/>
  <c r="AP69" i="13"/>
  <c r="AR69" i="13"/>
  <c r="BA69" i="13"/>
  <c r="AQ69" i="13"/>
  <c r="AU69" i="13"/>
  <c r="AZ73" i="13"/>
  <c r="AS73" i="13"/>
  <c r="AR73" i="13"/>
  <c r="AQ73" i="13"/>
  <c r="AP73" i="13"/>
  <c r="AY73" i="13"/>
  <c r="AL73" i="13"/>
  <c r="BB73" i="13"/>
  <c r="AM73" i="13"/>
  <c r="BA73" i="13"/>
  <c r="AV73" i="13"/>
  <c r="AN73" i="13"/>
  <c r="AK73" i="13"/>
  <c r="AU73" i="13"/>
  <c r="AJ73" i="13"/>
  <c r="AW73" i="13"/>
  <c r="AO73" i="13"/>
  <c r="AT73" i="13"/>
  <c r="AX73" i="13"/>
  <c r="AP77" i="13"/>
  <c r="AU77" i="13"/>
  <c r="AN77" i="13"/>
  <c r="AM77" i="13"/>
  <c r="AL77" i="13"/>
  <c r="AJ77" i="13"/>
  <c r="AO77" i="13"/>
  <c r="AK77" i="13"/>
  <c r="AQ77" i="13"/>
  <c r="AW77" i="13"/>
  <c r="AY77" i="13"/>
  <c r="BA77" i="13"/>
  <c r="AS77" i="13"/>
  <c r="AV77" i="13"/>
  <c r="AR77" i="13"/>
  <c r="AZ77" i="13"/>
  <c r="BB77" i="13"/>
  <c r="AT77" i="13"/>
  <c r="AX77" i="13"/>
  <c r="AX81" i="13"/>
  <c r="AQ81" i="13"/>
  <c r="AP81" i="13"/>
  <c r="AU81" i="13"/>
  <c r="AT81" i="13"/>
  <c r="AR81" i="13"/>
  <c r="AK81" i="13"/>
  <c r="AJ81" i="13"/>
  <c r="AO81" i="13"/>
  <c r="AN81" i="13"/>
  <c r="AL81" i="13"/>
  <c r="AS81" i="13"/>
  <c r="AM81" i="13"/>
  <c r="BA81" i="13"/>
  <c r="AW81" i="13"/>
  <c r="AY81" i="13"/>
  <c r="BB81" i="13"/>
  <c r="AZ81" i="13"/>
  <c r="AV81" i="13"/>
  <c r="AN85" i="13"/>
  <c r="AY85" i="13"/>
  <c r="AX85" i="13"/>
  <c r="AQ85" i="13"/>
  <c r="AV85" i="13"/>
  <c r="AS85" i="13"/>
  <c r="AR85" i="13"/>
  <c r="AK85" i="13"/>
  <c r="AP85" i="13"/>
  <c r="AU85" i="13"/>
  <c r="BB85" i="13"/>
  <c r="AZ85" i="13"/>
  <c r="AL85" i="13"/>
  <c r="AJ85" i="13"/>
  <c r="AO85" i="13"/>
  <c r="AT85" i="13"/>
  <c r="BA85" i="13"/>
  <c r="AM85" i="13"/>
  <c r="AW85" i="13"/>
  <c r="BB89" i="13"/>
  <c r="AK89" i="13"/>
  <c r="AZ89" i="13"/>
  <c r="AY89" i="13"/>
  <c r="AR89" i="13"/>
  <c r="AV89" i="13"/>
  <c r="BA89" i="13"/>
  <c r="AT89" i="13"/>
  <c r="AS89" i="13"/>
  <c r="AL89" i="13"/>
  <c r="AU89" i="13"/>
  <c r="AM89" i="13"/>
  <c r="AO89" i="13"/>
  <c r="AX89" i="13"/>
  <c r="AW89" i="13"/>
  <c r="AP89" i="13"/>
  <c r="AQ89" i="13"/>
  <c r="AJ89" i="13"/>
  <c r="AN89" i="13"/>
  <c r="AL93" i="13"/>
  <c r="AK93" i="13"/>
  <c r="AP93" i="13"/>
  <c r="AO93" i="13"/>
  <c r="AN93" i="13"/>
  <c r="AS93" i="13"/>
  <c r="AY93" i="13"/>
  <c r="AJ93" i="13"/>
  <c r="AM93" i="13"/>
  <c r="AW93" i="13"/>
  <c r="BA93" i="13"/>
  <c r="AQ93" i="13"/>
  <c r="AZ93" i="13"/>
  <c r="BB93" i="13"/>
  <c r="AT93" i="13"/>
  <c r="AX93" i="13"/>
  <c r="AV93" i="13"/>
  <c r="AR93" i="13"/>
  <c r="AU93" i="13"/>
  <c r="AT97" i="13"/>
  <c r="AM97" i="13"/>
  <c r="AU97" i="13"/>
  <c r="BA97" i="13"/>
  <c r="AJ97" i="13"/>
  <c r="AN97" i="13"/>
  <c r="AX97" i="13"/>
  <c r="AW97" i="13"/>
  <c r="BB97" i="13"/>
  <c r="AO97" i="13"/>
  <c r="AZ97" i="13"/>
  <c r="AL97" i="13"/>
  <c r="AP97" i="13"/>
  <c r="AY97" i="13"/>
  <c r="AQ97" i="13"/>
  <c r="AR97" i="13"/>
  <c r="AK97" i="13"/>
  <c r="AV97" i="13"/>
  <c r="AS97" i="13"/>
  <c r="AP101" i="13"/>
  <c r="AU101" i="13"/>
  <c r="AN101" i="13"/>
  <c r="AM101" i="13"/>
  <c r="AW101" i="13"/>
  <c r="AJ101" i="13"/>
  <c r="AO101" i="13"/>
  <c r="AQ101" i="13"/>
  <c r="AX101" i="13"/>
  <c r="BB101" i="13"/>
  <c r="AZ101" i="13"/>
  <c r="AR101" i="13"/>
  <c r="AV101" i="13"/>
  <c r="AT101" i="13"/>
  <c r="AL101" i="13"/>
  <c r="BA101" i="13"/>
  <c r="AY101" i="13"/>
  <c r="AK101" i="13"/>
  <c r="AS101" i="13"/>
  <c r="AX105" i="13"/>
  <c r="AW105" i="13"/>
  <c r="AV105" i="13"/>
  <c r="AU105" i="13"/>
  <c r="AT105" i="13"/>
  <c r="AR105" i="13"/>
  <c r="AQ105" i="13"/>
  <c r="AP105" i="13"/>
  <c r="AO105" i="13"/>
  <c r="AN105" i="13"/>
  <c r="AK105" i="13"/>
  <c r="AY105" i="13"/>
  <c r="AJ105" i="13"/>
  <c r="AL105" i="13"/>
  <c r="BA105" i="13"/>
  <c r="AS105" i="13"/>
  <c r="AZ105" i="13"/>
  <c r="BB105" i="13"/>
  <c r="AM105" i="13"/>
  <c r="AY109" i="13"/>
  <c r="AX109" i="13"/>
  <c r="AW109" i="13"/>
  <c r="BB109" i="13"/>
  <c r="AZ109" i="13"/>
  <c r="AS109" i="13"/>
  <c r="AR109" i="13"/>
  <c r="AQ109" i="13"/>
  <c r="AV109" i="13"/>
  <c r="AN109" i="13"/>
  <c r="BA109" i="13"/>
  <c r="AJ109" i="13"/>
  <c r="AM109" i="13"/>
  <c r="AK109" i="13"/>
  <c r="AT109" i="13"/>
  <c r="AP109" i="13"/>
  <c r="AO109" i="13"/>
  <c r="AL109" i="13"/>
  <c r="AU109" i="13"/>
  <c r="BB113" i="13"/>
  <c r="BA113" i="13"/>
  <c r="AT113" i="13"/>
  <c r="AS113" i="13"/>
  <c r="AR113" i="13"/>
  <c r="AV113" i="13"/>
  <c r="AU113" i="13"/>
  <c r="AN113" i="13"/>
  <c r="AM113" i="13"/>
  <c r="AP113" i="13"/>
  <c r="AW113" i="13"/>
  <c r="AL113" i="13"/>
  <c r="AJ113" i="13"/>
  <c r="AY113" i="13"/>
  <c r="AK113" i="13"/>
  <c r="AX113" i="13"/>
  <c r="AO113" i="13"/>
  <c r="AQ113" i="13"/>
  <c r="AZ113" i="13"/>
  <c r="AL117" i="13"/>
  <c r="AY117" i="13"/>
  <c r="AJ117" i="13"/>
  <c r="AO117" i="13"/>
  <c r="AN117" i="13"/>
  <c r="AW117" i="13"/>
  <c r="BB117" i="13"/>
  <c r="AM117" i="13"/>
  <c r="AS117" i="13"/>
  <c r="AX117" i="13"/>
  <c r="AV117" i="13"/>
  <c r="AZ117" i="13"/>
  <c r="AQ117" i="13"/>
  <c r="AU117" i="13"/>
  <c r="AK117" i="13"/>
  <c r="AT117" i="13"/>
  <c r="AP117" i="13"/>
  <c r="BA117" i="13"/>
  <c r="AR117" i="13"/>
  <c r="AT121" i="13"/>
  <c r="AS121" i="13"/>
  <c r="AL121" i="13"/>
  <c r="AU121" i="13"/>
  <c r="AJ121" i="13"/>
  <c r="AN121" i="13"/>
  <c r="AM121" i="13"/>
  <c r="AW121" i="13"/>
  <c r="BB121" i="13"/>
  <c r="BA121" i="13"/>
  <c r="AY121" i="13"/>
  <c r="AK121" i="13"/>
  <c r="AX121" i="13"/>
  <c r="AV121" i="13"/>
  <c r="AQ121" i="13"/>
  <c r="AZ121" i="13"/>
  <c r="AP121" i="13"/>
  <c r="AO121" i="13"/>
  <c r="AR121" i="13"/>
  <c r="AJ125" i="13"/>
  <c r="AW125" i="13"/>
  <c r="AY125" i="13"/>
  <c r="AX125" i="13"/>
  <c r="BB125" i="13"/>
  <c r="BA125" i="13"/>
  <c r="AZ125" i="13"/>
  <c r="AS125" i="13"/>
  <c r="AR125" i="13"/>
  <c r="AP125" i="13"/>
  <c r="AN125" i="13"/>
  <c r="AK125" i="13"/>
  <c r="AU125" i="13"/>
  <c r="AM125" i="13"/>
  <c r="AT125" i="13"/>
  <c r="AQ125" i="13"/>
  <c r="AO125" i="13"/>
  <c r="AL125" i="13"/>
  <c r="AV125" i="13"/>
  <c r="AX137" i="13"/>
  <c r="AQ137" i="13"/>
  <c r="AP137" i="13"/>
  <c r="AU137" i="13"/>
  <c r="AT137" i="13"/>
  <c r="AR137" i="13"/>
  <c r="AK137" i="13"/>
  <c r="AJ137" i="13"/>
  <c r="AO137" i="13"/>
  <c r="AN137" i="13"/>
  <c r="AL137" i="13"/>
  <c r="AS137" i="13"/>
  <c r="AM137" i="13"/>
  <c r="AV137" i="13"/>
  <c r="BA137" i="13"/>
  <c r="AW137" i="13"/>
  <c r="AY137" i="13"/>
  <c r="AZ137" i="13"/>
  <c r="BB137" i="13"/>
  <c r="AO141" i="13"/>
  <c r="AX141" i="13"/>
  <c r="AQ141" i="13"/>
  <c r="AV141" i="13"/>
  <c r="AZ141" i="13"/>
  <c r="AY141" i="13"/>
  <c r="AR141" i="13"/>
  <c r="AK141" i="13"/>
  <c r="AP141" i="13"/>
  <c r="AM141" i="13"/>
  <c r="BB141" i="13"/>
  <c r="AT141" i="13"/>
  <c r="AL141" i="13"/>
  <c r="AJ141" i="13"/>
  <c r="AS141" i="13"/>
  <c r="AW141" i="13"/>
  <c r="BA141" i="13"/>
  <c r="AN141" i="13"/>
  <c r="AU141" i="13"/>
  <c r="AV171" i="13"/>
  <c r="AU171" i="13"/>
  <c r="AN171" i="13"/>
  <c r="AM171" i="13"/>
  <c r="AL171" i="13"/>
  <c r="AP171" i="13"/>
  <c r="AO171" i="13"/>
  <c r="AW171" i="13"/>
  <c r="AQ171" i="13"/>
  <c r="AK171" i="13"/>
  <c r="BA171" i="13"/>
  <c r="AS171" i="13"/>
  <c r="AZ171" i="13"/>
  <c r="AX171" i="13"/>
  <c r="AJ171" i="13"/>
  <c r="AT171" i="13"/>
  <c r="BB171" i="13"/>
  <c r="AY171" i="13"/>
  <c r="AR171" i="13"/>
  <c r="AL175" i="13"/>
  <c r="AM175" i="13"/>
  <c r="AJ175" i="13"/>
  <c r="AY175" i="13"/>
  <c r="AS175" i="13"/>
  <c r="BB175" i="13"/>
  <c r="BA175" i="13"/>
  <c r="AZ175" i="13"/>
  <c r="AW175" i="13"/>
  <c r="AP175" i="13"/>
  <c r="AN175" i="13"/>
  <c r="AR175" i="13"/>
  <c r="AU175" i="13"/>
  <c r="AQ175" i="13"/>
  <c r="AO175" i="13"/>
  <c r="AK175" i="13"/>
  <c r="AT175" i="13"/>
  <c r="AX175" i="13"/>
  <c r="AV175" i="13"/>
  <c r="AT179" i="13"/>
  <c r="AM179" i="13"/>
  <c r="AL179" i="13"/>
  <c r="AU179" i="13"/>
  <c r="AJ179" i="13"/>
  <c r="AN179" i="13"/>
  <c r="AO179" i="13"/>
  <c r="AW179" i="13"/>
  <c r="BB179" i="13"/>
  <c r="BA179" i="13"/>
  <c r="AZ179" i="13"/>
  <c r="AR179" i="13"/>
  <c r="AP179" i="13"/>
  <c r="AY179" i="13"/>
  <c r="AQ179" i="13"/>
  <c r="AV179" i="13"/>
  <c r="AS179" i="13"/>
  <c r="AX179" i="13"/>
  <c r="AK179" i="13"/>
  <c r="AJ200" i="13"/>
  <c r="AO200" i="13"/>
  <c r="AN200" i="13"/>
  <c r="AK200" i="13"/>
  <c r="BB200" i="13"/>
  <c r="AQ200" i="13"/>
  <c r="AW200" i="13"/>
  <c r="AY200" i="13"/>
  <c r="AX200" i="13"/>
  <c r="AU200" i="13"/>
  <c r="AM200" i="13"/>
  <c r="AV200" i="13"/>
  <c r="AZ200" i="13"/>
  <c r="AR200" i="13"/>
  <c r="AS200" i="13"/>
  <c r="AP200" i="13"/>
  <c r="AL200" i="13"/>
  <c r="BA200" i="13"/>
  <c r="AT200" i="13"/>
  <c r="AX204" i="13"/>
  <c r="AW204" i="13"/>
  <c r="AV204" i="13"/>
  <c r="AU204" i="13"/>
  <c r="AT204" i="13"/>
  <c r="AR204" i="13"/>
  <c r="AQ204" i="13"/>
  <c r="AP204" i="13"/>
  <c r="AO204" i="13"/>
  <c r="AN204" i="13"/>
  <c r="AY204" i="13"/>
  <c r="BA204" i="13"/>
  <c r="AK204" i="13"/>
  <c r="AZ204" i="13"/>
  <c r="BB204" i="13"/>
  <c r="AS204" i="13"/>
  <c r="AJ204" i="13"/>
  <c r="AM204" i="13"/>
  <c r="AL204" i="13"/>
  <c r="AY208" i="13"/>
  <c r="AX208" i="13"/>
  <c r="AW208" i="13"/>
  <c r="AV208" i="13"/>
  <c r="AZ208" i="13"/>
  <c r="AS208" i="13"/>
  <c r="AR208" i="13"/>
  <c r="AQ208" i="13"/>
  <c r="AP208" i="13"/>
  <c r="AN208" i="13"/>
  <c r="AO208" i="13"/>
  <c r="BA208" i="13"/>
  <c r="AM208" i="13"/>
  <c r="AK208" i="13"/>
  <c r="AL208" i="13"/>
  <c r="BB208" i="13"/>
  <c r="AT208" i="13"/>
  <c r="AJ208" i="13"/>
  <c r="AU208" i="13"/>
  <c r="AV212" i="13"/>
  <c r="BA212" i="13"/>
  <c r="AT212" i="13"/>
  <c r="AS212" i="13"/>
  <c r="AL212" i="13"/>
  <c r="AP212" i="13"/>
  <c r="AU212" i="13"/>
  <c r="AN212" i="13"/>
  <c r="AM212" i="13"/>
  <c r="AK212" i="13"/>
  <c r="BB212" i="13"/>
  <c r="AZ212" i="13"/>
  <c r="AR212" i="13"/>
  <c r="AJ212" i="13"/>
  <c r="AW212" i="13"/>
  <c r="AO212" i="13"/>
  <c r="AY212" i="13"/>
  <c r="AX212" i="13"/>
  <c r="AQ212" i="13"/>
  <c r="AL231" i="13"/>
  <c r="AQ231" i="13"/>
  <c r="AV231" i="13"/>
  <c r="AU231" i="13"/>
  <c r="AN231" i="13"/>
  <c r="AS231" i="13"/>
  <c r="AK231" i="13"/>
  <c r="AP231" i="13"/>
  <c r="AO231" i="13"/>
  <c r="AW231" i="13"/>
  <c r="BA231" i="13"/>
  <c r="AX231" i="13"/>
  <c r="BB231" i="13"/>
  <c r="AR231" i="13"/>
  <c r="AJ231" i="13"/>
  <c r="AM231" i="13"/>
  <c r="AZ231" i="13"/>
  <c r="AY231" i="13"/>
  <c r="AT231" i="13"/>
  <c r="AR9" i="13"/>
  <c r="AK9" i="13"/>
  <c r="AP9" i="13"/>
  <c r="AO9" i="13"/>
  <c r="AN9" i="13"/>
  <c r="AW9" i="13"/>
  <c r="AV9" i="13"/>
  <c r="AS9" i="13"/>
  <c r="AQ9" i="13"/>
  <c r="AJ9" i="13"/>
  <c r="AZ9" i="13"/>
  <c r="AY9" i="13"/>
  <c r="AT9" i="13"/>
  <c r="BA9" i="13"/>
  <c r="AX9" i="13"/>
  <c r="AU9" i="13"/>
  <c r="AL9" i="13"/>
  <c r="AM9" i="13"/>
  <c r="BB9" i="13"/>
  <c r="AK10" i="13"/>
  <c r="AP10" i="13"/>
  <c r="AO10" i="13"/>
  <c r="AN10" i="13"/>
  <c r="AL10" i="13"/>
  <c r="AR10" i="13"/>
  <c r="AJ10" i="13"/>
  <c r="AX10" i="13"/>
  <c r="AY10" i="13"/>
  <c r="AW10" i="13"/>
  <c r="BA10" i="13"/>
  <c r="AS10" i="13"/>
  <c r="AQ10" i="13"/>
  <c r="AU10" i="13"/>
  <c r="AM10" i="13"/>
  <c r="BB10" i="13"/>
  <c r="AZ10" i="13"/>
  <c r="AT10" i="13"/>
  <c r="AV10" i="13"/>
  <c r="AY8" i="13"/>
  <c r="AX8" i="13"/>
  <c r="AQ8" i="13"/>
  <c r="AV8" i="13"/>
  <c r="AU8" i="13"/>
  <c r="AS8" i="13"/>
  <c r="AR8" i="13"/>
  <c r="AK8" i="13"/>
  <c r="AP8" i="13"/>
  <c r="AO8" i="13"/>
  <c r="AT8" i="13"/>
  <c r="BB8" i="13"/>
  <c r="AL8" i="13"/>
  <c r="AJ8" i="13"/>
  <c r="AZ8" i="13"/>
  <c r="BA8" i="13"/>
  <c r="AM8" i="13"/>
  <c r="AN8" i="13"/>
  <c r="AW8" i="13"/>
  <c r="AU12" i="13"/>
  <c r="AT12" i="13"/>
  <c r="AS12" i="13"/>
  <c r="AR12" i="13"/>
  <c r="AK12" i="13"/>
  <c r="AO12" i="13"/>
  <c r="AN12" i="13"/>
  <c r="AM12" i="13"/>
  <c r="AL12" i="13"/>
  <c r="AJ12" i="13"/>
  <c r="BA12" i="13"/>
  <c r="AY12" i="13"/>
  <c r="AQ12" i="13"/>
  <c r="AP12" i="13"/>
  <c r="AV12" i="13"/>
  <c r="AW12" i="13"/>
  <c r="AZ12" i="13"/>
  <c r="AX12" i="13"/>
  <c r="BB12" i="13"/>
  <c r="AR16" i="13"/>
  <c r="AJ16" i="13"/>
  <c r="AO16" i="13"/>
  <c r="AY16" i="13"/>
  <c r="AW16" i="13"/>
  <c r="BB16" i="13"/>
  <c r="AL16" i="13"/>
  <c r="AZ16" i="13"/>
  <c r="AV16" i="13"/>
  <c r="AT16" i="13"/>
  <c r="AX16" i="13"/>
  <c r="AP16" i="13"/>
  <c r="AN16" i="13"/>
  <c r="AQ16" i="13"/>
  <c r="BA16" i="13"/>
  <c r="AS16" i="13"/>
  <c r="AM16" i="13"/>
  <c r="AK16" i="13"/>
  <c r="AU16" i="13"/>
  <c r="AM22" i="13"/>
  <c r="AL22" i="13"/>
  <c r="AK22" i="13"/>
  <c r="AJ22" i="13"/>
  <c r="AZ22" i="13"/>
  <c r="AN22" i="13"/>
  <c r="AT22" i="13"/>
  <c r="BB22" i="13"/>
  <c r="BA22" i="13"/>
  <c r="AR22" i="13"/>
  <c r="AP22" i="13"/>
  <c r="AY22" i="13"/>
  <c r="AW22" i="13"/>
  <c r="AU22" i="13"/>
  <c r="AX22" i="13"/>
  <c r="AQ22" i="13"/>
  <c r="AV22" i="13"/>
  <c r="AS22" i="13"/>
  <c r="AO22" i="13"/>
  <c r="BB26" i="13"/>
  <c r="AP26" i="13"/>
  <c r="AJ26" i="13"/>
  <c r="AW26" i="13"/>
  <c r="BA26" i="13"/>
  <c r="AZ26" i="13"/>
  <c r="AY26" i="13"/>
  <c r="AX26" i="13"/>
  <c r="AQ26" i="13"/>
  <c r="AO26" i="13"/>
  <c r="AM26" i="13"/>
  <c r="AV26" i="13"/>
  <c r="AT26" i="13"/>
  <c r="AR26" i="13"/>
  <c r="AS26" i="13"/>
  <c r="AL26" i="13"/>
  <c r="AN26" i="13"/>
  <c r="AK26" i="13"/>
  <c r="AU26" i="13"/>
  <c r="AQ30" i="13"/>
  <c r="AP30" i="13"/>
  <c r="AU30" i="13"/>
  <c r="AT30" i="13"/>
  <c r="AM30" i="13"/>
  <c r="AK30" i="13"/>
  <c r="AR30" i="13"/>
  <c r="AZ30" i="13"/>
  <c r="AX30" i="13"/>
  <c r="BB30" i="13"/>
  <c r="BA30" i="13"/>
  <c r="AN30" i="13"/>
  <c r="AV30" i="13"/>
  <c r="AO30" i="13"/>
  <c r="AY30" i="13"/>
  <c r="AJ30" i="13"/>
  <c r="AL30" i="13"/>
  <c r="AS30" i="13"/>
  <c r="AW30" i="13"/>
  <c r="AY34" i="13"/>
  <c r="AR34" i="13"/>
  <c r="AK34" i="13"/>
  <c r="AP34" i="13"/>
  <c r="AO34" i="13"/>
  <c r="AX34" i="13"/>
  <c r="AT34" i="13"/>
  <c r="BA34" i="13"/>
  <c r="BB34" i="13"/>
  <c r="AU34" i="13"/>
  <c r="AL34" i="13"/>
  <c r="AQ34" i="13"/>
  <c r="AN34" i="13"/>
  <c r="AS34" i="13"/>
  <c r="AV34" i="13"/>
  <c r="AM34" i="13"/>
  <c r="AJ34" i="13"/>
  <c r="AW34" i="13"/>
  <c r="AZ34" i="13"/>
  <c r="AU39" i="13"/>
  <c r="AN39" i="13"/>
  <c r="AM39" i="13"/>
  <c r="AL39" i="13"/>
  <c r="AK39" i="13"/>
  <c r="AO39" i="13"/>
  <c r="AJ39" i="13"/>
  <c r="AV39" i="13"/>
  <c r="AP39" i="13"/>
  <c r="BB39" i="13"/>
  <c r="AT39" i="13"/>
  <c r="AR39" i="13"/>
  <c r="AY39" i="13"/>
  <c r="AW39" i="13"/>
  <c r="AZ39" i="13"/>
  <c r="AS39" i="13"/>
  <c r="BA39" i="13"/>
  <c r="AX39" i="13"/>
  <c r="AQ39" i="13"/>
  <c r="BB43" i="13"/>
  <c r="AL43" i="13"/>
  <c r="AZ43" i="13"/>
  <c r="AS43" i="13"/>
  <c r="AQ43" i="13"/>
  <c r="AJ43" i="13"/>
  <c r="AT43" i="13"/>
  <c r="AX43" i="13"/>
  <c r="AK43" i="13"/>
  <c r="BA43" i="13"/>
  <c r="AN43" i="13"/>
  <c r="AR43" i="13"/>
  <c r="AV43" i="13"/>
  <c r="AU43" i="13"/>
  <c r="AY43" i="13"/>
  <c r="AO43" i="13"/>
  <c r="AM43" i="13"/>
  <c r="AW43" i="13"/>
  <c r="AP43" i="13"/>
  <c r="AM47" i="13"/>
  <c r="AW47" i="13"/>
  <c r="BB47" i="13"/>
  <c r="AT47" i="13"/>
  <c r="AZ47" i="13"/>
  <c r="AX47" i="13"/>
  <c r="AK47" i="13"/>
  <c r="AJ47" i="13"/>
  <c r="AR47" i="13"/>
  <c r="BA47" i="13"/>
  <c r="AN47" i="13"/>
  <c r="AS47" i="13"/>
  <c r="AP47" i="13"/>
  <c r="AL47" i="13"/>
  <c r="AU47" i="13"/>
  <c r="AQ47" i="13"/>
  <c r="AO47" i="13"/>
  <c r="AY47" i="13"/>
  <c r="AV47" i="13"/>
  <c r="AP51" i="13"/>
  <c r="AV51" i="13"/>
  <c r="AX51" i="13"/>
  <c r="AW51" i="13"/>
  <c r="BA51" i="13"/>
  <c r="AZ51" i="13"/>
  <c r="AY51" i="13"/>
  <c r="AR51" i="13"/>
  <c r="AQ51" i="13"/>
  <c r="AN51" i="13"/>
  <c r="BB51" i="13"/>
  <c r="AU51" i="13"/>
  <c r="AS51" i="13"/>
  <c r="AK51" i="13"/>
  <c r="AL51" i="13"/>
  <c r="AO51" i="13"/>
  <c r="AJ51" i="13"/>
  <c r="AT51" i="13"/>
  <c r="AM51" i="13"/>
  <c r="AQ55" i="13"/>
  <c r="AP55" i="13"/>
  <c r="AU55" i="13"/>
  <c r="AT55" i="13"/>
  <c r="AS55" i="13"/>
  <c r="AW55" i="13"/>
  <c r="AJ55" i="13"/>
  <c r="AX55" i="13"/>
  <c r="AY55" i="13"/>
  <c r="AK55" i="13"/>
  <c r="AL55" i="13"/>
  <c r="AZ55" i="13"/>
  <c r="AM55" i="13"/>
  <c r="BB55" i="13"/>
  <c r="BA55" i="13"/>
  <c r="AN55" i="13"/>
  <c r="AR55" i="13"/>
  <c r="AO55" i="13"/>
  <c r="AV55" i="13"/>
  <c r="AY62" i="13"/>
  <c r="AR62" i="13"/>
  <c r="AK62" i="13"/>
  <c r="AJ62" i="13"/>
  <c r="AT62" i="13"/>
  <c r="AM62" i="13"/>
  <c r="AQ62" i="13"/>
  <c r="BA62" i="13"/>
  <c r="AZ62" i="13"/>
  <c r="BB62" i="13"/>
  <c r="AU62" i="13"/>
  <c r="AX62" i="13"/>
  <c r="AW62" i="13"/>
  <c r="AN62" i="13"/>
  <c r="AV62" i="13"/>
  <c r="AS62" i="13"/>
  <c r="AP62" i="13"/>
  <c r="AL62" i="13"/>
  <c r="AO62" i="13"/>
  <c r="AU66" i="13"/>
  <c r="AT66" i="13"/>
  <c r="AM66" i="13"/>
  <c r="AL66" i="13"/>
  <c r="AJ66" i="13"/>
  <c r="AO66" i="13"/>
  <c r="AN66" i="13"/>
  <c r="BB66" i="13"/>
  <c r="AW66" i="13"/>
  <c r="AV66" i="13"/>
  <c r="BA66" i="13"/>
  <c r="AS66" i="13"/>
  <c r="AK66" i="13"/>
  <c r="AP66" i="13"/>
  <c r="AX66" i="13"/>
  <c r="AY66" i="13"/>
  <c r="AR66" i="13"/>
  <c r="AZ66" i="13"/>
  <c r="AQ66" i="13"/>
  <c r="BB70" i="13"/>
  <c r="BA70" i="13"/>
  <c r="AT70" i="13"/>
  <c r="AS70" i="13"/>
  <c r="AW70" i="13"/>
  <c r="AP70" i="13"/>
  <c r="AZ70" i="13"/>
  <c r="AM70" i="13"/>
  <c r="AQ70" i="13"/>
  <c r="AJ70" i="13"/>
  <c r="AN70" i="13"/>
  <c r="AX70" i="13"/>
  <c r="AK70" i="13"/>
  <c r="AU70" i="13"/>
  <c r="AR70" i="13"/>
  <c r="AL70" i="13"/>
  <c r="AY70" i="13"/>
  <c r="AV70" i="13"/>
  <c r="AO70" i="13"/>
  <c r="AM74" i="13"/>
  <c r="AW74" i="13"/>
  <c r="AV74" i="13"/>
  <c r="BA74" i="13"/>
  <c r="AT74" i="13"/>
  <c r="AS74" i="13"/>
  <c r="AQ74" i="13"/>
  <c r="AJ74" i="13"/>
  <c r="AN74" i="13"/>
  <c r="AK74" i="13"/>
  <c r="AZ74" i="13"/>
  <c r="AX74" i="13"/>
  <c r="AY74" i="13"/>
  <c r="AP74" i="13"/>
  <c r="AR74" i="13"/>
  <c r="AU74" i="13"/>
  <c r="AL74" i="13"/>
  <c r="AO74" i="13"/>
  <c r="BB74" i="13"/>
  <c r="AZ78" i="13"/>
  <c r="AY78" i="13"/>
  <c r="AR78" i="13"/>
  <c r="AK78" i="13"/>
  <c r="BA78" i="13"/>
  <c r="AT78" i="13"/>
  <c r="AS78" i="13"/>
  <c r="AL78" i="13"/>
  <c r="BB78" i="13"/>
  <c r="AO78" i="13"/>
  <c r="AX78" i="13"/>
  <c r="AP78" i="13"/>
  <c r="AN78" i="13"/>
  <c r="AW78" i="13"/>
  <c r="AU78" i="13"/>
  <c r="AJ78" i="13"/>
  <c r="AV78" i="13"/>
  <c r="AQ78" i="13"/>
  <c r="AM78" i="13"/>
  <c r="AQ82" i="13"/>
  <c r="AV82" i="13"/>
  <c r="BA82" i="13"/>
  <c r="AT82" i="13"/>
  <c r="AM82" i="13"/>
  <c r="BB82" i="13"/>
  <c r="AU82" i="13"/>
  <c r="AY82" i="13"/>
  <c r="AW82" i="13"/>
  <c r="AP82" i="13"/>
  <c r="AO82" i="13"/>
  <c r="AS82" i="13"/>
  <c r="AK82" i="13"/>
  <c r="AJ82" i="13"/>
  <c r="AZ82" i="13"/>
  <c r="AX82" i="13"/>
  <c r="AR82" i="13"/>
  <c r="AL82" i="13"/>
  <c r="AN82" i="13"/>
  <c r="AY86" i="13"/>
  <c r="AX86" i="13"/>
  <c r="AQ86" i="13"/>
  <c r="AV86" i="13"/>
  <c r="AU86" i="13"/>
  <c r="AS86" i="13"/>
  <c r="AL86" i="13"/>
  <c r="BB86" i="13"/>
  <c r="AO86" i="13"/>
  <c r="AM86" i="13"/>
  <c r="AW86" i="13"/>
  <c r="AP86" i="13"/>
  <c r="AZ86" i="13"/>
  <c r="AR86" i="13"/>
  <c r="BA86" i="13"/>
  <c r="AK86" i="13"/>
  <c r="AT86" i="13"/>
  <c r="AJ86" i="13"/>
  <c r="AN86" i="13"/>
  <c r="AU90" i="13"/>
  <c r="AN90" i="13"/>
  <c r="AJ90" i="13"/>
  <c r="BB90" i="13"/>
  <c r="AV90" i="13"/>
  <c r="AO90" i="13"/>
  <c r="AY90" i="13"/>
  <c r="AX90" i="13"/>
  <c r="AW90" i="13"/>
  <c r="AP90" i="13"/>
  <c r="AT90" i="13"/>
  <c r="AL90" i="13"/>
  <c r="AS90" i="13"/>
  <c r="AQ90" i="13"/>
  <c r="AR90" i="13"/>
  <c r="BA90" i="13"/>
  <c r="AK90" i="13"/>
  <c r="AM90" i="13"/>
  <c r="AZ90" i="13"/>
  <c r="BB94" i="13"/>
  <c r="BA94" i="13"/>
  <c r="AZ94" i="13"/>
  <c r="AS94" i="13"/>
  <c r="AV94" i="13"/>
  <c r="AO94" i="13"/>
  <c r="AY94" i="13"/>
  <c r="AW94" i="13"/>
  <c r="AQ94" i="13"/>
  <c r="AJ94" i="13"/>
  <c r="AT94" i="13"/>
  <c r="AL94" i="13"/>
  <c r="AP94" i="13"/>
  <c r="AM94" i="13"/>
  <c r="AN94" i="13"/>
  <c r="AU94" i="13"/>
  <c r="AX94" i="13"/>
  <c r="AR94" i="13"/>
  <c r="AK94" i="13"/>
  <c r="AM98" i="13"/>
  <c r="AL98" i="13"/>
  <c r="AT98" i="13"/>
  <c r="AJ98" i="13"/>
  <c r="AZ98" i="13"/>
  <c r="AY98" i="13"/>
  <c r="AR98" i="13"/>
  <c r="BB98" i="13"/>
  <c r="AU98" i="13"/>
  <c r="AS98" i="13"/>
  <c r="AW98" i="13"/>
  <c r="AV98" i="13"/>
  <c r="AO98" i="13"/>
  <c r="AK98" i="13"/>
  <c r="AN98" i="13"/>
  <c r="AP98" i="13"/>
  <c r="AX98" i="13"/>
  <c r="BA98" i="13"/>
  <c r="AQ98" i="13"/>
  <c r="AP102" i="13"/>
  <c r="AY102" i="13"/>
  <c r="AX102" i="13"/>
  <c r="AW102" i="13"/>
  <c r="BA102" i="13"/>
  <c r="AZ102" i="13"/>
  <c r="AS102" i="13"/>
  <c r="AR102" i="13"/>
  <c r="AQ102" i="13"/>
  <c r="AN102" i="13"/>
  <c r="AV102" i="13"/>
  <c r="AU102" i="13"/>
  <c r="AM102" i="13"/>
  <c r="AK102" i="13"/>
  <c r="AT102" i="13"/>
  <c r="BB102" i="13"/>
  <c r="AO102" i="13"/>
  <c r="AL102" i="13"/>
  <c r="AJ102" i="13"/>
  <c r="AQ106" i="13"/>
  <c r="AP106" i="13"/>
  <c r="AU106" i="13"/>
  <c r="AT106" i="13"/>
  <c r="AM106" i="13"/>
  <c r="BB106" i="13"/>
  <c r="BA106" i="13"/>
  <c r="AN106" i="13"/>
  <c r="AW106" i="13"/>
  <c r="AJ106" i="13"/>
  <c r="AX106" i="13"/>
  <c r="AS106" i="13"/>
  <c r="AO106" i="13"/>
  <c r="AK106" i="13"/>
  <c r="AZ106" i="13"/>
  <c r="AL106" i="13"/>
  <c r="AV106" i="13"/>
  <c r="AY106" i="13"/>
  <c r="AR106" i="13"/>
  <c r="AY110" i="13"/>
  <c r="AT110" i="13"/>
  <c r="AW110" i="13"/>
  <c r="AV110" i="13"/>
  <c r="AU110" i="13"/>
  <c r="AX110" i="13"/>
  <c r="AK110" i="13"/>
  <c r="BA110" i="13"/>
  <c r="AS110" i="13"/>
  <c r="AR110" i="13"/>
  <c r="BB110" i="13"/>
  <c r="AO110" i="13"/>
  <c r="AL110" i="13"/>
  <c r="AN110" i="13"/>
  <c r="AQ110" i="13"/>
  <c r="AZ110" i="13"/>
  <c r="AP110" i="13"/>
  <c r="AJ110" i="13"/>
  <c r="AM110" i="13"/>
  <c r="AU114" i="13"/>
  <c r="AZ114" i="13"/>
  <c r="AY114" i="13"/>
  <c r="AR114" i="13"/>
  <c r="AK114" i="13"/>
  <c r="AO114" i="13"/>
  <c r="AT114" i="13"/>
  <c r="AS114" i="13"/>
  <c r="AL114" i="13"/>
  <c r="AP114" i="13"/>
  <c r="BA114" i="13"/>
  <c r="BB114" i="13"/>
  <c r="AQ114" i="13"/>
  <c r="AV114" i="13"/>
  <c r="AM114" i="13"/>
  <c r="AW114" i="13"/>
  <c r="AJ114" i="13"/>
  <c r="AN114" i="13"/>
  <c r="AX114" i="13"/>
  <c r="AL118" i="13"/>
  <c r="AJ118" i="13"/>
  <c r="AX118" i="13"/>
  <c r="AY118" i="13"/>
  <c r="AK118" i="13"/>
  <c r="BA118" i="13"/>
  <c r="AT118" i="13"/>
  <c r="AR118" i="13"/>
  <c r="AW118" i="13"/>
  <c r="AV118" i="13"/>
  <c r="AO118" i="13"/>
  <c r="AS118" i="13"/>
  <c r="BB118" i="13"/>
  <c r="AN118" i="13"/>
  <c r="AZ118" i="13"/>
  <c r="AP118" i="13"/>
  <c r="AM118" i="13"/>
  <c r="AU118" i="13"/>
  <c r="AQ118" i="13"/>
  <c r="AM122" i="13"/>
  <c r="AL122" i="13"/>
  <c r="AT122" i="13"/>
  <c r="AJ122" i="13"/>
  <c r="AZ122" i="13"/>
  <c r="AX122" i="13"/>
  <c r="AK122" i="13"/>
  <c r="BA122" i="13"/>
  <c r="AY122" i="13"/>
  <c r="AR122" i="13"/>
  <c r="BB122" i="13"/>
  <c r="AU122" i="13"/>
  <c r="AS122" i="13"/>
  <c r="AV122" i="13"/>
  <c r="AN122" i="13"/>
  <c r="AP122" i="13"/>
  <c r="AQ122" i="13"/>
  <c r="AO122" i="13"/>
  <c r="AW122" i="13"/>
  <c r="AJ134" i="13"/>
  <c r="AY134" i="13"/>
  <c r="AX134" i="13"/>
  <c r="AW134" i="13"/>
  <c r="BA134" i="13"/>
  <c r="AZ134" i="13"/>
  <c r="AS134" i="13"/>
  <c r="AR134" i="13"/>
  <c r="AQ134" i="13"/>
  <c r="AO134" i="13"/>
  <c r="AV134" i="13"/>
  <c r="AP134" i="13"/>
  <c r="AT134" i="13"/>
  <c r="AL134" i="13"/>
  <c r="AM134" i="13"/>
  <c r="BB134" i="13"/>
  <c r="AU134" i="13"/>
  <c r="AN134" i="13"/>
  <c r="AK134" i="13"/>
  <c r="AQ138" i="13"/>
  <c r="AV138" i="13"/>
  <c r="BA138" i="13"/>
  <c r="AT138" i="13"/>
  <c r="AM138" i="13"/>
  <c r="AK138" i="13"/>
  <c r="AJ138" i="13"/>
  <c r="AZ138" i="13"/>
  <c r="AX138" i="13"/>
  <c r="BB138" i="13"/>
  <c r="AU138" i="13"/>
  <c r="AY138" i="13"/>
  <c r="AL138" i="13"/>
  <c r="AS138" i="13"/>
  <c r="AW138" i="13"/>
  <c r="AO138" i="13"/>
  <c r="AR138" i="13"/>
  <c r="AN138" i="13"/>
  <c r="AP138" i="13"/>
  <c r="AY142" i="13"/>
  <c r="AX142" i="13"/>
  <c r="AW142" i="13"/>
  <c r="BB142" i="13"/>
  <c r="BA142" i="13"/>
  <c r="AZ142" i="13"/>
  <c r="AQ142" i="13"/>
  <c r="AP142" i="13"/>
  <c r="AR142" i="13"/>
  <c r="AK142" i="13"/>
  <c r="AJ142" i="13"/>
  <c r="AL142" i="13"/>
  <c r="AU142" i="13"/>
  <c r="AT142" i="13"/>
  <c r="AO142" i="13"/>
  <c r="AV142" i="13"/>
  <c r="AS142" i="13"/>
  <c r="AM142" i="13"/>
  <c r="AN142" i="13"/>
  <c r="AU172" i="13"/>
  <c r="AT172" i="13"/>
  <c r="AS172" i="13"/>
  <c r="AL172" i="13"/>
  <c r="AK172" i="13"/>
  <c r="AO172" i="13"/>
  <c r="AN172" i="13"/>
  <c r="AM172" i="13"/>
  <c r="AV172" i="13"/>
  <c r="AJ172" i="13"/>
  <c r="AZ172" i="13"/>
  <c r="AR172" i="13"/>
  <c r="BB172" i="13"/>
  <c r="AW172" i="13"/>
  <c r="AP172" i="13"/>
  <c r="AY172" i="13"/>
  <c r="AQ172" i="13"/>
  <c r="AX172" i="13"/>
  <c r="BA172" i="13"/>
  <c r="AL176" i="13"/>
  <c r="AJ176" i="13"/>
  <c r="AR176" i="13"/>
  <c r="AY176" i="13"/>
  <c r="AQ176" i="13"/>
  <c r="AP176" i="13"/>
  <c r="AZ176" i="13"/>
  <c r="AM176" i="13"/>
  <c r="BB176" i="13"/>
  <c r="AU176" i="13"/>
  <c r="AN176" i="13"/>
  <c r="AK176" i="13"/>
  <c r="AT176" i="13"/>
  <c r="AW176" i="13"/>
  <c r="AV176" i="13"/>
  <c r="AS176" i="13"/>
  <c r="BA176" i="13"/>
  <c r="AX176" i="13"/>
  <c r="AO176" i="13"/>
  <c r="AM180" i="13"/>
  <c r="AL180" i="13"/>
  <c r="AN180" i="13"/>
  <c r="AJ180" i="13"/>
  <c r="AZ180" i="13"/>
  <c r="AT180" i="13"/>
  <c r="AQ180" i="13"/>
  <c r="AP180" i="13"/>
  <c r="AX180" i="13"/>
  <c r="AK180" i="13"/>
  <c r="BA180" i="13"/>
  <c r="AY180" i="13"/>
  <c r="BB180" i="13"/>
  <c r="AS180" i="13"/>
  <c r="AV180" i="13"/>
  <c r="AO180" i="13"/>
  <c r="AR180" i="13"/>
  <c r="AW180" i="13"/>
  <c r="AU180" i="13"/>
  <c r="BB201" i="13"/>
  <c r="AY201" i="13"/>
  <c r="AX201" i="13"/>
  <c r="AW201" i="13"/>
  <c r="BA201" i="13"/>
  <c r="AZ201" i="13"/>
  <c r="AS201" i="13"/>
  <c r="AR201" i="13"/>
  <c r="AQ201" i="13"/>
  <c r="AN201" i="13"/>
  <c r="AV201" i="13"/>
  <c r="AU201" i="13"/>
  <c r="AM201" i="13"/>
  <c r="AK201" i="13"/>
  <c r="AL201" i="13"/>
  <c r="AO201" i="13"/>
  <c r="AP201" i="13"/>
  <c r="AJ201" i="13"/>
  <c r="AT201" i="13"/>
  <c r="AQ205" i="13"/>
  <c r="AP205" i="13"/>
  <c r="AU205" i="13"/>
  <c r="AT205" i="13"/>
  <c r="AM205" i="13"/>
  <c r="AW205" i="13"/>
  <c r="AJ205" i="13"/>
  <c r="AL205" i="13"/>
  <c r="AS205" i="13"/>
  <c r="BB205" i="13"/>
  <c r="BA205" i="13"/>
  <c r="AN205" i="13"/>
  <c r="AR205" i="13"/>
  <c r="AX205" i="13"/>
  <c r="AO205" i="13"/>
  <c r="AK205" i="13"/>
  <c r="AZ205" i="13"/>
  <c r="AV205" i="13"/>
  <c r="AY205" i="13"/>
  <c r="AY209" i="13"/>
  <c r="AX209" i="13"/>
  <c r="AQ209" i="13"/>
  <c r="AP209" i="13"/>
  <c r="AU209" i="13"/>
  <c r="AM209" i="13"/>
  <c r="AW209" i="13"/>
  <c r="AJ209" i="13"/>
  <c r="AN209" i="13"/>
  <c r="AT209" i="13"/>
  <c r="AK209" i="13"/>
  <c r="AZ209" i="13"/>
  <c r="AR209" i="13"/>
  <c r="BA209" i="13"/>
  <c r="AL209" i="13"/>
  <c r="AS209" i="13"/>
  <c r="BB209" i="13"/>
  <c r="AV209" i="13"/>
  <c r="AO209" i="13"/>
  <c r="AU228" i="13"/>
  <c r="AT228" i="13"/>
  <c r="AS228" i="13"/>
  <c r="AL228" i="13"/>
  <c r="AK228" i="13"/>
  <c r="AO228" i="13"/>
  <c r="AN228" i="13"/>
  <c r="AM228" i="13"/>
  <c r="AJ228" i="13"/>
  <c r="BB228" i="13"/>
  <c r="AZ228" i="13"/>
  <c r="AR228" i="13"/>
  <c r="AP228" i="13"/>
  <c r="AW228" i="13"/>
  <c r="AX228" i="13"/>
  <c r="BA228" i="13"/>
  <c r="AQ228" i="13"/>
  <c r="AV228" i="13"/>
  <c r="AY228" i="13"/>
  <c r="BB232" i="13"/>
  <c r="BA232" i="13"/>
  <c r="AZ232" i="13"/>
  <c r="AY232" i="13"/>
  <c r="AW232" i="13"/>
  <c r="AP232" i="13"/>
  <c r="AK232" i="13"/>
  <c r="AQ232" i="13"/>
  <c r="AO232" i="13"/>
  <c r="AL232" i="13"/>
  <c r="AR232" i="13"/>
  <c r="AV232" i="13"/>
  <c r="AX232" i="13"/>
  <c r="AS232" i="13"/>
  <c r="AU232" i="13"/>
  <c r="AJ232" i="13"/>
  <c r="AT232" i="13"/>
  <c r="AM232" i="13"/>
  <c r="AN232" i="13"/>
  <c r="BQ5" i="13"/>
  <c r="BP5" i="13"/>
  <c r="BO5" i="13"/>
  <c r="BN5" i="13"/>
  <c r="BM5" i="13"/>
  <c r="BK5" i="13"/>
  <c r="BJ5" i="13"/>
  <c r="BI5" i="13"/>
  <c r="BH5" i="13"/>
  <c r="BG5" i="13"/>
  <c r="BW5" i="13"/>
  <c r="BU5" i="13"/>
  <c r="BS5" i="13"/>
  <c r="BF5" i="13"/>
  <c r="BL5" i="13"/>
  <c r="BV5" i="13"/>
  <c r="BT5" i="13"/>
  <c r="BE5" i="13"/>
  <c r="BR5" i="13"/>
  <c r="BU9" i="13"/>
  <c r="BN9" i="13"/>
  <c r="BG9" i="13"/>
  <c r="BW9" i="13"/>
  <c r="BV9" i="13"/>
  <c r="BO9" i="13"/>
  <c r="BH9" i="13"/>
  <c r="BR9" i="13"/>
  <c r="BQ9" i="13"/>
  <c r="BT9" i="13"/>
  <c r="BF9" i="13"/>
  <c r="BP9" i="13"/>
  <c r="BS9" i="13"/>
  <c r="BK9" i="13"/>
  <c r="BL9" i="13"/>
  <c r="BJ9" i="13"/>
  <c r="BE9" i="13"/>
  <c r="BI9" i="13"/>
  <c r="BM9" i="13"/>
  <c r="BW13" i="13"/>
  <c r="BV13" i="13"/>
  <c r="BO13" i="13"/>
  <c r="BH13" i="13"/>
  <c r="BF13" i="13"/>
  <c r="BP13" i="13"/>
  <c r="BT13" i="13"/>
  <c r="BG13" i="13"/>
  <c r="BR13" i="13"/>
  <c r="BK13" i="13"/>
  <c r="BU13" i="13"/>
  <c r="BS13" i="13"/>
  <c r="BL13" i="13"/>
  <c r="BE13" i="13"/>
  <c r="BI13" i="13"/>
  <c r="BM13" i="13"/>
  <c r="BQ13" i="13"/>
  <c r="BJ13" i="13"/>
  <c r="BN13" i="13"/>
  <c r="BS17" i="13"/>
  <c r="BL17" i="13"/>
  <c r="BK17" i="13"/>
  <c r="BJ17" i="13"/>
  <c r="BT17" i="13"/>
  <c r="BM17" i="13"/>
  <c r="BF17" i="13"/>
  <c r="BE17" i="13"/>
  <c r="BU17" i="13"/>
  <c r="BH17" i="13"/>
  <c r="BQ17" i="13"/>
  <c r="BI17" i="13"/>
  <c r="BG17" i="13"/>
  <c r="BV17" i="13"/>
  <c r="BR17" i="13"/>
  <c r="BP17" i="13"/>
  <c r="BO17" i="13"/>
  <c r="BN17" i="13"/>
  <c r="BW17" i="13"/>
  <c r="BP23" i="13"/>
  <c r="BI23" i="13"/>
  <c r="BS23" i="13"/>
  <c r="BL23" i="13"/>
  <c r="BK23" i="13"/>
  <c r="BJ23" i="13"/>
  <c r="BT23" i="13"/>
  <c r="BM23" i="13"/>
  <c r="BF23" i="13"/>
  <c r="BE23" i="13"/>
  <c r="BV23" i="13"/>
  <c r="BH23" i="13"/>
  <c r="BQ23" i="13"/>
  <c r="BU23" i="13"/>
  <c r="BG23" i="13"/>
  <c r="BN23" i="13"/>
  <c r="BR23" i="13"/>
  <c r="BW23" i="13"/>
  <c r="BO23" i="13"/>
  <c r="BL27" i="13"/>
  <c r="BK27" i="13"/>
  <c r="BJ27" i="13"/>
  <c r="BT27" i="13"/>
  <c r="BM27" i="13"/>
  <c r="BF27" i="13"/>
  <c r="BV27" i="13"/>
  <c r="BI27" i="13"/>
  <c r="BG27" i="13"/>
  <c r="BQ27" i="13"/>
  <c r="BU27" i="13"/>
  <c r="BH27" i="13"/>
  <c r="BO27" i="13"/>
  <c r="BR27" i="13"/>
  <c r="BE27" i="13"/>
  <c r="BS27" i="13"/>
  <c r="BW27" i="13"/>
  <c r="BP27" i="13"/>
  <c r="BN27" i="13"/>
  <c r="BN31" i="13"/>
  <c r="BG31" i="13"/>
  <c r="BW31" i="13"/>
  <c r="BV31" i="13"/>
  <c r="BO31" i="13"/>
  <c r="BH31" i="13"/>
  <c r="BR31" i="13"/>
  <c r="BQ31" i="13"/>
  <c r="BP31" i="13"/>
  <c r="BI31" i="13"/>
  <c r="BM31" i="13"/>
  <c r="BE31" i="13"/>
  <c r="BL31" i="13"/>
  <c r="BJ31" i="13"/>
  <c r="BT31" i="13"/>
  <c r="BF31" i="13"/>
  <c r="BU31" i="13"/>
  <c r="BK31" i="13"/>
  <c r="BS31" i="13"/>
  <c r="BU35" i="13"/>
  <c r="BN35" i="13"/>
  <c r="BG35" i="13"/>
  <c r="BW35" i="13"/>
  <c r="BV35" i="13"/>
  <c r="BO35" i="13"/>
  <c r="BH35" i="13"/>
  <c r="BR35" i="13"/>
  <c r="BQ35" i="13"/>
  <c r="BJ35" i="13"/>
  <c r="BM35" i="13"/>
  <c r="BE35" i="13"/>
  <c r="BI35" i="13"/>
  <c r="BL35" i="13"/>
  <c r="BP35" i="13"/>
  <c r="BK35" i="13"/>
  <c r="BT35" i="13"/>
  <c r="BS35" i="13"/>
  <c r="BF35" i="13"/>
  <c r="BW40" i="13"/>
  <c r="BV40" i="13"/>
  <c r="BO40" i="13"/>
  <c r="BH40" i="13"/>
  <c r="BL40" i="13"/>
  <c r="BE40" i="13"/>
  <c r="BI40" i="13"/>
  <c r="BM40" i="13"/>
  <c r="BQ40" i="13"/>
  <c r="BJ40" i="13"/>
  <c r="BN40" i="13"/>
  <c r="BK40" i="13"/>
  <c r="BR40" i="13"/>
  <c r="BU40" i="13"/>
  <c r="BS40" i="13"/>
  <c r="BP40" i="13"/>
  <c r="BT40" i="13"/>
  <c r="BG40" i="13"/>
  <c r="BF40" i="13"/>
  <c r="BS44" i="13"/>
  <c r="BL44" i="13"/>
  <c r="BK44" i="13"/>
  <c r="BJ44" i="13"/>
  <c r="BT44" i="13"/>
  <c r="BM44" i="13"/>
  <c r="BF44" i="13"/>
  <c r="BE44" i="13"/>
  <c r="BU44" i="13"/>
  <c r="BR44" i="13"/>
  <c r="BP44" i="13"/>
  <c r="BN44" i="13"/>
  <c r="BW44" i="13"/>
  <c r="BO44" i="13"/>
  <c r="BH44" i="13"/>
  <c r="BQ44" i="13"/>
  <c r="BI44" i="13"/>
  <c r="BG44" i="13"/>
  <c r="BV44" i="13"/>
  <c r="BP48" i="13"/>
  <c r="BI48" i="13"/>
  <c r="BS48" i="13"/>
  <c r="BL48" i="13"/>
  <c r="BK48" i="13"/>
  <c r="BJ48" i="13"/>
  <c r="BT48" i="13"/>
  <c r="BM48" i="13"/>
  <c r="BF48" i="13"/>
  <c r="BE48" i="13"/>
  <c r="BO48" i="13"/>
  <c r="BR48" i="13"/>
  <c r="BN48" i="13"/>
  <c r="BW48" i="13"/>
  <c r="BG48" i="13"/>
  <c r="BV48" i="13"/>
  <c r="BQ48" i="13"/>
  <c r="BU48" i="13"/>
  <c r="BH48" i="13"/>
  <c r="BL52" i="13"/>
  <c r="BK52" i="13"/>
  <c r="BJ52" i="13"/>
  <c r="BT52" i="13"/>
  <c r="BM52" i="13"/>
  <c r="BR52" i="13"/>
  <c r="BE52" i="13"/>
  <c r="BO52" i="13"/>
  <c r="BS52" i="13"/>
  <c r="BW52" i="13"/>
  <c r="BP52" i="13"/>
  <c r="BN52" i="13"/>
  <c r="BU52" i="13"/>
  <c r="BQ52" i="13"/>
  <c r="BH52" i="13"/>
  <c r="BI52" i="13"/>
  <c r="BG52" i="13"/>
  <c r="BF52" i="13"/>
  <c r="BV52" i="13"/>
  <c r="BN56" i="13"/>
  <c r="BG56" i="13"/>
  <c r="BW56" i="13"/>
  <c r="BV56" i="13"/>
  <c r="BO56" i="13"/>
  <c r="BH56" i="13"/>
  <c r="BR56" i="13"/>
  <c r="BQ56" i="13"/>
  <c r="BP56" i="13"/>
  <c r="BI56" i="13"/>
  <c r="BT56" i="13"/>
  <c r="BF56" i="13"/>
  <c r="BU56" i="13"/>
  <c r="BS56" i="13"/>
  <c r="BK56" i="13"/>
  <c r="BM56" i="13"/>
  <c r="BE56" i="13"/>
  <c r="BL56" i="13"/>
  <c r="BJ56" i="13"/>
  <c r="BU63" i="13"/>
  <c r="BN63" i="13"/>
  <c r="BG63" i="13"/>
  <c r="BW63" i="13"/>
  <c r="BV63" i="13"/>
  <c r="BO63" i="13"/>
  <c r="BH63" i="13"/>
  <c r="BR63" i="13"/>
  <c r="BQ63" i="13"/>
  <c r="BT63" i="13"/>
  <c r="BF63" i="13"/>
  <c r="BP63" i="13"/>
  <c r="BS63" i="13"/>
  <c r="BK63" i="13"/>
  <c r="BI63" i="13"/>
  <c r="BM63" i="13"/>
  <c r="BL63" i="13"/>
  <c r="BJ63" i="13"/>
  <c r="BE63" i="13"/>
  <c r="BW67" i="13"/>
  <c r="BV67" i="13"/>
  <c r="BO67" i="13"/>
  <c r="BH67" i="13"/>
  <c r="BR67" i="13"/>
  <c r="BK67" i="13"/>
  <c r="BU67" i="13"/>
  <c r="BS67" i="13"/>
  <c r="BF67" i="13"/>
  <c r="BP67" i="13"/>
  <c r="BT67" i="13"/>
  <c r="BG67" i="13"/>
  <c r="BQ67" i="13"/>
  <c r="BN67" i="13"/>
  <c r="BJ67" i="13"/>
  <c r="BM67" i="13"/>
  <c r="BE67" i="13"/>
  <c r="BL67" i="13"/>
  <c r="BI67" i="13"/>
  <c r="BS71" i="13"/>
  <c r="BL71" i="13"/>
  <c r="BK71" i="13"/>
  <c r="BJ71" i="13"/>
  <c r="BT71" i="13"/>
  <c r="BM71" i="13"/>
  <c r="BF71" i="13"/>
  <c r="BE71" i="13"/>
  <c r="BU71" i="13"/>
  <c r="BH71" i="13"/>
  <c r="BQ71" i="13"/>
  <c r="BI71" i="13"/>
  <c r="BG71" i="13"/>
  <c r="BV71" i="13"/>
  <c r="BR71" i="13"/>
  <c r="BP71" i="13"/>
  <c r="BN71" i="13"/>
  <c r="BW71" i="13"/>
  <c r="BO71" i="13"/>
  <c r="BP75" i="13"/>
  <c r="BI75" i="13"/>
  <c r="BS75" i="13"/>
  <c r="BL75" i="13"/>
  <c r="BK75" i="13"/>
  <c r="BJ75" i="13"/>
  <c r="BT75" i="13"/>
  <c r="BM75" i="13"/>
  <c r="BF75" i="13"/>
  <c r="BE75" i="13"/>
  <c r="BV75" i="13"/>
  <c r="BH75" i="13"/>
  <c r="BQ75" i="13"/>
  <c r="BU75" i="13"/>
  <c r="BG75" i="13"/>
  <c r="BW75" i="13"/>
  <c r="BO75" i="13"/>
  <c r="BN75" i="13"/>
  <c r="BR75" i="13"/>
  <c r="BL79" i="13"/>
  <c r="BK79" i="13"/>
  <c r="BJ79" i="13"/>
  <c r="BT79" i="13"/>
  <c r="BM79" i="13"/>
  <c r="BQ79" i="13"/>
  <c r="BU79" i="13"/>
  <c r="BH79" i="13"/>
  <c r="BF79" i="13"/>
  <c r="BV79" i="13"/>
  <c r="BI79" i="13"/>
  <c r="BG79" i="13"/>
  <c r="BP79" i="13"/>
  <c r="BW79" i="13"/>
  <c r="BN79" i="13"/>
  <c r="BR79" i="13"/>
  <c r="BE79" i="13"/>
  <c r="BO79" i="13"/>
  <c r="BS79" i="13"/>
  <c r="BN83" i="13"/>
  <c r="BG83" i="13"/>
  <c r="BW83" i="13"/>
  <c r="BV83" i="13"/>
  <c r="BO83" i="13"/>
  <c r="BH83" i="13"/>
  <c r="BR83" i="13"/>
  <c r="BQ83" i="13"/>
  <c r="BP83" i="13"/>
  <c r="BI83" i="13"/>
  <c r="BM83" i="13"/>
  <c r="BE83" i="13"/>
  <c r="BL83" i="13"/>
  <c r="BJ83" i="13"/>
  <c r="BT83" i="13"/>
  <c r="BF83" i="13"/>
  <c r="BU83" i="13"/>
  <c r="BS83" i="13"/>
  <c r="BK83" i="13"/>
  <c r="BU87" i="13"/>
  <c r="BN87" i="13"/>
  <c r="BG87" i="13"/>
  <c r="BW87" i="13"/>
  <c r="BV87" i="13"/>
  <c r="BO87" i="13"/>
  <c r="BH87" i="13"/>
  <c r="BR87" i="13"/>
  <c r="BQ87" i="13"/>
  <c r="BJ87" i="13"/>
  <c r="BM87" i="13"/>
  <c r="BE87" i="13"/>
  <c r="BI87" i="13"/>
  <c r="BL87" i="13"/>
  <c r="BS87" i="13"/>
  <c r="BF87" i="13"/>
  <c r="BP87" i="13"/>
  <c r="BK87" i="13"/>
  <c r="BT87" i="13"/>
  <c r="BW91" i="13"/>
  <c r="BV91" i="13"/>
  <c r="BO91" i="13"/>
  <c r="BH91" i="13"/>
  <c r="BQ91" i="13"/>
  <c r="BJ91" i="13"/>
  <c r="BN91" i="13"/>
  <c r="BL91" i="13"/>
  <c r="BE91" i="13"/>
  <c r="BI91" i="13"/>
  <c r="BM91" i="13"/>
  <c r="BP91" i="13"/>
  <c r="BT91" i="13"/>
  <c r="BF91" i="13"/>
  <c r="BG91" i="13"/>
  <c r="BK91" i="13"/>
  <c r="BU91" i="13"/>
  <c r="BS91" i="13"/>
  <c r="BR91" i="13"/>
  <c r="BS95" i="13"/>
  <c r="BL95" i="13"/>
  <c r="BK95" i="13"/>
  <c r="BJ95" i="13"/>
  <c r="BT95" i="13"/>
  <c r="BM95" i="13"/>
  <c r="BF95" i="13"/>
  <c r="BE95" i="13"/>
  <c r="BU95" i="13"/>
  <c r="BR95" i="13"/>
  <c r="BP95" i="13"/>
  <c r="BN95" i="13"/>
  <c r="BW95" i="13"/>
  <c r="BO95" i="13"/>
  <c r="BH95" i="13"/>
  <c r="BQ95" i="13"/>
  <c r="BI95" i="13"/>
  <c r="BV95" i="13"/>
  <c r="BG95" i="13"/>
  <c r="BP99" i="13"/>
  <c r="BI99" i="13"/>
  <c r="BS99" i="13"/>
  <c r="BL99" i="13"/>
  <c r="BK99" i="13"/>
  <c r="BJ99" i="13"/>
  <c r="BT99" i="13"/>
  <c r="BM99" i="13"/>
  <c r="BF99" i="13"/>
  <c r="BE99" i="13"/>
  <c r="BO99" i="13"/>
  <c r="BR99" i="13"/>
  <c r="BN99" i="13"/>
  <c r="BW99" i="13"/>
  <c r="BU99" i="13"/>
  <c r="BH99" i="13"/>
  <c r="BG99" i="13"/>
  <c r="BV99" i="13"/>
  <c r="BQ99" i="13"/>
  <c r="BL103" i="13"/>
  <c r="BK103" i="13"/>
  <c r="BJ103" i="13"/>
  <c r="BT103" i="13"/>
  <c r="BM103" i="13"/>
  <c r="BW103" i="13"/>
  <c r="BP103" i="13"/>
  <c r="BN103" i="13"/>
  <c r="BR103" i="13"/>
  <c r="BE103" i="13"/>
  <c r="BO103" i="13"/>
  <c r="BS103" i="13"/>
  <c r="BV103" i="13"/>
  <c r="BG103" i="13"/>
  <c r="BF103" i="13"/>
  <c r="BI103" i="13"/>
  <c r="BU103" i="13"/>
  <c r="BH103" i="13"/>
  <c r="BQ103" i="13"/>
  <c r="BN107" i="13"/>
  <c r="BG107" i="13"/>
  <c r="BW107" i="13"/>
  <c r="BV107" i="13"/>
  <c r="BO107" i="13"/>
  <c r="BH107" i="13"/>
  <c r="BR107" i="13"/>
  <c r="BQ107" i="13"/>
  <c r="BP107" i="13"/>
  <c r="BI107" i="13"/>
  <c r="BT107" i="13"/>
  <c r="BF107" i="13"/>
  <c r="BU107" i="13"/>
  <c r="BS107" i="13"/>
  <c r="BK107" i="13"/>
  <c r="BM107" i="13"/>
  <c r="BE107" i="13"/>
  <c r="BL107" i="13"/>
  <c r="BJ107" i="13"/>
  <c r="BU111" i="13"/>
  <c r="BN111" i="13"/>
  <c r="BG111" i="13"/>
  <c r="BW111" i="13"/>
  <c r="BV111" i="13"/>
  <c r="BO111" i="13"/>
  <c r="BH111" i="13"/>
  <c r="BR111" i="13"/>
  <c r="BQ111" i="13"/>
  <c r="BT111" i="13"/>
  <c r="BF111" i="13"/>
  <c r="BP111" i="13"/>
  <c r="BS111" i="13"/>
  <c r="BK111" i="13"/>
  <c r="BL111" i="13"/>
  <c r="BJ111" i="13"/>
  <c r="BE111" i="13"/>
  <c r="BI111" i="13"/>
  <c r="BM111" i="13"/>
  <c r="BW115" i="13"/>
  <c r="BV115" i="13"/>
  <c r="BO115" i="13"/>
  <c r="BH115" i="13"/>
  <c r="BF115" i="13"/>
  <c r="BP115" i="13"/>
  <c r="BT115" i="13"/>
  <c r="BG115" i="13"/>
  <c r="BR115" i="13"/>
  <c r="BK115" i="13"/>
  <c r="BU115" i="13"/>
  <c r="BS115" i="13"/>
  <c r="BE115" i="13"/>
  <c r="BM115" i="13"/>
  <c r="BL115" i="13"/>
  <c r="BI115" i="13"/>
  <c r="BN115" i="13"/>
  <c r="BQ115" i="13"/>
  <c r="BJ115" i="13"/>
  <c r="BS119" i="13"/>
  <c r="BL119" i="13"/>
  <c r="BK119" i="13"/>
  <c r="BJ119" i="13"/>
  <c r="BT119" i="13"/>
  <c r="BM119" i="13"/>
  <c r="BF119" i="13"/>
  <c r="BE119" i="13"/>
  <c r="BU119" i="13"/>
  <c r="BH119" i="13"/>
  <c r="BQ119" i="13"/>
  <c r="BI119" i="13"/>
  <c r="BG119" i="13"/>
  <c r="BV119" i="13"/>
  <c r="BR119" i="13"/>
  <c r="BP119" i="13"/>
  <c r="BN119" i="13"/>
  <c r="BW119" i="13"/>
  <c r="BO119" i="13"/>
  <c r="BP123" i="13"/>
  <c r="BI123" i="13"/>
  <c r="BS123" i="13"/>
  <c r="BL123" i="13"/>
  <c r="BK123" i="13"/>
  <c r="BJ123" i="13"/>
  <c r="BT123" i="13"/>
  <c r="BM123" i="13"/>
  <c r="BF123" i="13"/>
  <c r="BE123" i="13"/>
  <c r="BV123" i="13"/>
  <c r="BH123" i="13"/>
  <c r="BQ123" i="13"/>
  <c r="BU123" i="13"/>
  <c r="BG123" i="13"/>
  <c r="BN123" i="13"/>
  <c r="BR123" i="13"/>
  <c r="BW123" i="13"/>
  <c r="BO123" i="13"/>
  <c r="BL135" i="13"/>
  <c r="BK135" i="13"/>
  <c r="BJ135" i="13"/>
  <c r="BT135" i="13"/>
  <c r="BM135" i="13"/>
  <c r="BF135" i="13"/>
  <c r="BV135" i="13"/>
  <c r="BI135" i="13"/>
  <c r="BG135" i="13"/>
  <c r="BQ135" i="13"/>
  <c r="BU135" i="13"/>
  <c r="BH135" i="13"/>
  <c r="BE135" i="13"/>
  <c r="BR135" i="13"/>
  <c r="BO135" i="13"/>
  <c r="BS135" i="13"/>
  <c r="BP135" i="13"/>
  <c r="BW135" i="13"/>
  <c r="BN135" i="13"/>
  <c r="BN139" i="13"/>
  <c r="BG139" i="13"/>
  <c r="BW139" i="13"/>
  <c r="BV139" i="13"/>
  <c r="BO139" i="13"/>
  <c r="BH139" i="13"/>
  <c r="BR139" i="13"/>
  <c r="BQ139" i="13"/>
  <c r="BP139" i="13"/>
  <c r="BI139" i="13"/>
  <c r="BM139" i="13"/>
  <c r="BE139" i="13"/>
  <c r="BL139" i="13"/>
  <c r="BJ139" i="13"/>
  <c r="BT139" i="13"/>
  <c r="BF139" i="13"/>
  <c r="BU139" i="13"/>
  <c r="BS139" i="13"/>
  <c r="BK139" i="13"/>
  <c r="BU143" i="13"/>
  <c r="BN143" i="13"/>
  <c r="BG143" i="13"/>
  <c r="BW143" i="13"/>
  <c r="BV143" i="13"/>
  <c r="BO143" i="13"/>
  <c r="BH143" i="13"/>
  <c r="BR143" i="13"/>
  <c r="BQ143" i="13"/>
  <c r="BJ143" i="13"/>
  <c r="BM143" i="13"/>
  <c r="BE143" i="13"/>
  <c r="BI143" i="13"/>
  <c r="BL143" i="13"/>
  <c r="BP143" i="13"/>
  <c r="BK143" i="13"/>
  <c r="BT143" i="13"/>
  <c r="BS143" i="13"/>
  <c r="BF143" i="13"/>
  <c r="BW173" i="13"/>
  <c r="BV173" i="13"/>
  <c r="BO173" i="13"/>
  <c r="BH173" i="13"/>
  <c r="BL173" i="13"/>
  <c r="BE173" i="13"/>
  <c r="BI173" i="13"/>
  <c r="BM173" i="13"/>
  <c r="BQ173" i="13"/>
  <c r="BJ173" i="13"/>
  <c r="BN173" i="13"/>
  <c r="BR173" i="13"/>
  <c r="BS173" i="13"/>
  <c r="BK173" i="13"/>
  <c r="BU173" i="13"/>
  <c r="BF173" i="13"/>
  <c r="BP173" i="13"/>
  <c r="BT173" i="13"/>
  <c r="BG173" i="13"/>
  <c r="BS177" i="13"/>
  <c r="BL177" i="13"/>
  <c r="BK177" i="13"/>
  <c r="BJ177" i="13"/>
  <c r="BT177" i="13"/>
  <c r="BM177" i="13"/>
  <c r="BF177" i="13"/>
  <c r="BE177" i="13"/>
  <c r="BU177" i="13"/>
  <c r="BR177" i="13"/>
  <c r="BP177" i="13"/>
  <c r="BN177" i="13"/>
  <c r="BW177" i="13"/>
  <c r="BO177" i="13"/>
  <c r="BH177" i="13"/>
  <c r="BQ177" i="13"/>
  <c r="BI177" i="13"/>
  <c r="BG177" i="13"/>
  <c r="BV177" i="13"/>
  <c r="BP181" i="13"/>
  <c r="BI181" i="13"/>
  <c r="BS181" i="13"/>
  <c r="BL181" i="13"/>
  <c r="BK181" i="13"/>
  <c r="BJ181" i="13"/>
  <c r="BT181" i="13"/>
  <c r="BM181" i="13"/>
  <c r="BF181" i="13"/>
  <c r="BE181" i="13"/>
  <c r="BO181" i="13"/>
  <c r="BR181" i="13"/>
  <c r="BN181" i="13"/>
  <c r="BW181" i="13"/>
  <c r="BV181" i="13"/>
  <c r="BH181" i="13"/>
  <c r="BQ181" i="13"/>
  <c r="BG181" i="13"/>
  <c r="BU181" i="13"/>
  <c r="BW202" i="13"/>
  <c r="BV202" i="13"/>
  <c r="BO202" i="13"/>
  <c r="BH202" i="13"/>
  <c r="BL202" i="13"/>
  <c r="BK202" i="13"/>
  <c r="BJ202" i="13"/>
  <c r="BT202" i="13"/>
  <c r="BM202" i="13"/>
  <c r="BF202" i="13"/>
  <c r="BU202" i="13"/>
  <c r="BG202" i="13"/>
  <c r="BE202" i="13"/>
  <c r="BN202" i="13"/>
  <c r="BR202" i="13"/>
  <c r="BS202" i="13"/>
  <c r="BQ202" i="13"/>
  <c r="BP202" i="13"/>
  <c r="BI202" i="13"/>
  <c r="BH206" i="13"/>
  <c r="BR206" i="13"/>
  <c r="BQ206" i="13"/>
  <c r="BP206" i="13"/>
  <c r="BI206" i="13"/>
  <c r="BM206" i="13"/>
  <c r="BW206" i="13"/>
  <c r="BJ206" i="13"/>
  <c r="BT206" i="13"/>
  <c r="BG206" i="13"/>
  <c r="BK206" i="13"/>
  <c r="BU206" i="13"/>
  <c r="BN206" i="13"/>
  <c r="BL206" i="13"/>
  <c r="BE206" i="13"/>
  <c r="BO206" i="13"/>
  <c r="BS206" i="13"/>
  <c r="BF206" i="13"/>
  <c r="BV206" i="13"/>
  <c r="BU210" i="13"/>
  <c r="BN210" i="13"/>
  <c r="BG210" i="13"/>
  <c r="BW210" i="13"/>
  <c r="BV210" i="13"/>
  <c r="BO210" i="13"/>
  <c r="BH210" i="13"/>
  <c r="BR210" i="13"/>
  <c r="BQ210" i="13"/>
  <c r="BT210" i="13"/>
  <c r="BF210" i="13"/>
  <c r="BP210" i="13"/>
  <c r="BS210" i="13"/>
  <c r="BK210" i="13"/>
  <c r="BJ210" i="13"/>
  <c r="BM210" i="13"/>
  <c r="BE210" i="13"/>
  <c r="BI210" i="13"/>
  <c r="BL210" i="13"/>
  <c r="BL229" i="13"/>
  <c r="BK229" i="13"/>
  <c r="BJ229" i="13"/>
  <c r="BT229" i="13"/>
  <c r="BM229" i="13"/>
  <c r="BW229" i="13"/>
  <c r="BV229" i="13"/>
  <c r="BO229" i="13"/>
  <c r="BH229" i="13"/>
  <c r="BQ229" i="13"/>
  <c r="BS229" i="13"/>
  <c r="BR229" i="13"/>
  <c r="BP229" i="13"/>
  <c r="BI229" i="13"/>
  <c r="BU229" i="13"/>
  <c r="BF229" i="13"/>
  <c r="BN229" i="13"/>
  <c r="BG229" i="13"/>
  <c r="BE229" i="13"/>
  <c r="BT233" i="13"/>
  <c r="BM233" i="13"/>
  <c r="BF233" i="13"/>
  <c r="BE233" i="13"/>
  <c r="BU233" i="13"/>
  <c r="BS233" i="13"/>
  <c r="BW233" i="13"/>
  <c r="BP233" i="13"/>
  <c r="BG233" i="13"/>
  <c r="BQ233" i="13"/>
  <c r="BJ233" i="13"/>
  <c r="BN233" i="13"/>
  <c r="BR233" i="13"/>
  <c r="BK233" i="13"/>
  <c r="BO233" i="13"/>
  <c r="BL233" i="13"/>
  <c r="BV233" i="13"/>
  <c r="BI233" i="13"/>
  <c r="BH233" i="13"/>
  <c r="BR6" i="13"/>
  <c r="BQ6" i="13"/>
  <c r="BP6" i="13"/>
  <c r="BI6" i="13"/>
  <c r="BS6" i="13"/>
  <c r="BL6" i="13"/>
  <c r="BK6" i="13"/>
  <c r="BJ6" i="13"/>
  <c r="BT6" i="13"/>
  <c r="BM6" i="13"/>
  <c r="BE6" i="13"/>
  <c r="BN6" i="13"/>
  <c r="BF6" i="13"/>
  <c r="BU6" i="13"/>
  <c r="BW6" i="13"/>
  <c r="BO6" i="13"/>
  <c r="BG6" i="13"/>
  <c r="BV6" i="13"/>
  <c r="BH6" i="13"/>
  <c r="BO10" i="13"/>
  <c r="BH10" i="13"/>
  <c r="BR10" i="13"/>
  <c r="BQ10" i="13"/>
  <c r="BP10" i="13"/>
  <c r="BI10" i="13"/>
  <c r="BM10" i="13"/>
  <c r="BW10" i="13"/>
  <c r="BJ10" i="13"/>
  <c r="BU10" i="13"/>
  <c r="BS10" i="13"/>
  <c r="BF10" i="13"/>
  <c r="BV10" i="13"/>
  <c r="BT10" i="13"/>
  <c r="BK10" i="13"/>
  <c r="BN10" i="13"/>
  <c r="BE10" i="13"/>
  <c r="BL10" i="13"/>
  <c r="BG10" i="13"/>
  <c r="BW14" i="13"/>
  <c r="BV14" i="13"/>
  <c r="BO14" i="13"/>
  <c r="BH14" i="13"/>
  <c r="BR14" i="13"/>
  <c r="BP14" i="13"/>
  <c r="BT14" i="13"/>
  <c r="BG14" i="13"/>
  <c r="BQ14" i="13"/>
  <c r="BJ14" i="13"/>
  <c r="BN14" i="13"/>
  <c r="BL14" i="13"/>
  <c r="BE14" i="13"/>
  <c r="BM14" i="13"/>
  <c r="BU14" i="13"/>
  <c r="BF14" i="13"/>
  <c r="BI14" i="13"/>
  <c r="BK14" i="13"/>
  <c r="BS14" i="13"/>
  <c r="BM20" i="13"/>
  <c r="BF20" i="13"/>
  <c r="BE20" i="13"/>
  <c r="BU20" i="13"/>
  <c r="BN20" i="13"/>
  <c r="BG20" i="13"/>
  <c r="BW20" i="13"/>
  <c r="BV20" i="13"/>
  <c r="BO20" i="13"/>
  <c r="BH20" i="13"/>
  <c r="BR20" i="13"/>
  <c r="BP20" i="13"/>
  <c r="BJ20" i="13"/>
  <c r="BQ20" i="13"/>
  <c r="BI20" i="13"/>
  <c r="BS20" i="13"/>
  <c r="BK20" i="13"/>
  <c r="BT20" i="13"/>
  <c r="BL20" i="13"/>
  <c r="BT24" i="13"/>
  <c r="BM24" i="13"/>
  <c r="BF24" i="13"/>
  <c r="BE24" i="13"/>
  <c r="BO24" i="13"/>
  <c r="BS24" i="13"/>
  <c r="BW24" i="13"/>
  <c r="BP24" i="13"/>
  <c r="BU24" i="13"/>
  <c r="BH24" i="13"/>
  <c r="BL24" i="13"/>
  <c r="BV24" i="13"/>
  <c r="BG24" i="13"/>
  <c r="BJ24" i="13"/>
  <c r="BR24" i="13"/>
  <c r="BN24" i="13"/>
  <c r="BK24" i="13"/>
  <c r="BQ24" i="13"/>
  <c r="BI24" i="13"/>
  <c r="BK28" i="13"/>
  <c r="BJ28" i="13"/>
  <c r="BT28" i="13"/>
  <c r="BM28" i="13"/>
  <c r="BF28" i="13"/>
  <c r="BV28" i="13"/>
  <c r="BI28" i="13"/>
  <c r="BG28" i="13"/>
  <c r="BW28" i="13"/>
  <c r="BP28" i="13"/>
  <c r="BN28" i="13"/>
  <c r="BR28" i="13"/>
  <c r="BO28" i="13"/>
  <c r="BQ28" i="13"/>
  <c r="BH28" i="13"/>
  <c r="BE28" i="13"/>
  <c r="BS28" i="13"/>
  <c r="BU28" i="13"/>
  <c r="BL28" i="13"/>
  <c r="BR32" i="13"/>
  <c r="BQ32" i="13"/>
  <c r="BP32" i="13"/>
  <c r="BI32" i="13"/>
  <c r="BS32" i="13"/>
  <c r="BL32" i="13"/>
  <c r="BK32" i="13"/>
  <c r="BJ32" i="13"/>
  <c r="BT32" i="13"/>
  <c r="BF32" i="13"/>
  <c r="BU32" i="13"/>
  <c r="BO32" i="13"/>
  <c r="BM32" i="13"/>
  <c r="BE32" i="13"/>
  <c r="BN32" i="13"/>
  <c r="BW32" i="13"/>
  <c r="BG32" i="13"/>
  <c r="BV32" i="13"/>
  <c r="BH32" i="13"/>
  <c r="BO36" i="13"/>
  <c r="BH36" i="13"/>
  <c r="BR36" i="13"/>
  <c r="BQ36" i="13"/>
  <c r="BP36" i="13"/>
  <c r="BU36" i="13"/>
  <c r="BS36" i="13"/>
  <c r="BF36" i="13"/>
  <c r="BV36" i="13"/>
  <c r="BN36" i="13"/>
  <c r="BL36" i="13"/>
  <c r="BE36" i="13"/>
  <c r="BI36" i="13"/>
  <c r="BW36" i="13"/>
  <c r="BT36" i="13"/>
  <c r="BK36" i="13"/>
  <c r="BG36" i="13"/>
  <c r="BJ36" i="13"/>
  <c r="BM36" i="13"/>
  <c r="BW41" i="13"/>
  <c r="BV41" i="13"/>
  <c r="BO41" i="13"/>
  <c r="BH41" i="13"/>
  <c r="BR41" i="13"/>
  <c r="BE41" i="13"/>
  <c r="BI41" i="13"/>
  <c r="BM41" i="13"/>
  <c r="BP41" i="13"/>
  <c r="BT41" i="13"/>
  <c r="BG41" i="13"/>
  <c r="BK41" i="13"/>
  <c r="BS41" i="13"/>
  <c r="BJ41" i="13"/>
  <c r="BL41" i="13"/>
  <c r="BU41" i="13"/>
  <c r="BF41" i="13"/>
  <c r="BQ41" i="13"/>
  <c r="BN41" i="13"/>
  <c r="BM45" i="13"/>
  <c r="BF45" i="13"/>
  <c r="BE45" i="13"/>
  <c r="BU45" i="13"/>
  <c r="BN45" i="13"/>
  <c r="BG45" i="13"/>
  <c r="BW45" i="13"/>
  <c r="BV45" i="13"/>
  <c r="BO45" i="13"/>
  <c r="BH45" i="13"/>
  <c r="BQ45" i="13"/>
  <c r="BI45" i="13"/>
  <c r="BT45" i="13"/>
  <c r="BR45" i="13"/>
  <c r="BP45" i="13"/>
  <c r="BS45" i="13"/>
  <c r="BL45" i="13"/>
  <c r="BJ45" i="13"/>
  <c r="BK45" i="13"/>
  <c r="BT49" i="13"/>
  <c r="BM49" i="13"/>
  <c r="BF49" i="13"/>
  <c r="BE49" i="13"/>
  <c r="BU49" i="13"/>
  <c r="BH49" i="13"/>
  <c r="BL49" i="13"/>
  <c r="BV49" i="13"/>
  <c r="BN49" i="13"/>
  <c r="BR49" i="13"/>
  <c r="BK49" i="13"/>
  <c r="BS49" i="13"/>
  <c r="BP49" i="13"/>
  <c r="BG49" i="13"/>
  <c r="BJ49" i="13"/>
  <c r="BI49" i="13"/>
  <c r="BQ49" i="13"/>
  <c r="BO49" i="13"/>
  <c r="BW49" i="13"/>
  <c r="BK53" i="13"/>
  <c r="BJ53" i="13"/>
  <c r="BT53" i="13"/>
  <c r="BM53" i="13"/>
  <c r="BF53" i="13"/>
  <c r="BE53" i="13"/>
  <c r="BO53" i="13"/>
  <c r="BS53" i="13"/>
  <c r="BV53" i="13"/>
  <c r="BI53" i="13"/>
  <c r="BG53" i="13"/>
  <c r="BU53" i="13"/>
  <c r="BL53" i="13"/>
  <c r="BW53" i="13"/>
  <c r="BN53" i="13"/>
  <c r="BQ53" i="13"/>
  <c r="BH53" i="13"/>
  <c r="BP53" i="13"/>
  <c r="BR53" i="13"/>
  <c r="BR57" i="13"/>
  <c r="BQ57" i="13"/>
  <c r="BP57" i="13"/>
  <c r="BI57" i="13"/>
  <c r="BS57" i="13"/>
  <c r="BL57" i="13"/>
  <c r="BK57" i="13"/>
  <c r="BJ57" i="13"/>
  <c r="BT57" i="13"/>
  <c r="BM57" i="13"/>
  <c r="BE57" i="13"/>
  <c r="BN57" i="13"/>
  <c r="BG57" i="13"/>
  <c r="BF57" i="13"/>
  <c r="BU57" i="13"/>
  <c r="BV57" i="13"/>
  <c r="BW57" i="13"/>
  <c r="BO57" i="13"/>
  <c r="BH57" i="13"/>
  <c r="BO64" i="13"/>
  <c r="BH64" i="13"/>
  <c r="BR64" i="13"/>
  <c r="BQ64" i="13"/>
  <c r="BP64" i="13"/>
  <c r="BN64" i="13"/>
  <c r="BL64" i="13"/>
  <c r="BE64" i="13"/>
  <c r="BT64" i="13"/>
  <c r="BG64" i="13"/>
  <c r="BK64" i="13"/>
  <c r="BU64" i="13"/>
  <c r="BF64" i="13"/>
  <c r="BI64" i="13"/>
  <c r="BW64" i="13"/>
  <c r="BM64" i="13"/>
  <c r="BJ64" i="13"/>
  <c r="BS64" i="13"/>
  <c r="BV64" i="13"/>
  <c r="BW68" i="13"/>
  <c r="BV68" i="13"/>
  <c r="BO68" i="13"/>
  <c r="BH68" i="13"/>
  <c r="BR68" i="13"/>
  <c r="BK68" i="13"/>
  <c r="BU68" i="13"/>
  <c r="BS68" i="13"/>
  <c r="BF68" i="13"/>
  <c r="BE68" i="13"/>
  <c r="BI68" i="13"/>
  <c r="BM68" i="13"/>
  <c r="BQ68" i="13"/>
  <c r="BN68" i="13"/>
  <c r="BP68" i="13"/>
  <c r="BG68" i="13"/>
  <c r="BJ68" i="13"/>
  <c r="BL68" i="13"/>
  <c r="BT68" i="13"/>
  <c r="BM72" i="13"/>
  <c r="BF72" i="13"/>
  <c r="BE72" i="13"/>
  <c r="BU72" i="13"/>
  <c r="BN72" i="13"/>
  <c r="BG72" i="13"/>
  <c r="BW72" i="13"/>
  <c r="BV72" i="13"/>
  <c r="BO72" i="13"/>
  <c r="BH72" i="13"/>
  <c r="BR72" i="13"/>
  <c r="BP72" i="13"/>
  <c r="BQ72" i="13"/>
  <c r="BI72" i="13"/>
  <c r="BL72" i="13"/>
  <c r="BS72" i="13"/>
  <c r="BK72" i="13"/>
  <c r="BT72" i="13"/>
  <c r="BJ72" i="13"/>
  <c r="BT76" i="13"/>
  <c r="BM76" i="13"/>
  <c r="BF76" i="13"/>
  <c r="BE76" i="13"/>
  <c r="BN76" i="13"/>
  <c r="BR76" i="13"/>
  <c r="BK76" i="13"/>
  <c r="BI76" i="13"/>
  <c r="BG76" i="13"/>
  <c r="BQ76" i="13"/>
  <c r="BJ76" i="13"/>
  <c r="BH76" i="13"/>
  <c r="BV76" i="13"/>
  <c r="BS76" i="13"/>
  <c r="BP76" i="13"/>
  <c r="BO76" i="13"/>
  <c r="BW76" i="13"/>
  <c r="BU76" i="13"/>
  <c r="BL76" i="13"/>
  <c r="BK80" i="13"/>
  <c r="BJ80" i="13"/>
  <c r="BT80" i="13"/>
  <c r="BM80" i="13"/>
  <c r="BF80" i="13"/>
  <c r="BQ80" i="13"/>
  <c r="BU80" i="13"/>
  <c r="BH80" i="13"/>
  <c r="BL80" i="13"/>
  <c r="BE80" i="13"/>
  <c r="BO80" i="13"/>
  <c r="BS80" i="13"/>
  <c r="BP80" i="13"/>
  <c r="BR80" i="13"/>
  <c r="BI80" i="13"/>
  <c r="BW80" i="13"/>
  <c r="BN80" i="13"/>
  <c r="BV80" i="13"/>
  <c r="BG80" i="13"/>
  <c r="BR84" i="13"/>
  <c r="BQ84" i="13"/>
  <c r="BP84" i="13"/>
  <c r="BI84" i="13"/>
  <c r="BS84" i="13"/>
  <c r="BL84" i="13"/>
  <c r="BK84" i="13"/>
  <c r="BJ84" i="13"/>
  <c r="BT84" i="13"/>
  <c r="BF84" i="13"/>
  <c r="BU84" i="13"/>
  <c r="BO84" i="13"/>
  <c r="BM84" i="13"/>
  <c r="BE84" i="13"/>
  <c r="BN84" i="13"/>
  <c r="BW84" i="13"/>
  <c r="BG84" i="13"/>
  <c r="BV84" i="13"/>
  <c r="BH84" i="13"/>
  <c r="BO88" i="13"/>
  <c r="BH88" i="13"/>
  <c r="BR88" i="13"/>
  <c r="BQ88" i="13"/>
  <c r="BP88" i="13"/>
  <c r="BT88" i="13"/>
  <c r="BG88" i="13"/>
  <c r="BK88" i="13"/>
  <c r="BI88" i="13"/>
  <c r="BM88" i="13"/>
  <c r="BW88" i="13"/>
  <c r="BJ88" i="13"/>
  <c r="BL88" i="13"/>
  <c r="BU88" i="13"/>
  <c r="BF88" i="13"/>
  <c r="BS88" i="13"/>
  <c r="BV88" i="13"/>
  <c r="BN88" i="13"/>
  <c r="BE88" i="13"/>
  <c r="BW92" i="13"/>
  <c r="BV92" i="13"/>
  <c r="BO92" i="13"/>
  <c r="BH92" i="13"/>
  <c r="BR92" i="13"/>
  <c r="BQ92" i="13"/>
  <c r="BJ92" i="13"/>
  <c r="BN92" i="13"/>
  <c r="BL92" i="13"/>
  <c r="BK92" i="13"/>
  <c r="BU92" i="13"/>
  <c r="BS92" i="13"/>
  <c r="BF92" i="13"/>
  <c r="BT92" i="13"/>
  <c r="BE92" i="13"/>
  <c r="BM92" i="13"/>
  <c r="BP92" i="13"/>
  <c r="BG92" i="13"/>
  <c r="BI92" i="13"/>
  <c r="BM96" i="13"/>
  <c r="BF96" i="13"/>
  <c r="BE96" i="13"/>
  <c r="BU96" i="13"/>
  <c r="BN96" i="13"/>
  <c r="BG96" i="13"/>
  <c r="BW96" i="13"/>
  <c r="BV96" i="13"/>
  <c r="BO96" i="13"/>
  <c r="BH96" i="13"/>
  <c r="BQ96" i="13"/>
  <c r="BI96" i="13"/>
  <c r="BK96" i="13"/>
  <c r="BR96" i="13"/>
  <c r="BP96" i="13"/>
  <c r="BS96" i="13"/>
  <c r="BL96" i="13"/>
  <c r="BJ96" i="13"/>
  <c r="BT96" i="13"/>
  <c r="BT100" i="13"/>
  <c r="BM100" i="13"/>
  <c r="BF100" i="13"/>
  <c r="BE100" i="13"/>
  <c r="BI100" i="13"/>
  <c r="BG100" i="13"/>
  <c r="BQ100" i="13"/>
  <c r="BJ100" i="13"/>
  <c r="BO100" i="13"/>
  <c r="BS100" i="13"/>
  <c r="BW100" i="13"/>
  <c r="BP100" i="13"/>
  <c r="BN100" i="13"/>
  <c r="BK100" i="13"/>
  <c r="BH100" i="13"/>
  <c r="BV100" i="13"/>
  <c r="BU100" i="13"/>
  <c r="BL100" i="13"/>
  <c r="BR100" i="13"/>
  <c r="BK104" i="13"/>
  <c r="BJ104" i="13"/>
  <c r="BT104" i="13"/>
  <c r="BM104" i="13"/>
  <c r="BF104" i="13"/>
  <c r="BW104" i="13"/>
  <c r="BP104" i="13"/>
  <c r="BN104" i="13"/>
  <c r="BR104" i="13"/>
  <c r="BQ104" i="13"/>
  <c r="BU104" i="13"/>
  <c r="BH104" i="13"/>
  <c r="BL104" i="13"/>
  <c r="BV104" i="13"/>
  <c r="BG104" i="13"/>
  <c r="BO104" i="13"/>
  <c r="BI104" i="13"/>
  <c r="BE104" i="13"/>
  <c r="BS104" i="13"/>
  <c r="BR108" i="13"/>
  <c r="BQ108" i="13"/>
  <c r="BP108" i="13"/>
  <c r="BI108" i="13"/>
  <c r="BS108" i="13"/>
  <c r="BL108" i="13"/>
  <c r="BK108" i="13"/>
  <c r="BJ108" i="13"/>
  <c r="BT108" i="13"/>
  <c r="BM108" i="13"/>
  <c r="BE108" i="13"/>
  <c r="BN108" i="13"/>
  <c r="BF108" i="13"/>
  <c r="BU108" i="13"/>
  <c r="BW108" i="13"/>
  <c r="BO108" i="13"/>
  <c r="BG108" i="13"/>
  <c r="BV108" i="13"/>
  <c r="BH108" i="13"/>
  <c r="BO112" i="13"/>
  <c r="BH112" i="13"/>
  <c r="BR112" i="13"/>
  <c r="BQ112" i="13"/>
  <c r="BP112" i="13"/>
  <c r="BI112" i="13"/>
  <c r="BM112" i="13"/>
  <c r="BW112" i="13"/>
  <c r="BJ112" i="13"/>
  <c r="BU112" i="13"/>
  <c r="BS112" i="13"/>
  <c r="BF112" i="13"/>
  <c r="BV112" i="13"/>
  <c r="BG112" i="13"/>
  <c r="BL112" i="13"/>
  <c r="BN112" i="13"/>
  <c r="BE112" i="13"/>
  <c r="BT112" i="13"/>
  <c r="BK112" i="13"/>
  <c r="BW116" i="13"/>
  <c r="BV116" i="13"/>
  <c r="BO116" i="13"/>
  <c r="BH116" i="13"/>
  <c r="BR116" i="13"/>
  <c r="BP116" i="13"/>
  <c r="BT116" i="13"/>
  <c r="BG116" i="13"/>
  <c r="BQ116" i="13"/>
  <c r="BJ116" i="13"/>
  <c r="BN116" i="13"/>
  <c r="BL116" i="13"/>
  <c r="BI116" i="13"/>
  <c r="BK116" i="13"/>
  <c r="BS116" i="13"/>
  <c r="BE116" i="13"/>
  <c r="BM116" i="13"/>
  <c r="BU116" i="13"/>
  <c r="BF116" i="13"/>
  <c r="BM120" i="13"/>
  <c r="BF120" i="13"/>
  <c r="BE120" i="13"/>
  <c r="BU120" i="13"/>
  <c r="BN120" i="13"/>
  <c r="BG120" i="13"/>
  <c r="BW120" i="13"/>
  <c r="BV120" i="13"/>
  <c r="BO120" i="13"/>
  <c r="BH120" i="13"/>
  <c r="BR120" i="13"/>
  <c r="BP120" i="13"/>
  <c r="BQ120" i="13"/>
  <c r="BI120" i="13"/>
  <c r="BS120" i="13"/>
  <c r="BK120" i="13"/>
  <c r="BT120" i="13"/>
  <c r="BL120" i="13"/>
  <c r="BJ120" i="13"/>
  <c r="BT124" i="13"/>
  <c r="BM124" i="13"/>
  <c r="BF124" i="13"/>
  <c r="BE124" i="13"/>
  <c r="BO124" i="13"/>
  <c r="BS124" i="13"/>
  <c r="BW124" i="13"/>
  <c r="BP124" i="13"/>
  <c r="BU124" i="13"/>
  <c r="BH124" i="13"/>
  <c r="BL124" i="13"/>
  <c r="BV124" i="13"/>
  <c r="BI124" i="13"/>
  <c r="BQ124" i="13"/>
  <c r="BN124" i="13"/>
  <c r="BK124" i="13"/>
  <c r="BR124" i="13"/>
  <c r="BG124" i="13"/>
  <c r="BJ124" i="13"/>
  <c r="BK136" i="13"/>
  <c r="BJ136" i="13"/>
  <c r="BT136" i="13"/>
  <c r="BM136" i="13"/>
  <c r="BF136" i="13"/>
  <c r="BE136" i="13"/>
  <c r="BU136" i="13"/>
  <c r="BN136" i="13"/>
  <c r="BG136" i="13"/>
  <c r="BP136" i="13"/>
  <c r="BS136" i="13"/>
  <c r="BW136" i="13"/>
  <c r="BO136" i="13"/>
  <c r="BR136" i="13"/>
  <c r="BQ136" i="13"/>
  <c r="BI136" i="13"/>
  <c r="BL136" i="13"/>
  <c r="BV136" i="13"/>
  <c r="BH136" i="13"/>
  <c r="BR140" i="13"/>
  <c r="BQ140" i="13"/>
  <c r="BP140" i="13"/>
  <c r="BI140" i="13"/>
  <c r="BS140" i="13"/>
  <c r="BL140" i="13"/>
  <c r="BK140" i="13"/>
  <c r="BJ140" i="13"/>
  <c r="BT140" i="13"/>
  <c r="BF140" i="13"/>
  <c r="BU140" i="13"/>
  <c r="BM140" i="13"/>
  <c r="BE140" i="13"/>
  <c r="BN140" i="13"/>
  <c r="BG140" i="13"/>
  <c r="BV140" i="13"/>
  <c r="BH140" i="13"/>
  <c r="BO140" i="13"/>
  <c r="BW140" i="13"/>
  <c r="BO144" i="13"/>
  <c r="BH144" i="13"/>
  <c r="BR144" i="13"/>
  <c r="BQ144" i="13"/>
  <c r="BP144" i="13"/>
  <c r="BU144" i="13"/>
  <c r="BS144" i="13"/>
  <c r="BF144" i="13"/>
  <c r="BV144" i="13"/>
  <c r="BN144" i="13"/>
  <c r="BL144" i="13"/>
  <c r="BM144" i="13"/>
  <c r="BE144" i="13"/>
  <c r="BG144" i="13"/>
  <c r="BJ144" i="13"/>
  <c r="BT144" i="13"/>
  <c r="BK144" i="13"/>
  <c r="BW144" i="13"/>
  <c r="BI144" i="13"/>
  <c r="BW174" i="13"/>
  <c r="BV174" i="13"/>
  <c r="BO174" i="13"/>
  <c r="BH174" i="13"/>
  <c r="BR174" i="13"/>
  <c r="BQ174" i="13"/>
  <c r="BP174" i="13"/>
  <c r="BI174" i="13"/>
  <c r="BS174" i="13"/>
  <c r="BL174" i="13"/>
  <c r="BU174" i="13"/>
  <c r="BG174" i="13"/>
  <c r="BK174" i="13"/>
  <c r="BT174" i="13"/>
  <c r="BF174" i="13"/>
  <c r="BE174" i="13"/>
  <c r="BN174" i="13"/>
  <c r="BJ174" i="13"/>
  <c r="BM174" i="13"/>
  <c r="BM178" i="13"/>
  <c r="BF178" i="13"/>
  <c r="BE178" i="13"/>
  <c r="BU178" i="13"/>
  <c r="BN178" i="13"/>
  <c r="BG178" i="13"/>
  <c r="BW178" i="13"/>
  <c r="BV178" i="13"/>
  <c r="BO178" i="13"/>
  <c r="BH178" i="13"/>
  <c r="BQ178" i="13"/>
  <c r="BI178" i="13"/>
  <c r="BR178" i="13"/>
  <c r="BP178" i="13"/>
  <c r="BL178" i="13"/>
  <c r="BJ178" i="13"/>
  <c r="BK178" i="13"/>
  <c r="BT178" i="13"/>
  <c r="BS178" i="13"/>
  <c r="BT199" i="13"/>
  <c r="BM199" i="13"/>
  <c r="BF199" i="13"/>
  <c r="BE199" i="13"/>
  <c r="BU199" i="13"/>
  <c r="BH199" i="13"/>
  <c r="BL199" i="13"/>
  <c r="BV199" i="13"/>
  <c r="BS199" i="13"/>
  <c r="BQ199" i="13"/>
  <c r="BO199" i="13"/>
  <c r="BG199" i="13"/>
  <c r="BK199" i="13"/>
  <c r="BN199" i="13"/>
  <c r="BW199" i="13"/>
  <c r="BJ199" i="13"/>
  <c r="BI199" i="13"/>
  <c r="BR199" i="13"/>
  <c r="BP199" i="13"/>
  <c r="BE203" i="13"/>
  <c r="BU203" i="13"/>
  <c r="BN203" i="13"/>
  <c r="BG203" i="13"/>
  <c r="BK203" i="13"/>
  <c r="BO203" i="13"/>
  <c r="BS203" i="13"/>
  <c r="BF203" i="13"/>
  <c r="BV203" i="13"/>
  <c r="BI203" i="13"/>
  <c r="BM203" i="13"/>
  <c r="BW203" i="13"/>
  <c r="BP203" i="13"/>
  <c r="BT203" i="13"/>
  <c r="BR203" i="13"/>
  <c r="BQ203" i="13"/>
  <c r="BJ203" i="13"/>
  <c r="BH203" i="13"/>
  <c r="BL203" i="13"/>
  <c r="BR207" i="13"/>
  <c r="BQ207" i="13"/>
  <c r="BP207" i="13"/>
  <c r="BI207" i="13"/>
  <c r="BS207" i="13"/>
  <c r="BL207" i="13"/>
  <c r="BK207" i="13"/>
  <c r="BJ207" i="13"/>
  <c r="BT207" i="13"/>
  <c r="BM207" i="13"/>
  <c r="BE207" i="13"/>
  <c r="BN207" i="13"/>
  <c r="BF207" i="13"/>
  <c r="BU207" i="13"/>
  <c r="BW207" i="13"/>
  <c r="BO207" i="13"/>
  <c r="BG207" i="13"/>
  <c r="BV207" i="13"/>
  <c r="BH207" i="13"/>
  <c r="BO211" i="13"/>
  <c r="BH211" i="13"/>
  <c r="BR211" i="13"/>
  <c r="BQ211" i="13"/>
  <c r="BP211" i="13"/>
  <c r="BN211" i="13"/>
  <c r="BL211" i="13"/>
  <c r="BE211" i="13"/>
  <c r="BT211" i="13"/>
  <c r="BF211" i="13"/>
  <c r="BJ211" i="13"/>
  <c r="BS211" i="13"/>
  <c r="BW211" i="13"/>
  <c r="BI211" i="13"/>
  <c r="BG211" i="13"/>
  <c r="BV211" i="13"/>
  <c r="BU211" i="13"/>
  <c r="BM211" i="13"/>
  <c r="BK211" i="13"/>
  <c r="BQ230" i="13"/>
  <c r="BP230" i="13"/>
  <c r="BI230" i="13"/>
  <c r="BS230" i="13"/>
  <c r="BL230" i="13"/>
  <c r="BK230" i="13"/>
  <c r="BU230" i="13"/>
  <c r="BH230" i="13"/>
  <c r="BF230" i="13"/>
  <c r="BE230" i="13"/>
  <c r="BO230" i="13"/>
  <c r="BM230" i="13"/>
  <c r="BV230" i="13"/>
  <c r="BT230" i="13"/>
  <c r="BG230" i="13"/>
  <c r="BW230" i="13"/>
  <c r="BJ230" i="13"/>
  <c r="BN230" i="13"/>
  <c r="BR230" i="13"/>
  <c r="BM234" i="13"/>
  <c r="BF234" i="13"/>
  <c r="BE234" i="13"/>
  <c r="BU234" i="13"/>
  <c r="BN234" i="13"/>
  <c r="BG234" i="13"/>
  <c r="BW234" i="13"/>
  <c r="BV234" i="13"/>
  <c r="BO234" i="13"/>
  <c r="BH234" i="13"/>
  <c r="BR234" i="13"/>
  <c r="BP234" i="13"/>
  <c r="BQ234" i="13"/>
  <c r="BI234" i="13"/>
  <c r="BS234" i="13"/>
  <c r="BK234" i="13"/>
  <c r="BT234" i="13"/>
  <c r="BL234" i="13"/>
  <c r="BJ234" i="13"/>
  <c r="BF7" i="13"/>
  <c r="BE7" i="13"/>
  <c r="BU7" i="13"/>
  <c r="BN7" i="13"/>
  <c r="BG7" i="13"/>
  <c r="BR7" i="13"/>
  <c r="BK7" i="13"/>
  <c r="BO7" i="13"/>
  <c r="BS7" i="13"/>
  <c r="BW7" i="13"/>
  <c r="BP7" i="13"/>
  <c r="BT7" i="13"/>
  <c r="BQ7" i="13"/>
  <c r="BJ7" i="13"/>
  <c r="BH7" i="13"/>
  <c r="BM7" i="13"/>
  <c r="BL7" i="13"/>
  <c r="BV7" i="13"/>
  <c r="BI7" i="13"/>
  <c r="BH11" i="13"/>
  <c r="BR11" i="13"/>
  <c r="BQ11" i="13"/>
  <c r="BP11" i="13"/>
  <c r="BI11" i="13"/>
  <c r="BS11" i="13"/>
  <c r="BL11" i="13"/>
  <c r="BK11" i="13"/>
  <c r="BJ11" i="13"/>
  <c r="BG11" i="13"/>
  <c r="BV11" i="13"/>
  <c r="BT11" i="13"/>
  <c r="BF11" i="13"/>
  <c r="BU11" i="13"/>
  <c r="BN11" i="13"/>
  <c r="BW11" i="13"/>
  <c r="BO11" i="13"/>
  <c r="BM11" i="13"/>
  <c r="BE11" i="13"/>
  <c r="BV15" i="13"/>
  <c r="BO15" i="13"/>
  <c r="BH15" i="13"/>
  <c r="BR15" i="13"/>
  <c r="BQ15" i="13"/>
  <c r="BP15" i="13"/>
  <c r="BI15" i="13"/>
  <c r="BS15" i="13"/>
  <c r="BL15" i="13"/>
  <c r="BK15" i="13"/>
  <c r="BU15" i="13"/>
  <c r="BG15" i="13"/>
  <c r="BT15" i="13"/>
  <c r="BF15" i="13"/>
  <c r="BM15" i="13"/>
  <c r="BW15" i="13"/>
  <c r="BJ15" i="13"/>
  <c r="BE15" i="13"/>
  <c r="BN15" i="13"/>
  <c r="BR21" i="13"/>
  <c r="BQ21" i="13"/>
  <c r="BP21" i="13"/>
  <c r="BI21" i="13"/>
  <c r="BS21" i="13"/>
  <c r="BK21" i="13"/>
  <c r="BU21" i="13"/>
  <c r="BH21" i="13"/>
  <c r="BF21" i="13"/>
  <c r="BV21" i="13"/>
  <c r="BT21" i="13"/>
  <c r="BG21" i="13"/>
  <c r="BW21" i="13"/>
  <c r="BJ21" i="13"/>
  <c r="BN21" i="13"/>
  <c r="BL21" i="13"/>
  <c r="BE21" i="13"/>
  <c r="BO21" i="13"/>
  <c r="BM21" i="13"/>
  <c r="BT25" i="13"/>
  <c r="BM25" i="13"/>
  <c r="BF25" i="13"/>
  <c r="BE25" i="13"/>
  <c r="BU25" i="13"/>
  <c r="BN25" i="13"/>
  <c r="BG25" i="13"/>
  <c r="BW25" i="13"/>
  <c r="BV25" i="13"/>
  <c r="BO25" i="13"/>
  <c r="BL25" i="13"/>
  <c r="BJ25" i="13"/>
  <c r="BH25" i="13"/>
  <c r="BQ25" i="13"/>
  <c r="BI25" i="13"/>
  <c r="BS25" i="13"/>
  <c r="BK25" i="13"/>
  <c r="BR25" i="13"/>
  <c r="BP25" i="13"/>
  <c r="BJ29" i="13"/>
  <c r="BT29" i="13"/>
  <c r="BM29" i="13"/>
  <c r="BF29" i="13"/>
  <c r="BE29" i="13"/>
  <c r="BU29" i="13"/>
  <c r="BN29" i="13"/>
  <c r="BG29" i="13"/>
  <c r="BW29" i="13"/>
  <c r="BI29" i="13"/>
  <c r="BL29" i="13"/>
  <c r="BV29" i="13"/>
  <c r="BH29" i="13"/>
  <c r="BQ29" i="13"/>
  <c r="BO29" i="13"/>
  <c r="BS29" i="13"/>
  <c r="BR29" i="13"/>
  <c r="BP29" i="13"/>
  <c r="BK29" i="13"/>
  <c r="BF33" i="13"/>
  <c r="BE33" i="13"/>
  <c r="BU33" i="13"/>
  <c r="BN33" i="13"/>
  <c r="BG33" i="13"/>
  <c r="BQ33" i="13"/>
  <c r="BJ33" i="13"/>
  <c r="BH33" i="13"/>
  <c r="BL33" i="13"/>
  <c r="BV33" i="13"/>
  <c r="BI33" i="13"/>
  <c r="BM33" i="13"/>
  <c r="BW33" i="13"/>
  <c r="BP33" i="13"/>
  <c r="BT33" i="13"/>
  <c r="BK33" i="13"/>
  <c r="BS33" i="13"/>
  <c r="BO33" i="13"/>
  <c r="BR33" i="13"/>
  <c r="BH38" i="13"/>
  <c r="BR38" i="13"/>
  <c r="BQ38" i="13"/>
  <c r="BP38" i="13"/>
  <c r="BI38" i="13"/>
  <c r="BS38" i="13"/>
  <c r="BL38" i="13"/>
  <c r="BK38" i="13"/>
  <c r="BJ38" i="13"/>
  <c r="BN38" i="13"/>
  <c r="BW38" i="13"/>
  <c r="BO38" i="13"/>
  <c r="BM38" i="13"/>
  <c r="BE38" i="13"/>
  <c r="BG38" i="13"/>
  <c r="BV38" i="13"/>
  <c r="BT38" i="13"/>
  <c r="BF38" i="13"/>
  <c r="BU38" i="13"/>
  <c r="BV42" i="13"/>
  <c r="BO42" i="13"/>
  <c r="BH42" i="13"/>
  <c r="BR42" i="13"/>
  <c r="BQ42" i="13"/>
  <c r="BP42" i="13"/>
  <c r="BI42" i="13"/>
  <c r="BS42" i="13"/>
  <c r="BL42" i="13"/>
  <c r="BK42" i="13"/>
  <c r="BN42" i="13"/>
  <c r="BW42" i="13"/>
  <c r="BJ42" i="13"/>
  <c r="BM42" i="13"/>
  <c r="BE42" i="13"/>
  <c r="BF42" i="13"/>
  <c r="BU42" i="13"/>
  <c r="BT42" i="13"/>
  <c r="BG42" i="13"/>
  <c r="BR46" i="13"/>
  <c r="BQ46" i="13"/>
  <c r="BP46" i="13"/>
  <c r="BI46" i="13"/>
  <c r="BS46" i="13"/>
  <c r="BW46" i="13"/>
  <c r="BJ46" i="13"/>
  <c r="BN46" i="13"/>
  <c r="BL46" i="13"/>
  <c r="BE46" i="13"/>
  <c r="BO46" i="13"/>
  <c r="BM46" i="13"/>
  <c r="BF46" i="13"/>
  <c r="BT46" i="13"/>
  <c r="BV46" i="13"/>
  <c r="BG46" i="13"/>
  <c r="BU46" i="13"/>
  <c r="BH46" i="13"/>
  <c r="BK46" i="13"/>
  <c r="BT50" i="13"/>
  <c r="BM50" i="13"/>
  <c r="BF50" i="13"/>
  <c r="BE50" i="13"/>
  <c r="BU50" i="13"/>
  <c r="BN50" i="13"/>
  <c r="BG50" i="13"/>
  <c r="BW50" i="13"/>
  <c r="BV50" i="13"/>
  <c r="BO50" i="13"/>
  <c r="BS50" i="13"/>
  <c r="BK50" i="13"/>
  <c r="BR50" i="13"/>
  <c r="BP50" i="13"/>
  <c r="BL50" i="13"/>
  <c r="BJ50" i="13"/>
  <c r="BI50" i="13"/>
  <c r="BH50" i="13"/>
  <c r="BQ50" i="13"/>
  <c r="BJ54" i="13"/>
  <c r="BT54" i="13"/>
  <c r="BM54" i="13"/>
  <c r="BF54" i="13"/>
  <c r="BE54" i="13"/>
  <c r="BU54" i="13"/>
  <c r="BN54" i="13"/>
  <c r="BG54" i="13"/>
  <c r="BW54" i="13"/>
  <c r="BP54" i="13"/>
  <c r="BS54" i="13"/>
  <c r="BK54" i="13"/>
  <c r="BO54" i="13"/>
  <c r="BR54" i="13"/>
  <c r="BH54" i="13"/>
  <c r="BL54" i="13"/>
  <c r="BV54" i="13"/>
  <c r="BQ54" i="13"/>
  <c r="BI54" i="13"/>
  <c r="BH65" i="13"/>
  <c r="BR65" i="13"/>
  <c r="BQ65" i="13"/>
  <c r="BP65" i="13"/>
  <c r="BI65" i="13"/>
  <c r="BS65" i="13"/>
  <c r="BL65" i="13"/>
  <c r="BK65" i="13"/>
  <c r="BJ65" i="13"/>
  <c r="BG65" i="13"/>
  <c r="BV65" i="13"/>
  <c r="BT65" i="13"/>
  <c r="BF65" i="13"/>
  <c r="BU65" i="13"/>
  <c r="BN65" i="13"/>
  <c r="BW65" i="13"/>
  <c r="BO65" i="13"/>
  <c r="BE65" i="13"/>
  <c r="BM65" i="13"/>
  <c r="BV69" i="13"/>
  <c r="BO69" i="13"/>
  <c r="BH69" i="13"/>
  <c r="BR69" i="13"/>
  <c r="BQ69" i="13"/>
  <c r="BP69" i="13"/>
  <c r="BI69" i="13"/>
  <c r="BS69" i="13"/>
  <c r="BL69" i="13"/>
  <c r="BK69" i="13"/>
  <c r="BU69" i="13"/>
  <c r="BG69" i="13"/>
  <c r="BT69" i="13"/>
  <c r="BF69" i="13"/>
  <c r="BJ69" i="13"/>
  <c r="BE69" i="13"/>
  <c r="BN69" i="13"/>
  <c r="BM69" i="13"/>
  <c r="BW69" i="13"/>
  <c r="BR73" i="13"/>
  <c r="BQ73" i="13"/>
  <c r="BP73" i="13"/>
  <c r="BI73" i="13"/>
  <c r="BS73" i="13"/>
  <c r="BF73" i="13"/>
  <c r="BV73" i="13"/>
  <c r="BT73" i="13"/>
  <c r="BG73" i="13"/>
  <c r="BK73" i="13"/>
  <c r="BU73" i="13"/>
  <c r="BH73" i="13"/>
  <c r="BE73" i="13"/>
  <c r="BM73" i="13"/>
  <c r="BL73" i="13"/>
  <c r="BO73" i="13"/>
  <c r="BW73" i="13"/>
  <c r="BJ73" i="13"/>
  <c r="BN73" i="13"/>
  <c r="BT77" i="13"/>
  <c r="BM77" i="13"/>
  <c r="BF77" i="13"/>
  <c r="BE77" i="13"/>
  <c r="BU77" i="13"/>
  <c r="BN77" i="13"/>
  <c r="BG77" i="13"/>
  <c r="BW77" i="13"/>
  <c r="BV77" i="13"/>
  <c r="BO77" i="13"/>
  <c r="BL77" i="13"/>
  <c r="BJ77" i="13"/>
  <c r="BH77" i="13"/>
  <c r="BQ77" i="13"/>
  <c r="BI77" i="13"/>
  <c r="BS77" i="13"/>
  <c r="BK77" i="13"/>
  <c r="BR77" i="13"/>
  <c r="BP77" i="13"/>
  <c r="BJ81" i="13"/>
  <c r="BT81" i="13"/>
  <c r="BM81" i="13"/>
  <c r="BF81" i="13"/>
  <c r="BE81" i="13"/>
  <c r="BU81" i="13"/>
  <c r="BN81" i="13"/>
  <c r="BG81" i="13"/>
  <c r="BW81" i="13"/>
  <c r="BI81" i="13"/>
  <c r="BL81" i="13"/>
  <c r="BV81" i="13"/>
  <c r="BH81" i="13"/>
  <c r="BQ81" i="13"/>
  <c r="BR81" i="13"/>
  <c r="BP81" i="13"/>
  <c r="BK81" i="13"/>
  <c r="BO81" i="13"/>
  <c r="BS81" i="13"/>
  <c r="BF85" i="13"/>
  <c r="BE85" i="13"/>
  <c r="BU85" i="13"/>
  <c r="BN85" i="13"/>
  <c r="BG85" i="13"/>
  <c r="BL85" i="13"/>
  <c r="BV85" i="13"/>
  <c r="BI85" i="13"/>
  <c r="BM85" i="13"/>
  <c r="BQ85" i="13"/>
  <c r="BJ85" i="13"/>
  <c r="BH85" i="13"/>
  <c r="BR85" i="13"/>
  <c r="BK85" i="13"/>
  <c r="BS85" i="13"/>
  <c r="BO85" i="13"/>
  <c r="BW85" i="13"/>
  <c r="BT85" i="13"/>
  <c r="BP85" i="13"/>
  <c r="BH89" i="13"/>
  <c r="BR89" i="13"/>
  <c r="BQ89" i="13"/>
  <c r="BP89" i="13"/>
  <c r="BI89" i="13"/>
  <c r="BS89" i="13"/>
  <c r="BL89" i="13"/>
  <c r="BK89" i="13"/>
  <c r="BJ89" i="13"/>
  <c r="BN89" i="13"/>
  <c r="BW89" i="13"/>
  <c r="BO89" i="13"/>
  <c r="BM89" i="13"/>
  <c r="BE89" i="13"/>
  <c r="BG89" i="13"/>
  <c r="BV89" i="13"/>
  <c r="BT89" i="13"/>
  <c r="BF89" i="13"/>
  <c r="BU89" i="13"/>
  <c r="BV93" i="13"/>
  <c r="BO93" i="13"/>
  <c r="BH93" i="13"/>
  <c r="BR93" i="13"/>
  <c r="BQ93" i="13"/>
  <c r="BP93" i="13"/>
  <c r="BI93" i="13"/>
  <c r="BS93" i="13"/>
  <c r="BL93" i="13"/>
  <c r="BK93" i="13"/>
  <c r="BN93" i="13"/>
  <c r="BW93" i="13"/>
  <c r="BJ93" i="13"/>
  <c r="BM93" i="13"/>
  <c r="BE93" i="13"/>
  <c r="BT93" i="13"/>
  <c r="BG93" i="13"/>
  <c r="BF93" i="13"/>
  <c r="BU93" i="13"/>
  <c r="BR97" i="13"/>
  <c r="BQ97" i="13"/>
  <c r="BP97" i="13"/>
  <c r="BI97" i="13"/>
  <c r="BS97" i="13"/>
  <c r="BL97" i="13"/>
  <c r="BE97" i="13"/>
  <c r="BO97" i="13"/>
  <c r="BM97" i="13"/>
  <c r="BW97" i="13"/>
  <c r="BJ97" i="13"/>
  <c r="BN97" i="13"/>
  <c r="BK97" i="13"/>
  <c r="BH97" i="13"/>
  <c r="BU97" i="13"/>
  <c r="BV97" i="13"/>
  <c r="BG97" i="13"/>
  <c r="BT97" i="13"/>
  <c r="BF97" i="13"/>
  <c r="BT101" i="13"/>
  <c r="BM101" i="13"/>
  <c r="BF101" i="13"/>
  <c r="BE101" i="13"/>
  <c r="BU101" i="13"/>
  <c r="BN101" i="13"/>
  <c r="BG101" i="13"/>
  <c r="BW101" i="13"/>
  <c r="BV101" i="13"/>
  <c r="BO101" i="13"/>
  <c r="BS101" i="13"/>
  <c r="BK101" i="13"/>
  <c r="BR101" i="13"/>
  <c r="BP101" i="13"/>
  <c r="BL101" i="13"/>
  <c r="BJ101" i="13"/>
  <c r="BH101" i="13"/>
  <c r="BQ101" i="13"/>
  <c r="BI101" i="13"/>
  <c r="BJ105" i="13"/>
  <c r="BT105" i="13"/>
  <c r="BM105" i="13"/>
  <c r="BF105" i="13"/>
  <c r="BE105" i="13"/>
  <c r="BU105" i="13"/>
  <c r="BN105" i="13"/>
  <c r="BG105" i="13"/>
  <c r="BW105" i="13"/>
  <c r="BP105" i="13"/>
  <c r="BS105" i="13"/>
  <c r="BK105" i="13"/>
  <c r="BO105" i="13"/>
  <c r="BR105" i="13"/>
  <c r="BV105" i="13"/>
  <c r="BQ105" i="13"/>
  <c r="BI105" i="13"/>
  <c r="BH105" i="13"/>
  <c r="BL105" i="13"/>
  <c r="BF109" i="13"/>
  <c r="BE109" i="13"/>
  <c r="BU109" i="13"/>
  <c r="BN109" i="13"/>
  <c r="BG109" i="13"/>
  <c r="BR109" i="13"/>
  <c r="BK109" i="13"/>
  <c r="BO109" i="13"/>
  <c r="BS109" i="13"/>
  <c r="BW109" i="13"/>
  <c r="BP109" i="13"/>
  <c r="BT109" i="13"/>
  <c r="BQ109" i="13"/>
  <c r="BH109" i="13"/>
  <c r="BJ109" i="13"/>
  <c r="BI109" i="13"/>
  <c r="BM109" i="13"/>
  <c r="BL109" i="13"/>
  <c r="BV109" i="13"/>
  <c r="BH113" i="13"/>
  <c r="BR113" i="13"/>
  <c r="BQ113" i="13"/>
  <c r="BP113" i="13"/>
  <c r="BI113" i="13"/>
  <c r="BS113" i="13"/>
  <c r="BL113" i="13"/>
  <c r="BK113" i="13"/>
  <c r="BJ113" i="13"/>
  <c r="BG113" i="13"/>
  <c r="BV113" i="13"/>
  <c r="BT113" i="13"/>
  <c r="BF113" i="13"/>
  <c r="BU113" i="13"/>
  <c r="BN113" i="13"/>
  <c r="BW113" i="13"/>
  <c r="BO113" i="13"/>
  <c r="BM113" i="13"/>
  <c r="BE113" i="13"/>
  <c r="BV117" i="13"/>
  <c r="BO117" i="13"/>
  <c r="BH117" i="13"/>
  <c r="BR117" i="13"/>
  <c r="BQ117" i="13"/>
  <c r="BP117" i="13"/>
  <c r="BI117" i="13"/>
  <c r="BS117" i="13"/>
  <c r="BL117" i="13"/>
  <c r="BK117" i="13"/>
  <c r="BU117" i="13"/>
  <c r="BG117" i="13"/>
  <c r="BT117" i="13"/>
  <c r="BF117" i="13"/>
  <c r="BM117" i="13"/>
  <c r="BW117" i="13"/>
  <c r="BJ117" i="13"/>
  <c r="BE117" i="13"/>
  <c r="BN117" i="13"/>
  <c r="BR121" i="13"/>
  <c r="BQ121" i="13"/>
  <c r="BP121" i="13"/>
  <c r="BI121" i="13"/>
  <c r="BS121" i="13"/>
  <c r="BK121" i="13"/>
  <c r="BU121" i="13"/>
  <c r="BH121" i="13"/>
  <c r="BF121" i="13"/>
  <c r="BV121" i="13"/>
  <c r="BT121" i="13"/>
  <c r="BG121" i="13"/>
  <c r="BW121" i="13"/>
  <c r="BN121" i="13"/>
  <c r="BJ121" i="13"/>
  <c r="BM121" i="13"/>
  <c r="BL121" i="13"/>
  <c r="BE121" i="13"/>
  <c r="BO121" i="13"/>
  <c r="BT125" i="13"/>
  <c r="BM125" i="13"/>
  <c r="BF125" i="13"/>
  <c r="BE125" i="13"/>
  <c r="BU125" i="13"/>
  <c r="BN125" i="13"/>
  <c r="BG125" i="13"/>
  <c r="BW125" i="13"/>
  <c r="BV125" i="13"/>
  <c r="BO125" i="13"/>
  <c r="BL125" i="13"/>
  <c r="BJ125" i="13"/>
  <c r="BH125" i="13"/>
  <c r="BQ125" i="13"/>
  <c r="BI125" i="13"/>
  <c r="BS125" i="13"/>
  <c r="BK125" i="13"/>
  <c r="BP125" i="13"/>
  <c r="BR125" i="13"/>
  <c r="BJ137" i="13"/>
  <c r="BT137" i="13"/>
  <c r="BM137" i="13"/>
  <c r="BF137" i="13"/>
  <c r="BE137" i="13"/>
  <c r="BU137" i="13"/>
  <c r="BN137" i="13"/>
  <c r="BG137" i="13"/>
  <c r="BW137" i="13"/>
  <c r="BI137" i="13"/>
  <c r="BL137" i="13"/>
  <c r="BV137" i="13"/>
  <c r="BH137" i="13"/>
  <c r="BQ137" i="13"/>
  <c r="BO137" i="13"/>
  <c r="BS137" i="13"/>
  <c r="BR137" i="13"/>
  <c r="BK137" i="13"/>
  <c r="BP137" i="13"/>
  <c r="BF141" i="13"/>
  <c r="BE141" i="13"/>
  <c r="BU141" i="13"/>
  <c r="BN141" i="13"/>
  <c r="BG141" i="13"/>
  <c r="BQ141" i="13"/>
  <c r="BJ141" i="13"/>
  <c r="BH141" i="13"/>
  <c r="BL141" i="13"/>
  <c r="BV141" i="13"/>
  <c r="BI141" i="13"/>
  <c r="BM141" i="13"/>
  <c r="BW141" i="13"/>
  <c r="BP141" i="13"/>
  <c r="BT141" i="13"/>
  <c r="BR141" i="13"/>
  <c r="BK141" i="13"/>
  <c r="BO141" i="13"/>
  <c r="BS141" i="13"/>
  <c r="BH171" i="13"/>
  <c r="BR171" i="13"/>
  <c r="BQ171" i="13"/>
  <c r="BP171" i="13"/>
  <c r="BI171" i="13"/>
  <c r="BS171" i="13"/>
  <c r="BL171" i="13"/>
  <c r="BK171" i="13"/>
  <c r="BJ171" i="13"/>
  <c r="BN171" i="13"/>
  <c r="BW171" i="13"/>
  <c r="BO171" i="13"/>
  <c r="BM171" i="13"/>
  <c r="BE171" i="13"/>
  <c r="BG171" i="13"/>
  <c r="BV171" i="13"/>
  <c r="BF171" i="13"/>
  <c r="BU171" i="13"/>
  <c r="BT171" i="13"/>
  <c r="BV175" i="13"/>
  <c r="BO175" i="13"/>
  <c r="BH175" i="13"/>
  <c r="BR175" i="13"/>
  <c r="BQ175" i="13"/>
  <c r="BP175" i="13"/>
  <c r="BI175" i="13"/>
  <c r="BS175" i="13"/>
  <c r="BL175" i="13"/>
  <c r="BN175" i="13"/>
  <c r="BW175" i="13"/>
  <c r="BJ175" i="13"/>
  <c r="BM175" i="13"/>
  <c r="BK175" i="13"/>
  <c r="BF175" i="13"/>
  <c r="BU175" i="13"/>
  <c r="BE175" i="13"/>
  <c r="BT175" i="13"/>
  <c r="BG175" i="13"/>
  <c r="BF179" i="13"/>
  <c r="BE179" i="13"/>
  <c r="BU179" i="13"/>
  <c r="BN179" i="13"/>
  <c r="BG179" i="13"/>
  <c r="BR179" i="13"/>
  <c r="BQ179" i="13"/>
  <c r="BP179" i="13"/>
  <c r="BI179" i="13"/>
  <c r="BS179" i="13"/>
  <c r="BL179" i="13"/>
  <c r="BJ179" i="13"/>
  <c r="BT179" i="13"/>
  <c r="BM179" i="13"/>
  <c r="BK179" i="13"/>
  <c r="BW179" i="13"/>
  <c r="BO179" i="13"/>
  <c r="BV179" i="13"/>
  <c r="BH179" i="13"/>
  <c r="BN200" i="13"/>
  <c r="BG200" i="13"/>
  <c r="BW200" i="13"/>
  <c r="BV200" i="13"/>
  <c r="BO200" i="13"/>
  <c r="BH200" i="13"/>
  <c r="BL200" i="13"/>
  <c r="BE200" i="13"/>
  <c r="BI200" i="13"/>
  <c r="BS200" i="13"/>
  <c r="BF200" i="13"/>
  <c r="BP200" i="13"/>
  <c r="BM200" i="13"/>
  <c r="BQ200" i="13"/>
  <c r="BJ200" i="13"/>
  <c r="BT200" i="13"/>
  <c r="BR200" i="13"/>
  <c r="BK200" i="13"/>
  <c r="BU200" i="13"/>
  <c r="BJ204" i="13"/>
  <c r="BT204" i="13"/>
  <c r="BM204" i="13"/>
  <c r="BF204" i="13"/>
  <c r="BE204" i="13"/>
  <c r="BU204" i="13"/>
  <c r="BN204" i="13"/>
  <c r="BG204" i="13"/>
  <c r="BW204" i="13"/>
  <c r="BP204" i="13"/>
  <c r="BS204" i="13"/>
  <c r="BK204" i="13"/>
  <c r="BO204" i="13"/>
  <c r="BR204" i="13"/>
  <c r="BI204" i="13"/>
  <c r="BL204" i="13"/>
  <c r="BV204" i="13"/>
  <c r="BH204" i="13"/>
  <c r="BQ204" i="13"/>
  <c r="BR208" i="13"/>
  <c r="BQ208" i="13"/>
  <c r="BP208" i="13"/>
  <c r="BI208" i="13"/>
  <c r="BS208" i="13"/>
  <c r="BF208" i="13"/>
  <c r="BE208" i="13"/>
  <c r="BU208" i="13"/>
  <c r="BN208" i="13"/>
  <c r="BG208" i="13"/>
  <c r="BV208" i="13"/>
  <c r="BH208" i="13"/>
  <c r="BW208" i="13"/>
  <c r="BO208" i="13"/>
  <c r="BT208" i="13"/>
  <c r="BL208" i="13"/>
  <c r="BM208" i="13"/>
  <c r="BK208" i="13"/>
  <c r="BJ208" i="13"/>
  <c r="BS212" i="13"/>
  <c r="BL212" i="13"/>
  <c r="BK212" i="13"/>
  <c r="BJ212" i="13"/>
  <c r="BN212" i="13"/>
  <c r="BR212" i="13"/>
  <c r="BE212" i="13"/>
  <c r="BO212" i="13"/>
  <c r="BH212" i="13"/>
  <c r="BF212" i="13"/>
  <c r="BV212" i="13"/>
  <c r="BI212" i="13"/>
  <c r="BM212" i="13"/>
  <c r="BW212" i="13"/>
  <c r="BP212" i="13"/>
  <c r="BG212" i="13"/>
  <c r="BQ212" i="13"/>
  <c r="BU212" i="13"/>
  <c r="BT212" i="13"/>
  <c r="BV231" i="13"/>
  <c r="BO231" i="13"/>
  <c r="BH231" i="13"/>
  <c r="BR231" i="13"/>
  <c r="BQ231" i="13"/>
  <c r="BP231" i="13"/>
  <c r="BI231" i="13"/>
  <c r="BS231" i="13"/>
  <c r="BL231" i="13"/>
  <c r="BK231" i="13"/>
  <c r="BU231" i="13"/>
  <c r="BG231" i="13"/>
  <c r="BT231" i="13"/>
  <c r="BF231" i="13"/>
  <c r="BN231" i="13"/>
  <c r="BW231" i="13"/>
  <c r="BE231" i="13"/>
  <c r="BJ231" i="13"/>
  <c r="BM231" i="13"/>
  <c r="BE8" i="13"/>
  <c r="BU8" i="13"/>
  <c r="BN8" i="13"/>
  <c r="BG8" i="13"/>
  <c r="BK8" i="13"/>
  <c r="BO8" i="13"/>
  <c r="BS8" i="13"/>
  <c r="BF8" i="13"/>
  <c r="BV8" i="13"/>
  <c r="BI8" i="13"/>
  <c r="BM8" i="13"/>
  <c r="BQ8" i="13"/>
  <c r="BH8" i="13"/>
  <c r="BP8" i="13"/>
  <c r="BR8" i="13"/>
  <c r="BJ8" i="13"/>
  <c r="BL8" i="13"/>
  <c r="BW8" i="13"/>
  <c r="BT8" i="13"/>
  <c r="BS12" i="13"/>
  <c r="BL12" i="13"/>
  <c r="BK12" i="13"/>
  <c r="BJ12" i="13"/>
  <c r="BT12" i="13"/>
  <c r="BM12" i="13"/>
  <c r="BF12" i="13"/>
  <c r="BE12" i="13"/>
  <c r="BU12" i="13"/>
  <c r="BN12" i="13"/>
  <c r="BW12" i="13"/>
  <c r="BO12" i="13"/>
  <c r="BG12" i="13"/>
  <c r="BV12" i="13"/>
  <c r="BH12" i="13"/>
  <c r="BR12" i="13"/>
  <c r="BP12" i="13"/>
  <c r="BQ12" i="13"/>
  <c r="BI12" i="13"/>
  <c r="BI16" i="13"/>
  <c r="BS16" i="13"/>
  <c r="BL16" i="13"/>
  <c r="BK16" i="13"/>
  <c r="BJ16" i="13"/>
  <c r="BN16" i="13"/>
  <c r="BR16" i="13"/>
  <c r="BE16" i="13"/>
  <c r="BT16" i="13"/>
  <c r="BG16" i="13"/>
  <c r="BQ16" i="13"/>
  <c r="BH16" i="13"/>
  <c r="BV16" i="13"/>
  <c r="BM16" i="13"/>
  <c r="BP16" i="13"/>
  <c r="BO16" i="13"/>
  <c r="BW16" i="13"/>
  <c r="BU16" i="13"/>
  <c r="BF16" i="13"/>
  <c r="BQ22" i="13"/>
  <c r="BP22" i="13"/>
  <c r="BI22" i="13"/>
  <c r="BS22" i="13"/>
  <c r="BL22" i="13"/>
  <c r="BK22" i="13"/>
  <c r="BU22" i="13"/>
  <c r="BH22" i="13"/>
  <c r="BF22" i="13"/>
  <c r="BE22" i="13"/>
  <c r="BO22" i="13"/>
  <c r="BM22" i="13"/>
  <c r="BJ22" i="13"/>
  <c r="BR22" i="13"/>
  <c r="BT22" i="13"/>
  <c r="BW22" i="13"/>
  <c r="BN22" i="13"/>
  <c r="BV22" i="13"/>
  <c r="BG22" i="13"/>
  <c r="BG26" i="13"/>
  <c r="BW26" i="13"/>
  <c r="BV26" i="13"/>
  <c r="BO26" i="13"/>
  <c r="BH26" i="13"/>
  <c r="BR26" i="13"/>
  <c r="BQ26" i="13"/>
  <c r="BP26" i="13"/>
  <c r="BI26" i="13"/>
  <c r="BS26" i="13"/>
  <c r="BK26" i="13"/>
  <c r="BT26" i="13"/>
  <c r="BL26" i="13"/>
  <c r="BJ26" i="13"/>
  <c r="BM26" i="13"/>
  <c r="BF26" i="13"/>
  <c r="BU26" i="13"/>
  <c r="BE26" i="13"/>
  <c r="BN26" i="13"/>
  <c r="BU30" i="13"/>
  <c r="BN30" i="13"/>
  <c r="BG30" i="13"/>
  <c r="BW30" i="13"/>
  <c r="BV30" i="13"/>
  <c r="BT30" i="13"/>
  <c r="BR30" i="13"/>
  <c r="BK30" i="13"/>
  <c r="BI30" i="13"/>
  <c r="BM30" i="13"/>
  <c r="BQ30" i="13"/>
  <c r="BJ30" i="13"/>
  <c r="BL30" i="13"/>
  <c r="BO30" i="13"/>
  <c r="BF30" i="13"/>
  <c r="BS30" i="13"/>
  <c r="BP30" i="13"/>
  <c r="BH30" i="13"/>
  <c r="BE30" i="13"/>
  <c r="BE34" i="13"/>
  <c r="BU34" i="13"/>
  <c r="BN34" i="13"/>
  <c r="BG34" i="13"/>
  <c r="BQ34" i="13"/>
  <c r="BJ34" i="13"/>
  <c r="BH34" i="13"/>
  <c r="BL34" i="13"/>
  <c r="BK34" i="13"/>
  <c r="BO34" i="13"/>
  <c r="BS34" i="13"/>
  <c r="BF34" i="13"/>
  <c r="BW34" i="13"/>
  <c r="BT34" i="13"/>
  <c r="BV34" i="13"/>
  <c r="BM34" i="13"/>
  <c r="BP34" i="13"/>
  <c r="BR34" i="13"/>
  <c r="BI34" i="13"/>
  <c r="BS39" i="13"/>
  <c r="BL39" i="13"/>
  <c r="BK39" i="13"/>
  <c r="BJ39" i="13"/>
  <c r="BT39" i="13"/>
  <c r="BM39" i="13"/>
  <c r="BF39" i="13"/>
  <c r="BE39" i="13"/>
  <c r="BU39" i="13"/>
  <c r="BN39" i="13"/>
  <c r="BG39" i="13"/>
  <c r="BV39" i="13"/>
  <c r="BH39" i="13"/>
  <c r="BP39" i="13"/>
  <c r="BW39" i="13"/>
  <c r="BO39" i="13"/>
  <c r="BQ39" i="13"/>
  <c r="BI39" i="13"/>
  <c r="BR39" i="13"/>
  <c r="BI43" i="13"/>
  <c r="BS43" i="13"/>
  <c r="BL43" i="13"/>
  <c r="BK43" i="13"/>
  <c r="BJ43" i="13"/>
  <c r="BT43" i="13"/>
  <c r="BG43" i="13"/>
  <c r="BQ43" i="13"/>
  <c r="BO43" i="13"/>
  <c r="BM43" i="13"/>
  <c r="BW43" i="13"/>
  <c r="BP43" i="13"/>
  <c r="BN43" i="13"/>
  <c r="BE43" i="13"/>
  <c r="BH43" i="13"/>
  <c r="BV43" i="13"/>
  <c r="BU43" i="13"/>
  <c r="BF43" i="13"/>
  <c r="BR43" i="13"/>
  <c r="BQ47" i="13"/>
  <c r="BP47" i="13"/>
  <c r="BI47" i="13"/>
  <c r="BS47" i="13"/>
  <c r="BL47" i="13"/>
  <c r="BW47" i="13"/>
  <c r="BJ47" i="13"/>
  <c r="BN47" i="13"/>
  <c r="BR47" i="13"/>
  <c r="BK47" i="13"/>
  <c r="BU47" i="13"/>
  <c r="BH47" i="13"/>
  <c r="BF47" i="13"/>
  <c r="BV47" i="13"/>
  <c r="BG47" i="13"/>
  <c r="BO47" i="13"/>
  <c r="BT47" i="13"/>
  <c r="BE47" i="13"/>
  <c r="BM47" i="13"/>
  <c r="BG51" i="13"/>
  <c r="BW51" i="13"/>
  <c r="BV51" i="13"/>
  <c r="BO51" i="13"/>
  <c r="BH51" i="13"/>
  <c r="BR51" i="13"/>
  <c r="BQ51" i="13"/>
  <c r="BP51" i="13"/>
  <c r="BI51" i="13"/>
  <c r="BL51" i="13"/>
  <c r="BJ51" i="13"/>
  <c r="BS51" i="13"/>
  <c r="BK51" i="13"/>
  <c r="BT51" i="13"/>
  <c r="BF51" i="13"/>
  <c r="BM51" i="13"/>
  <c r="BE51" i="13"/>
  <c r="BN51" i="13"/>
  <c r="BU51" i="13"/>
  <c r="BU55" i="13"/>
  <c r="BN55" i="13"/>
  <c r="BG55" i="13"/>
  <c r="BW55" i="13"/>
  <c r="BV55" i="13"/>
  <c r="BI55" i="13"/>
  <c r="BM55" i="13"/>
  <c r="BQ55" i="13"/>
  <c r="BJ55" i="13"/>
  <c r="BO55" i="13"/>
  <c r="BS55" i="13"/>
  <c r="BF55" i="13"/>
  <c r="BP55" i="13"/>
  <c r="BR55" i="13"/>
  <c r="BL55" i="13"/>
  <c r="BH55" i="13"/>
  <c r="BE55" i="13"/>
  <c r="BT55" i="13"/>
  <c r="BK55" i="13"/>
  <c r="BE62" i="13"/>
  <c r="BU62" i="13"/>
  <c r="BN62" i="13"/>
  <c r="BG62" i="13"/>
  <c r="BW62" i="13"/>
  <c r="BP62" i="13"/>
  <c r="BT62" i="13"/>
  <c r="BR62" i="13"/>
  <c r="BQ62" i="13"/>
  <c r="BJ62" i="13"/>
  <c r="BH62" i="13"/>
  <c r="BL62" i="13"/>
  <c r="BI62" i="13"/>
  <c r="BK62" i="13"/>
  <c r="BS62" i="13"/>
  <c r="BV62" i="13"/>
  <c r="BM62" i="13"/>
  <c r="BO62" i="13"/>
  <c r="BF62" i="13"/>
  <c r="BS66" i="13"/>
  <c r="BL66" i="13"/>
  <c r="BK66" i="13"/>
  <c r="BJ66" i="13"/>
  <c r="BT66" i="13"/>
  <c r="BM66" i="13"/>
  <c r="BF66" i="13"/>
  <c r="BE66" i="13"/>
  <c r="BU66" i="13"/>
  <c r="BN66" i="13"/>
  <c r="BW66" i="13"/>
  <c r="BO66" i="13"/>
  <c r="BQ66" i="13"/>
  <c r="BI66" i="13"/>
  <c r="BG66" i="13"/>
  <c r="BV66" i="13"/>
  <c r="BH66" i="13"/>
  <c r="BR66" i="13"/>
  <c r="BP66" i="13"/>
  <c r="BI70" i="13"/>
  <c r="BS70" i="13"/>
  <c r="BL70" i="13"/>
  <c r="BK70" i="13"/>
  <c r="BJ70" i="13"/>
  <c r="BO70" i="13"/>
  <c r="BM70" i="13"/>
  <c r="BW70" i="13"/>
  <c r="BP70" i="13"/>
  <c r="BU70" i="13"/>
  <c r="BH70" i="13"/>
  <c r="BF70" i="13"/>
  <c r="BV70" i="13"/>
  <c r="BT70" i="13"/>
  <c r="BQ70" i="13"/>
  <c r="BN70" i="13"/>
  <c r="BE70" i="13"/>
  <c r="BR70" i="13"/>
  <c r="BG70" i="13"/>
  <c r="BQ74" i="13"/>
  <c r="BP74" i="13"/>
  <c r="BI74" i="13"/>
  <c r="BS74" i="13"/>
  <c r="BL74" i="13"/>
  <c r="BV74" i="13"/>
  <c r="BT74" i="13"/>
  <c r="BG74" i="13"/>
  <c r="BW74" i="13"/>
  <c r="BJ74" i="13"/>
  <c r="BN74" i="13"/>
  <c r="BR74" i="13"/>
  <c r="BE74" i="13"/>
  <c r="BM74" i="13"/>
  <c r="BU74" i="13"/>
  <c r="BF74" i="13"/>
  <c r="BO74" i="13"/>
  <c r="BK74" i="13"/>
  <c r="BH74" i="13"/>
  <c r="BG78" i="13"/>
  <c r="BW78" i="13"/>
  <c r="BV78" i="13"/>
  <c r="BO78" i="13"/>
  <c r="BH78" i="13"/>
  <c r="BR78" i="13"/>
  <c r="BQ78" i="13"/>
  <c r="BP78" i="13"/>
  <c r="BI78" i="13"/>
  <c r="BS78" i="13"/>
  <c r="BK78" i="13"/>
  <c r="BT78" i="13"/>
  <c r="BN78" i="13"/>
  <c r="BE78" i="13"/>
  <c r="BL78" i="13"/>
  <c r="BJ78" i="13"/>
  <c r="BM78" i="13"/>
  <c r="BF78" i="13"/>
  <c r="BU78" i="13"/>
  <c r="BU82" i="13"/>
  <c r="BN82" i="13"/>
  <c r="BG82" i="13"/>
  <c r="BW82" i="13"/>
  <c r="BV82" i="13"/>
  <c r="BO82" i="13"/>
  <c r="BS82" i="13"/>
  <c r="BF82" i="13"/>
  <c r="BP82" i="13"/>
  <c r="BH82" i="13"/>
  <c r="BL82" i="13"/>
  <c r="BE82" i="13"/>
  <c r="BM82" i="13"/>
  <c r="BJ82" i="13"/>
  <c r="BR82" i="13"/>
  <c r="BT82" i="13"/>
  <c r="BK82" i="13"/>
  <c r="BQ82" i="13"/>
  <c r="BI82" i="13"/>
  <c r="BE86" i="13"/>
  <c r="BU86" i="13"/>
  <c r="BN86" i="13"/>
  <c r="BG86" i="13"/>
  <c r="BV86" i="13"/>
  <c r="BI86" i="13"/>
  <c r="BM86" i="13"/>
  <c r="BW86" i="13"/>
  <c r="BP86" i="13"/>
  <c r="BT86" i="13"/>
  <c r="BR86" i="13"/>
  <c r="BO86" i="13"/>
  <c r="BF86" i="13"/>
  <c r="BQ86" i="13"/>
  <c r="BH86" i="13"/>
  <c r="BK86" i="13"/>
  <c r="BS86" i="13"/>
  <c r="BJ86" i="13"/>
  <c r="BL86" i="13"/>
  <c r="BS90" i="13"/>
  <c r="BL90" i="13"/>
  <c r="BK90" i="13"/>
  <c r="BJ90" i="13"/>
  <c r="BT90" i="13"/>
  <c r="BM90" i="13"/>
  <c r="BF90" i="13"/>
  <c r="BE90" i="13"/>
  <c r="BU90" i="13"/>
  <c r="BN90" i="13"/>
  <c r="BG90" i="13"/>
  <c r="BV90" i="13"/>
  <c r="BH90" i="13"/>
  <c r="BP90" i="13"/>
  <c r="BW90" i="13"/>
  <c r="BO90" i="13"/>
  <c r="BQ90" i="13"/>
  <c r="BI90" i="13"/>
  <c r="BR90" i="13"/>
  <c r="BI94" i="13"/>
  <c r="BS94" i="13"/>
  <c r="BL94" i="13"/>
  <c r="BK94" i="13"/>
  <c r="BJ94" i="13"/>
  <c r="BU94" i="13"/>
  <c r="BH94" i="13"/>
  <c r="BF94" i="13"/>
  <c r="BV94" i="13"/>
  <c r="BN94" i="13"/>
  <c r="BR94" i="13"/>
  <c r="BE94" i="13"/>
  <c r="BO94" i="13"/>
  <c r="BW94" i="13"/>
  <c r="BT94" i="13"/>
  <c r="BQ94" i="13"/>
  <c r="BG94" i="13"/>
  <c r="BP94" i="13"/>
  <c r="BM94" i="13"/>
  <c r="BQ98" i="13"/>
  <c r="BP98" i="13"/>
  <c r="BI98" i="13"/>
  <c r="BS98" i="13"/>
  <c r="BL98" i="13"/>
  <c r="BE98" i="13"/>
  <c r="BO98" i="13"/>
  <c r="BM98" i="13"/>
  <c r="BV98" i="13"/>
  <c r="BT98" i="13"/>
  <c r="BG98" i="13"/>
  <c r="BK98" i="13"/>
  <c r="BH98" i="13"/>
  <c r="BJ98" i="13"/>
  <c r="BR98" i="13"/>
  <c r="BU98" i="13"/>
  <c r="BF98" i="13"/>
  <c r="BW98" i="13"/>
  <c r="BN98" i="13"/>
  <c r="BG102" i="13"/>
  <c r="BW102" i="13"/>
  <c r="BV102" i="13"/>
  <c r="BO102" i="13"/>
  <c r="BH102" i="13"/>
  <c r="BR102" i="13"/>
  <c r="BQ102" i="13"/>
  <c r="BP102" i="13"/>
  <c r="BI102" i="13"/>
  <c r="BL102" i="13"/>
  <c r="BJ102" i="13"/>
  <c r="BS102" i="13"/>
  <c r="BK102" i="13"/>
  <c r="BT102" i="13"/>
  <c r="BM102" i="13"/>
  <c r="BE102" i="13"/>
  <c r="BN102" i="13"/>
  <c r="BU102" i="13"/>
  <c r="BF102" i="13"/>
  <c r="BU106" i="13"/>
  <c r="BN106" i="13"/>
  <c r="BG106" i="13"/>
  <c r="BW106" i="13"/>
  <c r="BV106" i="13"/>
  <c r="BH106" i="13"/>
  <c r="BL106" i="13"/>
  <c r="BE106" i="13"/>
  <c r="BT106" i="13"/>
  <c r="BR106" i="13"/>
  <c r="BK106" i="13"/>
  <c r="BS106" i="13"/>
  <c r="BP106" i="13"/>
  <c r="BM106" i="13"/>
  <c r="BJ106" i="13"/>
  <c r="BI106" i="13"/>
  <c r="BQ106" i="13"/>
  <c r="BO106" i="13"/>
  <c r="BF106" i="13"/>
  <c r="BE110" i="13"/>
  <c r="BU110" i="13"/>
  <c r="BN110" i="13"/>
  <c r="BG110" i="13"/>
  <c r="BK110" i="13"/>
  <c r="BO110" i="13"/>
  <c r="BS110" i="13"/>
  <c r="BF110" i="13"/>
  <c r="BV110" i="13"/>
  <c r="BI110" i="13"/>
  <c r="BM110" i="13"/>
  <c r="BJ110" i="13"/>
  <c r="BL110" i="13"/>
  <c r="BW110" i="13"/>
  <c r="BT110" i="13"/>
  <c r="BQ110" i="13"/>
  <c r="BH110" i="13"/>
  <c r="BP110" i="13"/>
  <c r="BR110" i="13"/>
  <c r="BS114" i="13"/>
  <c r="BL114" i="13"/>
  <c r="BK114" i="13"/>
  <c r="BJ114" i="13"/>
  <c r="BT114" i="13"/>
  <c r="BM114" i="13"/>
  <c r="BF114" i="13"/>
  <c r="BE114" i="13"/>
  <c r="BU114" i="13"/>
  <c r="BN114" i="13"/>
  <c r="BW114" i="13"/>
  <c r="BO114" i="13"/>
  <c r="BG114" i="13"/>
  <c r="BV114" i="13"/>
  <c r="BH114" i="13"/>
  <c r="BR114" i="13"/>
  <c r="BP114" i="13"/>
  <c r="BQ114" i="13"/>
  <c r="BI114" i="13"/>
  <c r="BI118" i="13"/>
  <c r="BS118" i="13"/>
  <c r="BL118" i="13"/>
  <c r="BK118" i="13"/>
  <c r="BJ118" i="13"/>
  <c r="BN118" i="13"/>
  <c r="BR118" i="13"/>
  <c r="BE118" i="13"/>
  <c r="BT118" i="13"/>
  <c r="BG118" i="13"/>
  <c r="BQ118" i="13"/>
  <c r="BU118" i="13"/>
  <c r="BF118" i="13"/>
  <c r="BO118" i="13"/>
  <c r="BW118" i="13"/>
  <c r="BM118" i="13"/>
  <c r="BP118" i="13"/>
  <c r="BH118" i="13"/>
  <c r="BV118" i="13"/>
  <c r="BQ122" i="13"/>
  <c r="BP122" i="13"/>
  <c r="BI122" i="13"/>
  <c r="BS122" i="13"/>
  <c r="BL122" i="13"/>
  <c r="BK122" i="13"/>
  <c r="BJ122" i="13"/>
  <c r="BT122" i="13"/>
  <c r="BM122" i="13"/>
  <c r="BF122" i="13"/>
  <c r="BW122" i="13"/>
  <c r="BO122" i="13"/>
  <c r="BR122" i="13"/>
  <c r="BE122" i="13"/>
  <c r="BN122" i="13"/>
  <c r="BV122" i="13"/>
  <c r="BH122" i="13"/>
  <c r="BU122" i="13"/>
  <c r="BG122" i="13"/>
  <c r="BG134" i="13"/>
  <c r="BW134" i="13"/>
  <c r="BV134" i="13"/>
  <c r="BO134" i="13"/>
  <c r="BH134" i="13"/>
  <c r="BR134" i="13"/>
  <c r="BQ134" i="13"/>
  <c r="BP134" i="13"/>
  <c r="BI134" i="13"/>
  <c r="BS134" i="13"/>
  <c r="BK134" i="13"/>
  <c r="BT134" i="13"/>
  <c r="BL134" i="13"/>
  <c r="BJ134" i="13"/>
  <c r="BF134" i="13"/>
  <c r="BU134" i="13"/>
  <c r="BM134" i="13"/>
  <c r="BE134" i="13"/>
  <c r="BN134" i="13"/>
  <c r="BU138" i="13"/>
  <c r="BN138" i="13"/>
  <c r="BG138" i="13"/>
  <c r="BW138" i="13"/>
  <c r="BV138" i="13"/>
  <c r="BT138" i="13"/>
  <c r="BR138" i="13"/>
  <c r="BK138" i="13"/>
  <c r="BI138" i="13"/>
  <c r="BM138" i="13"/>
  <c r="BQ138" i="13"/>
  <c r="BJ138" i="13"/>
  <c r="BH138" i="13"/>
  <c r="BE138" i="13"/>
  <c r="BS138" i="13"/>
  <c r="BP138" i="13"/>
  <c r="BO138" i="13"/>
  <c r="BF138" i="13"/>
  <c r="BL138" i="13"/>
  <c r="BE142" i="13"/>
  <c r="BU142" i="13"/>
  <c r="BN142" i="13"/>
  <c r="BG142" i="13"/>
  <c r="BW142" i="13"/>
  <c r="BV142" i="13"/>
  <c r="BO142" i="13"/>
  <c r="BH142" i="13"/>
  <c r="BR142" i="13"/>
  <c r="BK142" i="13"/>
  <c r="BT142" i="13"/>
  <c r="BF142" i="13"/>
  <c r="BP142" i="13"/>
  <c r="BS142" i="13"/>
  <c r="BJ142" i="13"/>
  <c r="BM142" i="13"/>
  <c r="BQ142" i="13"/>
  <c r="BI142" i="13"/>
  <c r="BL142" i="13"/>
  <c r="BS172" i="13"/>
  <c r="BL172" i="13"/>
  <c r="BK172" i="13"/>
  <c r="BJ172" i="13"/>
  <c r="BT172" i="13"/>
  <c r="BM172" i="13"/>
  <c r="BF172" i="13"/>
  <c r="BE172" i="13"/>
  <c r="BU172" i="13"/>
  <c r="BN172" i="13"/>
  <c r="BG172" i="13"/>
  <c r="BV172" i="13"/>
  <c r="BH172" i="13"/>
  <c r="BW172" i="13"/>
  <c r="BO172" i="13"/>
  <c r="BQ172" i="13"/>
  <c r="BI172" i="13"/>
  <c r="BR172" i="13"/>
  <c r="BP172" i="13"/>
  <c r="BI176" i="13"/>
  <c r="BS176" i="13"/>
  <c r="BL176" i="13"/>
  <c r="BK176" i="13"/>
  <c r="BJ176" i="13"/>
  <c r="BT176" i="13"/>
  <c r="BG176" i="13"/>
  <c r="BQ176" i="13"/>
  <c r="BN176" i="13"/>
  <c r="BF176" i="13"/>
  <c r="BP176" i="13"/>
  <c r="BH176" i="13"/>
  <c r="BW176" i="13"/>
  <c r="BO176" i="13"/>
  <c r="BR176" i="13"/>
  <c r="BV176" i="13"/>
  <c r="BU176" i="13"/>
  <c r="BM176" i="13"/>
  <c r="BE176" i="13"/>
  <c r="BQ180" i="13"/>
  <c r="BP180" i="13"/>
  <c r="BK180" i="13"/>
  <c r="BJ180" i="13"/>
  <c r="BT180" i="13"/>
  <c r="BM180" i="13"/>
  <c r="BF180" i="13"/>
  <c r="BV180" i="13"/>
  <c r="BN180" i="13"/>
  <c r="BR180" i="13"/>
  <c r="BU180" i="13"/>
  <c r="BH180" i="13"/>
  <c r="BL180" i="13"/>
  <c r="BW180" i="13"/>
  <c r="BO180" i="13"/>
  <c r="BS180" i="13"/>
  <c r="BE180" i="13"/>
  <c r="BI180" i="13"/>
  <c r="BG180" i="13"/>
  <c r="BG201" i="13"/>
  <c r="BW201" i="13"/>
  <c r="BV201" i="13"/>
  <c r="BO201" i="13"/>
  <c r="BH201" i="13"/>
  <c r="BR201" i="13"/>
  <c r="BQ201" i="13"/>
  <c r="BP201" i="13"/>
  <c r="BI201" i="13"/>
  <c r="BL201" i="13"/>
  <c r="BJ201" i="13"/>
  <c r="BS201" i="13"/>
  <c r="BK201" i="13"/>
  <c r="BT201" i="13"/>
  <c r="BM201" i="13"/>
  <c r="BE201" i="13"/>
  <c r="BN201" i="13"/>
  <c r="BF201" i="13"/>
  <c r="BU201" i="13"/>
  <c r="BU205" i="13"/>
  <c r="BN205" i="13"/>
  <c r="BG205" i="13"/>
  <c r="BW205" i="13"/>
  <c r="BV205" i="13"/>
  <c r="BI205" i="13"/>
  <c r="BM205" i="13"/>
  <c r="BQ205" i="13"/>
  <c r="BJ205" i="13"/>
  <c r="BO205" i="13"/>
  <c r="BR205" i="13"/>
  <c r="BE205" i="13"/>
  <c r="BT205" i="13"/>
  <c r="BL205" i="13"/>
  <c r="BP205" i="13"/>
  <c r="BS205" i="13"/>
  <c r="BK205" i="13"/>
  <c r="BF205" i="13"/>
  <c r="BH205" i="13"/>
  <c r="BW209" i="13"/>
  <c r="BV209" i="13"/>
  <c r="BO209" i="13"/>
  <c r="BH209" i="13"/>
  <c r="BR209" i="13"/>
  <c r="BP209" i="13"/>
  <c r="BT209" i="13"/>
  <c r="BG209" i="13"/>
  <c r="BQ209" i="13"/>
  <c r="BJ209" i="13"/>
  <c r="BN209" i="13"/>
  <c r="BL209" i="13"/>
  <c r="BK209" i="13"/>
  <c r="BU209" i="13"/>
  <c r="BS209" i="13"/>
  <c r="BF209" i="13"/>
  <c r="BE209" i="13"/>
  <c r="BI209" i="13"/>
  <c r="BM209" i="13"/>
  <c r="BS228" i="13"/>
  <c r="BL228" i="13"/>
  <c r="BK228" i="13"/>
  <c r="BJ228" i="13"/>
  <c r="BT228" i="13"/>
  <c r="BM228" i="13"/>
  <c r="BF228" i="13"/>
  <c r="BE228" i="13"/>
  <c r="BU228" i="13"/>
  <c r="BN228" i="13"/>
  <c r="BW228" i="13"/>
  <c r="BO228" i="13"/>
  <c r="BG228" i="13"/>
  <c r="BV228" i="13"/>
  <c r="BH228" i="13"/>
  <c r="BR228" i="13"/>
  <c r="BP228" i="13"/>
  <c r="BI228" i="13"/>
  <c r="BQ228" i="13"/>
  <c r="BI232" i="13"/>
  <c r="BS232" i="13"/>
  <c r="BL232" i="13"/>
  <c r="BK232" i="13"/>
  <c r="BJ232" i="13"/>
  <c r="BO232" i="13"/>
  <c r="BM232" i="13"/>
  <c r="BW232" i="13"/>
  <c r="BP232" i="13"/>
  <c r="BH232" i="13"/>
  <c r="BQ232" i="13"/>
  <c r="BU232" i="13"/>
  <c r="BG232" i="13"/>
  <c r="BE232" i="13"/>
  <c r="BN232" i="13"/>
  <c r="BF232" i="13"/>
  <c r="BT232" i="13"/>
  <c r="BR232" i="13"/>
  <c r="BV232" i="13"/>
  <c r="B234" i="13"/>
  <c r="B233" i="13"/>
  <c r="B232" i="13"/>
  <c r="B231" i="13"/>
  <c r="B230" i="13"/>
  <c r="B229" i="13"/>
  <c r="B228" i="13"/>
  <c r="B212" i="13"/>
  <c r="B211" i="13"/>
  <c r="B210" i="13"/>
  <c r="B209" i="13"/>
  <c r="B208" i="13"/>
  <c r="B207" i="13"/>
  <c r="B206" i="13"/>
  <c r="B205" i="13"/>
  <c r="B204" i="13"/>
  <c r="B203" i="13"/>
  <c r="B202" i="13"/>
  <c r="B201" i="13"/>
  <c r="B200" i="13"/>
  <c r="B199" i="13"/>
  <c r="B181" i="13"/>
  <c r="B180" i="13"/>
  <c r="B179" i="13"/>
  <c r="B178" i="13"/>
  <c r="B177" i="13"/>
  <c r="B176" i="13"/>
  <c r="B175" i="13"/>
  <c r="B174" i="13"/>
  <c r="B173" i="13"/>
  <c r="B172" i="13"/>
  <c r="B171" i="13"/>
  <c r="B144" i="13"/>
  <c r="B143" i="13"/>
  <c r="B142" i="13"/>
  <c r="B141" i="13"/>
  <c r="B140" i="13"/>
  <c r="B139" i="13"/>
  <c r="B138" i="13"/>
  <c r="B137" i="13"/>
  <c r="B136" i="13"/>
  <c r="B135"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57" i="13"/>
  <c r="B56" i="13"/>
  <c r="B55" i="13"/>
  <c r="B54" i="13"/>
  <c r="B53" i="13"/>
  <c r="B52" i="13"/>
  <c r="B51" i="13"/>
  <c r="B50" i="13"/>
  <c r="B49" i="13"/>
  <c r="B48" i="13"/>
  <c r="B47" i="13"/>
  <c r="B46" i="13"/>
  <c r="B45" i="13"/>
  <c r="B44" i="13"/>
  <c r="B43" i="13"/>
  <c r="B42" i="13"/>
  <c r="B41" i="13"/>
  <c r="B40" i="13"/>
  <c r="B39" i="13"/>
  <c r="B38" i="13"/>
  <c r="B36" i="13"/>
  <c r="B35" i="13"/>
  <c r="B34" i="13"/>
  <c r="B33" i="13"/>
  <c r="B32" i="13"/>
  <c r="B31" i="13"/>
  <c r="B30" i="13"/>
  <c r="B29" i="13"/>
  <c r="B28" i="13"/>
  <c r="B27" i="13"/>
  <c r="B26" i="13"/>
  <c r="B25" i="13"/>
  <c r="B24" i="13"/>
  <c r="B23" i="13"/>
  <c r="B22" i="13"/>
  <c r="B21" i="13"/>
  <c r="B20"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D23" i="19" l="1"/>
  <c r="D24" i="19"/>
  <c r="D20" i="19"/>
  <c r="D19" i="19"/>
  <c r="D22" i="19"/>
  <c r="D21" i="19"/>
  <c r="H21" i="38"/>
  <c r="I21" i="38" l="1"/>
  <c r="I46" i="38" s="1"/>
  <c r="D18" i="19"/>
  <c r="D25" i="19" s="1"/>
  <c r="H46" i="38"/>
  <c r="G26" i="22" l="1"/>
  <c r="E24" i="19" l="1"/>
  <c r="E23" i="19"/>
  <c r="H26" i="22"/>
  <c r="E21" i="19"/>
  <c r="E22" i="19"/>
  <c r="E20" i="19"/>
  <c r="E19" i="19"/>
  <c r="B18" i="19"/>
  <c r="D9" i="19" l="1"/>
  <c r="K135" i="13"/>
  <c r="K134" i="13"/>
  <c r="K125" i="13"/>
  <c r="D8" i="19" l="1"/>
  <c r="K5" i="13"/>
  <c r="K6" i="13"/>
  <c r="K7" i="13"/>
  <c r="K8" i="13"/>
  <c r="K9" i="13"/>
  <c r="K10" i="13"/>
  <c r="K11" i="13"/>
  <c r="K12" i="13"/>
  <c r="K13" i="13"/>
  <c r="K14" i="13"/>
  <c r="K15" i="13"/>
  <c r="K16" i="13"/>
  <c r="K17" i="13"/>
  <c r="K20" i="13"/>
  <c r="K21" i="13"/>
  <c r="K22" i="13"/>
  <c r="K23" i="13"/>
  <c r="K24" i="13"/>
  <c r="K25" i="13"/>
  <c r="K26" i="13"/>
  <c r="K27" i="13"/>
  <c r="K28" i="13"/>
  <c r="K29" i="13"/>
  <c r="K30" i="13"/>
  <c r="K31" i="13"/>
  <c r="K32" i="13"/>
  <c r="K33" i="13"/>
  <c r="K34" i="13"/>
  <c r="K35" i="13"/>
  <c r="K36" i="13"/>
  <c r="K38" i="13"/>
  <c r="K39" i="13"/>
  <c r="C11" i="19" l="1"/>
  <c r="G24" i="22"/>
  <c r="H24" i="22" s="1"/>
  <c r="G22" i="22"/>
  <c r="K40" i="13"/>
  <c r="K41" i="13"/>
  <c r="K42" i="13"/>
  <c r="K43" i="13"/>
  <c r="K44" i="13"/>
  <c r="K45" i="13"/>
  <c r="K46" i="13"/>
  <c r="K47" i="13"/>
  <c r="K48" i="13"/>
  <c r="K49" i="13"/>
  <c r="K50" i="13"/>
  <c r="K51" i="13"/>
  <c r="K52" i="13"/>
  <c r="K53" i="13"/>
  <c r="K54" i="13"/>
  <c r="K55" i="13"/>
  <c r="K56" i="13"/>
  <c r="K57"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36" i="13"/>
  <c r="K137" i="13"/>
  <c r="K138" i="13"/>
  <c r="K139" i="13"/>
  <c r="K140" i="13"/>
  <c r="K141" i="13"/>
  <c r="K142" i="13"/>
  <c r="K143" i="13"/>
  <c r="K144" i="13"/>
  <c r="K171" i="13"/>
  <c r="K172" i="13"/>
  <c r="K173" i="13"/>
  <c r="K174" i="13"/>
  <c r="K175" i="13"/>
  <c r="K176" i="13"/>
  <c r="K177" i="13"/>
  <c r="K178" i="13"/>
  <c r="K179" i="13"/>
  <c r="K180" i="13"/>
  <c r="K181" i="13"/>
  <c r="K199" i="13"/>
  <c r="K200" i="13"/>
  <c r="K201" i="13"/>
  <c r="K202" i="13"/>
  <c r="K203" i="13"/>
  <c r="K204" i="13"/>
  <c r="K205" i="13"/>
  <c r="K206" i="13"/>
  <c r="K207" i="13"/>
  <c r="K208" i="13"/>
  <c r="K209" i="13"/>
  <c r="K210" i="13"/>
  <c r="K211" i="13"/>
  <c r="K212" i="13"/>
  <c r="K228" i="13"/>
  <c r="K229" i="13"/>
  <c r="K230" i="13"/>
  <c r="K231" i="13"/>
  <c r="K232" i="13"/>
  <c r="K233" i="13"/>
  <c r="K234" i="13"/>
  <c r="H22" i="22" l="1"/>
  <c r="G23" i="22"/>
  <c r="H23" i="22" s="1"/>
  <c r="F18" i="19" l="1"/>
  <c r="F25" i="19" s="1"/>
  <c r="H57" i="22"/>
  <c r="G57" i="22"/>
  <c r="E9" i="19" l="1"/>
  <c r="F9" i="19" s="1"/>
  <c r="E8" i="19" l="1"/>
  <c r="F8" i="19" s="1"/>
  <c r="G22" i="32" l="1"/>
  <c r="E18" i="19" s="1"/>
  <c r="E25" i="19" l="1"/>
  <c r="H22" i="32"/>
  <c r="T5" i="13" l="1"/>
  <c r="U5" i="13" s="1"/>
  <c r="Z5" i="13"/>
  <c r="AB5" i="13" l="1"/>
  <c r="AA5" i="13"/>
  <c r="AC5" i="13" s="1"/>
  <c r="AD5" i="13" s="1"/>
  <c r="V5" i="13"/>
  <c r="AE5" i="13" l="1"/>
  <c r="W5" i="13"/>
  <c r="X5" i="13" l="1"/>
  <c r="AF5" i="13"/>
  <c r="D7" i="19" s="1"/>
  <c r="D11" i="19" l="1"/>
  <c r="C14" i="19" l="1"/>
  <c r="AG5" i="13" l="1"/>
  <c r="C24" i="19" l="1"/>
  <c r="G24" i="19" s="1"/>
  <c r="C23" i="19"/>
  <c r="G23" i="19" s="1"/>
  <c r="C18" i="19"/>
  <c r="G18" i="19" s="1"/>
  <c r="E7" i="19"/>
  <c r="F7" i="19" s="1"/>
  <c r="C21" i="19"/>
  <c r="G21" i="19" s="1"/>
  <c r="C19" i="19"/>
  <c r="G19" i="19" s="1"/>
  <c r="C22" i="19"/>
  <c r="G22" i="19" s="1"/>
  <c r="C20" i="19"/>
  <c r="G20" i="19" s="1"/>
  <c r="E11" i="19"/>
  <c r="F11" i="19" l="1"/>
  <c r="D14" i="19" l="1"/>
  <c r="E14" i="19"/>
  <c r="F14" i="19" l="1"/>
  <c r="C25" i="19"/>
  <c r="G25" i="19" l="1"/>
</calcChain>
</file>

<file path=xl/sharedStrings.xml><?xml version="1.0" encoding="utf-8"?>
<sst xmlns="http://schemas.openxmlformats.org/spreadsheetml/2006/main" count="28342" uniqueCount="2002">
  <si>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</si>
  <si>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</si>
  <si>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</si>
  <si>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</si>
  <si>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</si>
  <si>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</si>
  <si>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</si>
  <si>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</si>
  <si>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</si>
  <si>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</si>
  <si>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</si>
  <si>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</si>
  <si>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</si>
  <si>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</si>
  <si>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</si>
  <si>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</si>
  <si>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</si>
  <si>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</si>
  <si>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</si>
  <si>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</si>
  <si>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</si>
  <si>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</si>
  <si>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</si>
  <si>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</si>
  <si>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</si>
  <si>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</si>
  <si>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</si>
  <si>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</si>
  <si>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</si>
  <si>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</si>
  <si>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</si>
  <si>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</si>
  <si>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</si>
  <si>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</si>
  <si>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</si>
  <si>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</si>
  <si>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</si>
  <si>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</si>
  <si>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</si>
  <si>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</si>
  <si>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</si>
  <si>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</si>
  <si>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</si>
  <si>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</si>
  <si>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</si>
  <si>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</si>
  <si>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</si>
  <si>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</si>
  <si>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</si>
  <si>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</si>
  <si>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</si>
  <si>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</si>
  <si>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</si>
  <si>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</si>
  <si>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</si>
  <si>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</si>
  <si>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</si>
  <si>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</si>
  <si>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</si>
  <si>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</si>
  <si>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</si>
  <si>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</si>
  <si>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</si>
  <si>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</si>
  <si>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</si>
  <si>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</si>
  <si>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</si>
  <si>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</si>
  <si>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</si>
  <si>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</si>
  <si>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</si>
  <si>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</si>
  <si>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</si>
  <si>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</si>
  <si>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</si>
  <si>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</si>
  <si>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</si>
  <si>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</si>
  <si>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</si>
  <si>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</si>
  <si>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</si>
  <si>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</si>
  <si>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</si>
  <si>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</si>
  <si>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</si>
  <si>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</si>
  <si>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</si>
  <si>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</si>
  <si>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</si>
  <si>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</si>
  <si>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</si>
  <si>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</si>
  <si>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</si>
  <si>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</si>
  <si>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</si>
  <si>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</si>
  <si>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</si>
  <si>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</si>
  <si>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</si>
  <si>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</si>
  <si>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</si>
  <si>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</si>
  <si>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</si>
  <si>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</si>
  <si>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</si>
  <si>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</si>
  <si>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</si>
  <si>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</si>
  <si>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</si>
  <si>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</si>
  <si>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</si>
  <si>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</si>
  <si>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</si>
  <si>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</si>
  <si>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</si>
  <si>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</si>
  <si>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</si>
  <si>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</si>
  <si>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</si>
  <si>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</si>
  <si>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</si>
  <si>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</si>
  <si>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</si>
  <si>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</si>
  <si>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</si>
  <si>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</si>
  <si>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</si>
  <si>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</si>
  <si>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</si>
  <si>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</si>
  <si>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</si>
  <si>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</si>
  <si>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</si>
  <si>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</si>
  <si>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</si>
  <si>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</si>
  <si>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</si>
  <si>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</si>
  <si>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</si>
  <si>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</si>
  <si>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</si>
  <si>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</si>
  <si>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</si>
  <si>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</si>
  <si>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</si>
  <si>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</si>
  <si>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</si>
  <si>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</si>
  <si>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</si>
  <si>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</si>
  <si>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</si>
  <si>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</si>
  <si>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</si>
  <si>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</si>
  <si>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</si>
  <si>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</si>
  <si>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</si>
  <si>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</si>
  <si>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</si>
  <si>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</si>
  <si>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</si>
  <si>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</si>
  <si>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</si>
  <si>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</si>
  <si>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</si>
  <si>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</si>
  <si>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</si>
  <si>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</si>
  <si>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</si>
  <si>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</si>
  <si>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</si>
  <si>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</si>
  <si>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</si>
  <si>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</si>
  <si>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</si>
  <si>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</si>
  <si>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</si>
  <si>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</si>
  <si>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</si>
  <si>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</si>
  <si>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</si>
  <si>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</si>
  <si>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</si>
  <si>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</si>
  <si>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</si>
  <si>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</si>
  <si>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</si>
  <si>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</si>
  <si>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</si>
  <si>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</si>
  <si>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</si>
  <si>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</si>
  <si>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</si>
  <si>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</si>
  <si>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</si>
  <si>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</si>
  <si>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</si>
  <si>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</si>
  <si>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</si>
  <si>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</si>
  <si>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</si>
  <si>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</si>
  <si>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</si>
  <si>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</si>
  <si>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</si>
  <si>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</si>
  <si>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</si>
  <si>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</si>
  <si>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</si>
  <si>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</si>
  <si>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</si>
  <si>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</si>
  <si>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</si>
  <si>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</si>
  <si>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</si>
  <si>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</si>
  <si>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</si>
  <si>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</si>
  <si>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</si>
  <si>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</si>
  <si>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</si>
  <si>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</si>
  <si>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</si>
  <si>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</si>
  <si>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</si>
  <si>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</si>
  <si>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</si>
  <si>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</si>
  <si>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</si>
  <si>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</si>
  <si>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</si>
  <si>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</si>
  <si>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</si>
  <si>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</si>
  <si>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</si>
  <si>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</si>
  <si>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</si>
  <si>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</si>
  <si>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</si>
  <si>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</si>
  <si>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</si>
  <si>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</si>
  <si>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</si>
  <si>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</si>
  <si>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</si>
  <si>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</si>
  <si>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</si>
  <si>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</si>
  <si>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</si>
  <si>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</si>
  <si>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</si>
  <si>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</si>
  <si>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</si>
  <si>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</si>
  <si>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</si>
  <si>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</si>
  <si>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</si>
  <si>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</si>
  <si>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</si>
  <si>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</si>
  <si>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</si>
  <si>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</si>
  <si>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</si>
  <si>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</si>
  <si>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</si>
  <si>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</si>
  <si>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</si>
  <si>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</si>
  <si>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</si>
  <si>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</si>
  <si>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</si>
  <si>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</si>
  <si>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</si>
  <si>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</si>
  <si>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</si>
  <si>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</si>
  <si>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</si>
  <si>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</si>
  <si>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</si>
  <si>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</si>
  <si>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</si>
  <si>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</si>
  <si>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</si>
  <si>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</si>
  <si>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</si>
  <si>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</si>
  <si>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</si>
  <si>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</si>
  <si>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</si>
  <si>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</si>
  <si>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</si>
  <si>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</si>
  <si>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</si>
  <si>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</si>
  <si>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</si>
  <si>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</si>
  <si>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</si>
  <si>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</si>
  <si>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</si>
  <si>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</si>
  <si>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</si>
  <si>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</si>
  <si>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</si>
  <si>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</si>
  <si>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</si>
  <si>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</si>
  <si>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</si>
  <si>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</si>
  <si>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</si>
  <si>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</si>
  <si>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</si>
  <si>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</si>
  <si>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</si>
  <si>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</si>
  <si>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</si>
  <si>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</si>
  <si>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</si>
  <si>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</si>
  <si>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</si>
  <si>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</si>
  <si>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</si>
  <si>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</si>
  <si>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</si>
  <si>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</si>
  <si>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</si>
  <si>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</si>
  <si>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</si>
  <si>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</si>
  <si>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</si>
  <si>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</si>
  <si>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</si>
  <si>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</si>
  <si>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</si>
  <si>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</si>
  <si>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</si>
  <si>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</si>
  <si>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</si>
  <si>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</si>
  <si>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</si>
  <si>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</si>
  <si>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</si>
  <si>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</si>
  <si>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</si>
  <si>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</si>
  <si>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</si>
  <si>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</si>
  <si>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</si>
  <si>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</si>
  <si>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</si>
  <si>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</si>
  <si>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</si>
  <si>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</si>
  <si>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</si>
  <si>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</si>
  <si>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</si>
  <si>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</si>
  <si>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</si>
  <si>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</si>
  <si>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</si>
  <si>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</si>
  <si>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</si>
  <si>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</si>
  <si>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</si>
  <si>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</si>
  <si>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</si>
  <si>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</si>
  <si>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</si>
  <si>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</si>
  <si>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</si>
  <si>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</si>
  <si>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</si>
  <si>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</si>
  <si>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</si>
  <si>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</si>
  <si>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</si>
  <si>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</si>
  <si>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</si>
  <si>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</si>
  <si>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</si>
  <si>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</si>
  <si>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</si>
  <si>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</si>
  <si>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</si>
  <si>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</si>
  <si>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</si>
  <si>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</si>
  <si>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</si>
  <si>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</si>
  <si>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</si>
  <si>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</si>
  <si>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</si>
  <si>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</si>
  <si>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</si>
  <si>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</si>
  <si>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</si>
  <si>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</si>
  <si>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</si>
  <si>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</si>
  <si>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</si>
  <si>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</si>
  <si>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</si>
  <si>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</si>
  <si>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</si>
  <si>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</si>
  <si>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</si>
  <si>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</si>
  <si>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</si>
  <si>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</si>
  <si>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</si>
  <si>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</si>
  <si>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</si>
  <si>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</si>
  <si>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</si>
  <si>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</si>
  <si>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</si>
  <si>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</si>
  <si>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</si>
  <si>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</si>
  <si>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</si>
  <si>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</si>
  <si>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</si>
  <si>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</si>
  <si>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</si>
  <si>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</si>
  <si>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</si>
  <si>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</si>
  <si>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</si>
  <si>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</si>
  <si>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</si>
  <si>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</si>
  <si>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</si>
  <si>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</si>
  <si>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</si>
  <si>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</si>
  <si>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</si>
  <si>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</si>
  <si>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</si>
  <si>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</si>
  <si>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</si>
  <si>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</si>
  <si>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</si>
  <si>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</si>
  <si>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</si>
  <si>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</si>
  <si>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</si>
  <si>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</si>
  <si>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</si>
  <si>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</si>
  <si>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</si>
  <si>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</si>
  <si>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</si>
  <si>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</si>
  <si>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</si>
  <si>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</si>
  <si>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</si>
  <si>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</si>
  <si>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</si>
  <si>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</si>
  <si>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</si>
  <si>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</si>
  <si>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</si>
  <si>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</si>
  <si>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</si>
  <si>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</si>
  <si>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</si>
  <si>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</si>
  <si>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</si>
  <si>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</si>
  <si>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</si>
  <si>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</si>
  <si>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</si>
  <si>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</si>
  <si>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</si>
  <si>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</si>
  <si>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</si>
  <si>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</si>
  <si>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</si>
  <si>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</si>
  <si>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</si>
  <si>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</si>
  <si>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</si>
  <si>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</si>
  <si>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</si>
  <si>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</si>
  <si>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</si>
  <si>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</si>
  <si>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</si>
  <si>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</si>
  <si>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</si>
  <si>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</si>
  <si>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</si>
  <si>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</si>
  <si>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</si>
  <si>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</si>
  <si>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</si>
  <si>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</si>
  <si>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</si>
  <si>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</si>
  <si>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</si>
  <si>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</si>
  <si>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</si>
  <si>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</si>
  <si>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</si>
  <si>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</si>
  <si>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</si>
  <si>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</si>
  <si>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</si>
  <si>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</si>
  <si>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</si>
  <si>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</si>
  <si>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</si>
  <si>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</si>
  <si>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</si>
  <si>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</si>
  <si>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</si>
  <si>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</si>
  <si>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</si>
  <si>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</si>
  <si>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</si>
  <si>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</si>
  <si>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</si>
  <si>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</si>
  <si>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</si>
  <si>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</si>
  <si>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</si>
  <si>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</si>
  <si>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</si>
  <si>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</si>
  <si>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</si>
  <si>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</si>
  <si>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</si>
  <si>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</si>
  <si>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</si>
  <si>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</si>
  <si>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</si>
  <si>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</si>
  <si>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</si>
  <si>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</si>
  <si>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</si>
  <si>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</si>
  <si>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</si>
  <si>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</si>
  <si>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</si>
  <si>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</si>
  <si>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</si>
  <si>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</si>
  <si>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</si>
  <si>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</si>
  <si>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</si>
  <si>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</si>
  <si>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</si>
  <si>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</si>
  <si>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</si>
  <si>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</si>
  <si>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</si>
  <si>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</si>
  <si>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</si>
  <si>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</si>
  <si>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</si>
  <si>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</si>
  <si>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</si>
  <si>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</si>
  <si>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</si>
  <si>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</si>
  <si>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</si>
  <si>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</si>
  <si>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</si>
  <si>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</si>
  <si>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</si>
  <si>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</si>
  <si>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</si>
  <si>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</si>
  <si>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</si>
  <si>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</si>
  <si>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</si>
  <si>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</si>
  <si>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</si>
  <si>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</si>
  <si>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</si>
  <si>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</si>
  <si>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</si>
  <si>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</si>
  <si>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</si>
  <si>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</si>
  <si>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</si>
  <si>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</si>
  <si>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</si>
  <si>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</si>
  <si>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</si>
  <si>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</si>
  <si>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</si>
  <si>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</si>
  <si>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</si>
  <si>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</si>
  <si>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</si>
  <si>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</si>
  <si>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</si>
  <si>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</si>
  <si>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</si>
  <si>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</si>
  <si>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</si>
  <si>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</si>
  <si>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</si>
  <si>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</si>
  <si>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</si>
  <si>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</si>
  <si>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</si>
  <si>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</si>
  <si>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</si>
  <si>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</si>
  <si>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</si>
  <si>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</si>
  <si>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</si>
  <si>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</si>
  <si>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</si>
  <si>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</si>
  <si>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</si>
  <si>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</si>
  <si>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</si>
  <si>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</si>
  <si>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</si>
  <si>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</si>
  <si>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</si>
  <si>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</si>
  <si>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</si>
  <si>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</si>
  <si>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</si>
  <si>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</si>
  <si>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</si>
  <si>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</si>
  <si>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</si>
  <si>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</si>
  <si>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</si>
  <si>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</si>
  <si>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</si>
  <si>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</si>
  <si>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</si>
  <si>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</si>
  <si>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</si>
  <si>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</si>
  <si>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</si>
  <si>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</si>
  <si>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</si>
  <si>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</si>
  <si>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</si>
  <si>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</si>
  <si>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</si>
  <si>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</si>
  <si>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</si>
  <si>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</si>
  <si>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</si>
  <si>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</si>
  <si>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</si>
  <si>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</si>
  <si>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</si>
  <si>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</si>
  <si>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</si>
  <si>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</si>
  <si>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</si>
  <si>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</si>
  <si>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</si>
  <si>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</si>
  <si>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</si>
  <si>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</si>
  <si>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</si>
  <si>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</si>
  <si>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</si>
  <si>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</si>
  <si>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</si>
  <si>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</si>
  <si>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</si>
  <si>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</si>
  <si>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</si>
  <si>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</si>
  <si>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</si>
  <si>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</si>
  <si>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</si>
  <si>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</si>
  <si>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</si>
  <si>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</si>
  <si>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</si>
  <si>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</si>
  <si>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</si>
  <si>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</si>
  <si>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</si>
  <si>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</si>
  <si>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</si>
  <si>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</si>
  <si>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</si>
  <si>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</si>
  <si>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</si>
  <si>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</si>
  <si>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</si>
  <si>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</si>
  <si>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</si>
  <si>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</si>
  <si>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</si>
  <si>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</si>
  <si>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</si>
  <si>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</si>
  <si>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</si>
  <si>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</si>
  <si>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</si>
  <si>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</si>
  <si>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</si>
  <si>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</si>
  <si>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</si>
  <si>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</si>
  <si>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</si>
  <si>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</si>
  <si>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</si>
  <si>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</si>
  <si>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</si>
  <si>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</si>
  <si>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</si>
  <si>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</si>
  <si>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</si>
  <si>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</si>
  <si>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</si>
  <si>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</si>
  <si>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</si>
  <si>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</si>
  <si>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</si>
  <si>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</si>
  <si>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</si>
  <si>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</si>
  <si>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</si>
  <si>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</si>
  <si>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</si>
  <si>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</si>
  <si>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</si>
  <si>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</si>
  <si>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</si>
  <si>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</si>
  <si>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</si>
  <si>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</si>
  <si>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</si>
  <si>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</si>
  <si>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</si>
  <si>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</si>
  <si>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</si>
  <si>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</si>
  <si>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</si>
  <si>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</si>
  <si>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</si>
  <si>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</si>
  <si>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</si>
  <si>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</si>
  <si>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</si>
  <si>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</si>
  <si>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</si>
  <si>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</si>
  <si>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</si>
  <si>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</si>
  <si>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</si>
  <si>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</si>
  <si>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</si>
  <si>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</si>
  <si>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</si>
  <si>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</si>
  <si>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</si>
  <si>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</si>
  <si>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</si>
  <si>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</si>
  <si>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</si>
  <si>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</si>
  <si>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</si>
  <si>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</si>
  <si>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</si>
  <si>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</si>
  <si>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</si>
  <si>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</si>
  <si>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</si>
  <si>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</si>
  <si>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</si>
  <si>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</si>
  <si>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</si>
  <si>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</si>
  <si>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</si>
  <si>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</si>
  <si>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</si>
  <si>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</si>
  <si>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</si>
  <si>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</si>
  <si>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</si>
  <si>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</si>
  <si>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</si>
  <si>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</si>
  <si>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</si>
  <si>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</si>
  <si>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</si>
  <si>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</si>
  <si>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</si>
  <si>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</si>
  <si>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</si>
  <si>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</si>
  <si>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</si>
  <si>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</si>
  <si>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</si>
  <si>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</si>
  <si>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</si>
  <si>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</si>
  <si>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</si>
  <si>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</si>
  <si>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</si>
  <si>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</si>
  <si>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</si>
  <si>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</si>
  <si>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</si>
  <si>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</si>
  <si>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</si>
  <si>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</si>
  <si>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</si>
  <si>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</si>
  <si>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</si>
  <si>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</si>
  <si>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</si>
  <si>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</si>
  <si>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</si>
  <si>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</si>
  <si>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</si>
  <si>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</si>
  <si>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</si>
  <si>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</si>
  <si>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</si>
  <si>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</si>
  <si>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</si>
  <si>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</si>
  <si>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</si>
  <si>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</si>
  <si>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</si>
  <si>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</si>
  <si>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</si>
  <si>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</si>
  <si>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</si>
  <si>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</si>
  <si>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</si>
  <si>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</si>
  <si>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</si>
  <si>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</si>
  <si>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</si>
  <si>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</si>
  <si>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</si>
  <si>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</si>
  <si>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</si>
  <si>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</si>
  <si>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</si>
  <si>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</si>
  <si>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</si>
  <si>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</si>
  <si>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</si>
  <si>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</si>
  <si>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</si>
  <si>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</si>
  <si>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</si>
  <si>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</si>
  <si>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</si>
  <si>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</si>
  <si>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</si>
  <si>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</si>
  <si>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</si>
  <si>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</si>
  <si>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</si>
  <si>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</si>
  <si>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</si>
  <si>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</si>
  <si>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</si>
  <si>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</si>
  <si>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</si>
  <si>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</si>
  <si>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</si>
  <si>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</si>
  <si>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</si>
  <si>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</si>
  <si>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</si>
  <si>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</si>
  <si>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</si>
  <si>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</si>
  <si>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</si>
  <si>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</si>
  <si>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</si>
  <si>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</si>
  <si>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</si>
  <si>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</si>
  <si>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</si>
  <si>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</si>
  <si>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</si>
  <si>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</si>
  <si>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</si>
  <si>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</si>
  <si>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</si>
  <si>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</si>
  <si>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</si>
  <si>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</si>
  <si>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</si>
  <si>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</si>
  <si>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</si>
  <si>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</si>
  <si>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</si>
  <si>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</si>
  <si>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</si>
  <si>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</si>
  <si>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</si>
  <si>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</si>
  <si>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</si>
  <si>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</si>
  <si>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</si>
  <si>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</si>
  <si>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</si>
  <si>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</si>
  <si>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</si>
  <si>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</si>
  <si>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</si>
  <si>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</si>
  <si>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</si>
  <si>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</si>
  <si>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</si>
  <si>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</si>
  <si>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</si>
  <si>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</si>
  <si>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</si>
  <si>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</si>
  <si>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</si>
  <si>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</si>
  <si>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</si>
  <si>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</si>
  <si>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</si>
  <si>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</si>
  <si>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</si>
  <si>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</si>
  <si>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</si>
  <si>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</si>
  <si>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</si>
  <si>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</si>
  <si>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</si>
  <si>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</si>
  <si>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</si>
  <si>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</si>
  <si>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</si>
  <si>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</si>
  <si>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</si>
  <si>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</si>
  <si>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</si>
  <si>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</si>
  <si>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</si>
  <si>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</si>
  <si>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</si>
  <si>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</si>
  <si>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</si>
  <si>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</si>
  <si>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</si>
  <si>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</si>
  <si>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</si>
  <si>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</si>
  <si>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</si>
  <si>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</si>
  <si>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</si>
  <si>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</si>
  <si>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</si>
  <si>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</si>
  <si>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</si>
  <si>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</si>
  <si>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</si>
  <si>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</si>
  <si>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</si>
  <si>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</si>
  <si>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</si>
  <si>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</si>
  <si>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</si>
  <si>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</si>
  <si>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</si>
  <si>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</si>
  <si>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</si>
  <si>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</si>
  <si>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</si>
  <si>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</si>
  <si>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</si>
  <si>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</si>
  <si>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</si>
  <si>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</si>
  <si>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</si>
  <si>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</si>
  <si>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</si>
  <si>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</si>
  <si>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</si>
  <si>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</si>
  <si>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</si>
  <si>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</si>
  <si>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</si>
  <si>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</si>
  <si>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</si>
  <si>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</si>
  <si>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</si>
  <si>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</si>
  <si>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</si>
  <si>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</si>
  <si>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</si>
  <si>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</si>
  <si>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</si>
  <si>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</si>
  <si>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</si>
  <si>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</si>
  <si>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</si>
  <si>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</si>
  <si>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</si>
  <si>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</si>
  <si>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</si>
  <si>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</si>
  <si>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</si>
  <si>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</si>
  <si>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</si>
  <si>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</si>
  <si>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</si>
  <si>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</si>
  <si>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</si>
  <si>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</si>
  <si>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</si>
  <si>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</si>
  <si>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</si>
  <si>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</si>
  <si>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</si>
  <si>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</si>
  <si>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</si>
  <si>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</si>
  <si>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</si>
  <si>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</si>
  <si>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</si>
  <si>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</si>
  <si>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</si>
  <si>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</si>
  <si>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</si>
  <si>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</si>
  <si>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</si>
  <si>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</si>
  <si>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</si>
  <si>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</si>
  <si>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</si>
  <si>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</si>
  <si>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</si>
  <si>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</si>
  <si>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</si>
  <si>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</si>
  <si>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</si>
  <si>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</si>
  <si>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</si>
  <si>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</si>
  <si>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</si>
  <si>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</si>
  <si>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</si>
  <si>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</si>
  <si>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</si>
  <si>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</si>
  <si>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</si>
  <si>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</si>
  <si>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</si>
  <si>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</si>
  <si>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</si>
  <si>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</si>
  <si>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</si>
  <si>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</si>
  <si>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</si>
  <si>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</si>
  <si>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</si>
  <si>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</si>
  <si>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</si>
  <si>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</si>
  <si>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</si>
  <si>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</si>
  <si>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</si>
  <si>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</si>
  <si>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</si>
  <si>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</si>
  <si>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</si>
  <si>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</si>
  <si>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</si>
  <si>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</si>
  <si>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</si>
  <si>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</si>
  <si>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</si>
  <si>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</si>
  <si>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</si>
  <si>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</si>
  <si>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</si>
  <si>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</si>
  <si>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</si>
  <si>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</si>
  <si>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</si>
  <si>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</si>
  <si>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</si>
  <si>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</si>
  <si>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</si>
  <si>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</si>
  <si>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</si>
  <si>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</si>
  <si>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</si>
  <si>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</si>
  <si>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</si>
  <si>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</si>
  <si>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</si>
  <si>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</si>
  <si>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</si>
  <si>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</si>
  <si>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</si>
  <si>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</si>
  <si>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</si>
  <si>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</si>
  <si>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</si>
  <si>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</si>
  <si>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</si>
  <si>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</si>
  <si>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</si>
  <si>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</si>
  <si>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</si>
  <si>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</si>
  <si>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</si>
  <si>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</si>
  <si>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</si>
  <si>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</si>
  <si>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</si>
  <si>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</si>
  <si>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</si>
  <si>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</si>
  <si>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</si>
  <si>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</si>
  <si>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</si>
  <si>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</si>
  <si>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</si>
  <si>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</si>
  <si>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</si>
  <si>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</si>
  <si>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</si>
  <si>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</si>
  <si>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</si>
  <si>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</si>
  <si>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</si>
  <si>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</si>
  <si>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</si>
  <si>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</si>
  <si>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</si>
  <si>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</si>
  <si>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</si>
  <si>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</si>
  <si>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</si>
  <si>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</si>
  <si>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</si>
  <si>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</si>
  <si>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</si>
  <si>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</si>
  <si>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</si>
  <si>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</si>
  <si>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</si>
  <si>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</si>
  <si>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</si>
  <si>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</si>
  <si>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</si>
  <si>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</si>
  <si>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</si>
  <si>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</si>
  <si>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</si>
  <si>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</si>
  <si>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</si>
  <si>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</si>
  <si>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</si>
  <si>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</si>
  <si>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</si>
  <si>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</si>
  <si>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</si>
  <si>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</si>
  <si>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</si>
  <si>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</si>
  <si>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</si>
  <si>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</si>
  <si>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</si>
  <si>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</si>
  <si>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</si>
  <si>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</si>
  <si>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</si>
  <si>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</si>
  <si>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</si>
  <si>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</si>
  <si>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</si>
  <si>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</si>
  <si>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</si>
  <si>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</si>
  <si>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</si>
  <si>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</si>
  <si>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</si>
  <si>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</si>
  <si>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</si>
  <si>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</si>
  <si>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</si>
  <si>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</si>
  <si>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</si>
  <si>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</si>
  <si>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</si>
  <si>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</si>
  <si>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</si>
  <si>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</si>
  <si>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</si>
  <si>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</si>
  <si>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</si>
  <si>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</si>
  <si>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</si>
  <si>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</si>
  <si>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</si>
  <si>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</si>
  <si>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</si>
  <si>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</si>
  <si>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</si>
  <si>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</si>
  <si>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</si>
  <si>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</si>
  <si>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</si>
  <si>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</si>
  <si>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</si>
  <si>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</si>
  <si>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</si>
  <si>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</si>
  <si>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</si>
  <si>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</si>
  <si>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</si>
  <si>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</si>
  <si>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</si>
  <si>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</si>
  <si>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</si>
  <si>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</si>
  <si>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</si>
  <si>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</si>
  <si>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</si>
  <si>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</si>
  <si>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</si>
  <si>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</si>
  <si>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</si>
  <si>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</si>
  <si>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</si>
  <si>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</si>
  <si>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</si>
  <si>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</si>
  <si>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</si>
  <si>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</si>
  <si>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</si>
  <si>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</si>
  <si>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</si>
  <si>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</si>
  <si>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</si>
  <si>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</si>
  <si>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</si>
  <si>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</si>
  <si>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</si>
  <si>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</si>
  <si>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</si>
  <si>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</si>
  <si>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</si>
  <si>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</si>
  <si>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</si>
  <si>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</si>
  <si>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</si>
  <si>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</si>
  <si>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</si>
  <si>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</si>
  <si>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</si>
  <si>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</si>
  <si>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</si>
  <si>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</si>
  <si>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</si>
  <si>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</si>
  <si>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</si>
  <si>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</si>
  <si>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Glazen wandtuin</t>
  </si>
  <si>
    <t>Bibliotheek/OLC</t>
  </si>
  <si>
    <t>Garderobes</t>
  </si>
  <si>
    <t>Kantine/Aula</t>
  </si>
  <si>
    <t>Praktijklokalen</t>
  </si>
  <si>
    <t>Leslokalen</t>
  </si>
  <si>
    <t>Toestelberging</t>
  </si>
  <si>
    <t>Gymzaal</t>
  </si>
  <si>
    <t>Niet in Onderhoud</t>
  </si>
  <si>
    <t>Le</t>
  </si>
  <si>
    <t>Ve</t>
  </si>
  <si>
    <t>Bu</t>
  </si>
  <si>
    <t>Sa</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</si>
  <si>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</si>
  <si>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</si>
  <si>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</si>
  <si>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</si>
  <si>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</si>
  <si>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</si>
  <si>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</si>
  <si>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</si>
  <si>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</si>
  <si>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</si>
  <si>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</si>
  <si>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</si>
  <si>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</si>
  <si>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</si>
  <si>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</si>
  <si>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</si>
  <si>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</si>
  <si>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</si>
  <si>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</si>
  <si>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</si>
  <si>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</si>
  <si>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</si>
  <si>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</si>
  <si>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</si>
  <si>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</si>
  <si>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</si>
  <si>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</si>
  <si>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</si>
  <si>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</si>
  <si>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</si>
  <si>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</si>
  <si>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</si>
  <si>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</si>
  <si>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</si>
  <si>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</si>
  <si>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</si>
  <si>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</si>
  <si>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</si>
  <si>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</si>
  <si>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</si>
  <si>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</si>
  <si>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</si>
  <si>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</si>
  <si>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</si>
  <si>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</si>
  <si>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</si>
  <si>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</si>
  <si>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</si>
  <si>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</si>
  <si>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</si>
  <si>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</si>
  <si>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</si>
  <si>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</si>
  <si>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</si>
  <si>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</si>
  <si>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</si>
  <si>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</si>
  <si>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</si>
  <si>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</si>
  <si>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</si>
  <si>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</si>
  <si>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</si>
  <si>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</si>
  <si>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</si>
  <si>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</si>
  <si>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</si>
  <si>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</si>
  <si>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</si>
  <si>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</si>
  <si>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</si>
  <si>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</si>
  <si>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</si>
  <si>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</si>
  <si>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</si>
  <si>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</si>
  <si>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</si>
  <si>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</si>
  <si>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</si>
  <si>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</si>
  <si>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</si>
  <si>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</si>
  <si>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</si>
  <si>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</si>
  <si>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</si>
  <si>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</si>
  <si>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</si>
  <si>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</si>
  <si>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</si>
  <si>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</si>
  <si>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</si>
  <si>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</si>
  <si>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</si>
  <si>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</si>
  <si>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</si>
  <si>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</si>
  <si>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</si>
  <si>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</si>
  <si>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</si>
  <si>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</si>
  <si>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</si>
  <si>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</si>
  <si>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</si>
  <si>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</si>
  <si>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</si>
  <si>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</si>
  <si>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</si>
  <si>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</si>
  <si>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</si>
  <si>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</si>
  <si>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</si>
  <si>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</si>
  <si>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</si>
  <si>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</si>
  <si>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</si>
  <si>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</si>
  <si>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</si>
  <si>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</si>
  <si>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</si>
  <si>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</si>
  <si>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</si>
  <si>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</si>
  <si>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</si>
  <si>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</si>
  <si>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</si>
  <si>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</si>
  <si>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</si>
  <si>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</si>
  <si>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</si>
  <si>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</si>
  <si>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</si>
  <si>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</si>
  <si>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</si>
  <si>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</si>
  <si>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</si>
  <si>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</si>
  <si>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</si>
  <si>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</si>
  <si>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</si>
  <si>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</si>
  <si>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</si>
  <si>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</si>
  <si>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</si>
  <si>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</si>
  <si>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</si>
  <si>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</si>
  <si>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</si>
  <si>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</si>
  <si>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</si>
  <si>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</si>
  <si>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</si>
  <si>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</si>
  <si>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</si>
  <si>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</si>
  <si>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</si>
  <si>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</si>
  <si>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</si>
  <si>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</si>
  <si>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</si>
  <si>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</si>
  <si>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</si>
  <si>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</si>
  <si>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</si>
  <si>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</si>
  <si>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</si>
  <si>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</si>
  <si>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</si>
  <si>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</si>
  <si>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</si>
  <si>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</si>
  <si>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</si>
  <si>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</si>
  <si>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</si>
  <si>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</si>
  <si>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</si>
  <si>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</si>
  <si>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</si>
  <si>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</si>
  <si>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</si>
  <si>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</si>
  <si>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</si>
  <si>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</si>
  <si>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</si>
  <si>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</si>
  <si>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</si>
  <si>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</si>
  <si>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</si>
  <si>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</si>
  <si>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</si>
  <si>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</si>
  <si>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</si>
  <si>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</si>
  <si>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</si>
  <si>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</si>
  <si>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</si>
  <si>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</si>
  <si>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</si>
  <si>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</si>
  <si>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</si>
  <si>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</si>
  <si>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</si>
  <si>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</si>
  <si>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</si>
  <si>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</si>
  <si>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</si>
  <si>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</si>
  <si>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</si>
  <si>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</si>
  <si>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</si>
  <si>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</si>
  <si>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</si>
  <si>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</si>
  <si>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</si>
  <si>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</si>
  <si>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</si>
  <si>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</si>
  <si>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</si>
  <si>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</si>
  <si>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</si>
  <si>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</si>
  <si>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</si>
  <si>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</si>
  <si>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</si>
  <si>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</si>
  <si>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</si>
  <si>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</si>
  <si>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</si>
  <si>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</si>
  <si>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</si>
  <si>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</si>
  <si>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</si>
  <si>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</si>
  <si>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</si>
  <si>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</si>
  <si>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</si>
  <si>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</si>
  <si>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</si>
  <si>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</si>
  <si>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</si>
  <si>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</si>
  <si>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</si>
  <si>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</si>
  <si>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</si>
  <si>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</si>
  <si>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</si>
  <si>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</si>
  <si>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</si>
  <si>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</si>
  <si>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</si>
  <si>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</si>
  <si>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</si>
  <si>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</si>
  <si>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</si>
  <si>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</si>
  <si>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</si>
  <si>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</si>
  <si>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</si>
  <si>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</si>
  <si>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</si>
  <si>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</si>
  <si>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</si>
  <si>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</si>
  <si>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</si>
  <si>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</si>
  <si>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</si>
  <si>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</si>
  <si>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</si>
  <si>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</si>
  <si>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</si>
  <si>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</si>
  <si>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</si>
  <si>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</si>
  <si>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</si>
  <si>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</si>
  <si>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</si>
  <si>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</si>
  <si>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</si>
  <si>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</si>
  <si>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</si>
  <si>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</si>
  <si>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</si>
  <si>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</si>
  <si>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</si>
  <si>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</si>
  <si>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</si>
  <si>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</si>
  <si>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</si>
  <si>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</si>
  <si>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</si>
  <si>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</si>
  <si>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</si>
  <si>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</si>
  <si>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</si>
  <si>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</si>
  <si>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</si>
  <si>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</si>
  <si>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Glasbewassing kosten/ jaar excl. Btw</t>
  </si>
  <si>
    <t>Gewogen
indexering</t>
  </si>
  <si>
    <t>Code2</t>
  </si>
  <si>
    <t>2029</t>
  </si>
  <si>
    <t>Prijs
Excl. BTW</t>
  </si>
  <si>
    <t>Toelichting</t>
  </si>
  <si>
    <t>Uren / eenheid</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</si>
  <si>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</si>
  <si>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</si>
  <si>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</si>
  <si>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</si>
  <si>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</si>
  <si>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</si>
  <si>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</si>
  <si>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</si>
  <si>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</si>
  <si>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</si>
  <si>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</si>
  <si>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</si>
  <si>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</si>
  <si>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</si>
  <si>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</si>
  <si>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</si>
  <si>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</si>
  <si>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</si>
  <si>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</si>
  <si>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</si>
  <si>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</si>
  <si>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</si>
  <si>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</si>
  <si>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</si>
  <si>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</si>
  <si>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</si>
  <si>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</si>
  <si>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</si>
  <si>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</si>
  <si>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</si>
  <si>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</si>
  <si>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</si>
  <si>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</si>
  <si>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</si>
  <si>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</si>
  <si>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</si>
  <si>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</si>
  <si>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IKC Kameleon</t>
  </si>
  <si>
    <t>IKC De Hoge Hoeve</t>
  </si>
  <si>
    <t>Sport IKC Het Startblok</t>
  </si>
  <si>
    <t>IKC De Brug</t>
  </si>
  <si>
    <t>IKC Remigius</t>
  </si>
  <si>
    <t>IKC Joannes</t>
  </si>
  <si>
    <t>Montessori IKC De Groene Ring</t>
  </si>
  <si>
    <t>Mondriaanstraat 15</t>
  </si>
  <si>
    <t>De Hoge Hoeve 70</t>
  </si>
  <si>
    <t>Klapstraat 205</t>
  </si>
  <si>
    <t>Schoolstraat 7</t>
  </si>
  <si>
    <t>Liemersplein 1</t>
  </si>
  <si>
    <t>Kerkakkers 4</t>
  </si>
  <si>
    <t>Bergdravik 2</t>
  </si>
  <si>
    <t>Duiven</t>
  </si>
  <si>
    <t>Westervoort</t>
  </si>
  <si>
    <t>Groessen</t>
  </si>
  <si>
    <t>6921 MJ</t>
  </si>
  <si>
    <t>6932 DJ</t>
  </si>
  <si>
    <t>6931 CH</t>
  </si>
  <si>
    <t>6931 DV</t>
  </si>
  <si>
    <t xml:space="preserve">6921 HN </t>
  </si>
  <si>
    <t>6923 BZ</t>
  </si>
  <si>
    <t>6922 HM</t>
  </si>
  <si>
    <t>Kleedruimten</t>
  </si>
  <si>
    <t>Begane grond</t>
  </si>
  <si>
    <t>Hoofdentree</t>
  </si>
  <si>
    <t>Hal 1</t>
  </si>
  <si>
    <t>Teamkamer</t>
  </si>
  <si>
    <t>Administratie</t>
  </si>
  <si>
    <t>Meterkast</t>
  </si>
  <si>
    <t>Groepsruimte 11</t>
  </si>
  <si>
    <t>Werkkast</t>
  </si>
  <si>
    <t>Personeelsgarderobe</t>
  </si>
  <si>
    <t>Personeelstoilet</t>
  </si>
  <si>
    <t>Toiletruimte 5</t>
  </si>
  <si>
    <t>Groepsruimte 4</t>
  </si>
  <si>
    <t>Speellokaal 2</t>
  </si>
  <si>
    <t>Groepsruimte 3</t>
  </si>
  <si>
    <t>Gang</t>
  </si>
  <si>
    <t>Hal 2</t>
  </si>
  <si>
    <t>Berging speellokaal</t>
  </si>
  <si>
    <t>Groepsruimte 2</t>
  </si>
  <si>
    <t>Speellokaal 1</t>
  </si>
  <si>
    <t>Entree 4</t>
  </si>
  <si>
    <t>CV-ruimte</t>
  </si>
  <si>
    <t>Archief</t>
  </si>
  <si>
    <t>Groepsruimte 9</t>
  </si>
  <si>
    <t>Centrale hal</t>
  </si>
  <si>
    <t>Directie 2</t>
  </si>
  <si>
    <t>Handenarbeid</t>
  </si>
  <si>
    <t>Conciërge</t>
  </si>
  <si>
    <t>Entree 3</t>
  </si>
  <si>
    <t>Groepsruimte 8</t>
  </si>
  <si>
    <t>Groepsruimte 7</t>
  </si>
  <si>
    <t>Entree 2</t>
  </si>
  <si>
    <t>Groepsruimte 6</t>
  </si>
  <si>
    <t>Groepsruimte 5</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</si>
  <si>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</si>
  <si>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</si>
  <si>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</si>
  <si>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</si>
  <si>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</si>
  <si>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</si>
  <si>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</si>
  <si>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</si>
  <si>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</si>
  <si>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</si>
  <si>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</si>
  <si>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</si>
  <si>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</si>
  <si>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</si>
  <si>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</si>
  <si>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</si>
  <si>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</si>
  <si>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</si>
  <si>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</si>
  <si>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</si>
  <si>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</si>
  <si>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</si>
  <si>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</si>
  <si>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</si>
  <si>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</si>
  <si>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</si>
  <si>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</si>
  <si>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</si>
  <si>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</si>
  <si>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</si>
  <si>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</si>
  <si>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</si>
  <si>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</si>
  <si>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</si>
  <si>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</si>
  <si>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</si>
  <si>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</si>
  <si>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</si>
  <si>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</si>
  <si>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</si>
  <si>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</si>
  <si>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</si>
  <si>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Gemeenschapsruimte</t>
  </si>
  <si>
    <t>Leermiddelenberging</t>
  </si>
  <si>
    <t>Kast</t>
  </si>
  <si>
    <t>Toilet</t>
  </si>
  <si>
    <t>Groepsruimte</t>
  </si>
  <si>
    <t>Groepsruimte 12</t>
  </si>
  <si>
    <t>Kantoor</t>
  </si>
  <si>
    <t>Groepsruimte 10</t>
  </si>
  <si>
    <t>Zij-entree</t>
  </si>
  <si>
    <t>Hal bovenbouw</t>
  </si>
  <si>
    <t>Hal middenbouw</t>
  </si>
  <si>
    <t>Groepsruimte 16</t>
  </si>
  <si>
    <t>Berging</t>
  </si>
  <si>
    <t>Directiekamer</t>
  </si>
  <si>
    <t>Groepsruimte 17</t>
  </si>
  <si>
    <t>Groepsruimte 13</t>
  </si>
  <si>
    <t>Groepsruimte 14</t>
  </si>
  <si>
    <t>Groepsruimte 15</t>
  </si>
  <si>
    <t>Hal</t>
  </si>
  <si>
    <t>Slaapruimte</t>
  </si>
  <si>
    <t>Speelhal</t>
  </si>
  <si>
    <t>Groepsruimte A</t>
  </si>
  <si>
    <t>Groepsruimte B</t>
  </si>
  <si>
    <t>Verschoonruimte</t>
  </si>
  <si>
    <t>Groepsruimte C</t>
  </si>
  <si>
    <t>Groepsruimte D</t>
  </si>
  <si>
    <t>Groepsruimte 1</t>
  </si>
  <si>
    <t>Plein kleuters</t>
  </si>
  <si>
    <t>Centrale keuken</t>
  </si>
  <si>
    <t>Patio</t>
  </si>
  <si>
    <t>Zijentree</t>
  </si>
  <si>
    <t>Speellokaal</t>
  </si>
  <si>
    <t>Kleutertoilet</t>
  </si>
  <si>
    <t>Spreekkamer</t>
  </si>
  <si>
    <t>0.01</t>
  </si>
  <si>
    <t>0.02</t>
  </si>
  <si>
    <t>0.03</t>
  </si>
  <si>
    <t>0.04</t>
  </si>
  <si>
    <t>0.05</t>
  </si>
  <si>
    <t>0.06</t>
  </si>
  <si>
    <t>0.07</t>
  </si>
  <si>
    <t>0.08</t>
  </si>
  <si>
    <t>0.09</t>
  </si>
  <si>
    <t>0.52</t>
  </si>
  <si>
    <t>0.53</t>
  </si>
  <si>
    <t>0.54</t>
  </si>
  <si>
    <t>0.55</t>
  </si>
  <si>
    <t>0.56</t>
  </si>
  <si>
    <t>0.57</t>
  </si>
  <si>
    <t>0.58</t>
  </si>
  <si>
    <t>0.59</t>
  </si>
  <si>
    <t>0.60</t>
  </si>
  <si>
    <t>0.61</t>
  </si>
  <si>
    <t>0.62</t>
  </si>
  <si>
    <t>0.63</t>
  </si>
  <si>
    <t>Grote hal</t>
  </si>
  <si>
    <t>Toilet 8</t>
  </si>
  <si>
    <t>Toilet 7</t>
  </si>
  <si>
    <t>Toilet 6</t>
  </si>
  <si>
    <t>Speellokaal ruimte 2</t>
  </si>
  <si>
    <t>Portaal 3</t>
  </si>
  <si>
    <t>IB-ruimte</t>
  </si>
  <si>
    <t>Berging 3</t>
  </si>
  <si>
    <t>Toilet 4 personeel</t>
  </si>
  <si>
    <t>Toilet 5</t>
  </si>
  <si>
    <t>Toilet 5 kleuter</t>
  </si>
  <si>
    <t>Computerberging</t>
  </si>
  <si>
    <t>Groepsruimte 3 kleuter</t>
  </si>
  <si>
    <t>Groepsruimte 4 kleuter</t>
  </si>
  <si>
    <t>Portaal 2</t>
  </si>
  <si>
    <t>MIVA-toilet</t>
  </si>
  <si>
    <t>Toilet 3</t>
  </si>
  <si>
    <t>Toilet 2</t>
  </si>
  <si>
    <t>Repro</t>
  </si>
  <si>
    <t>Toilet 1</t>
  </si>
  <si>
    <t>School</t>
  </si>
  <si>
    <t>Nood</t>
  </si>
  <si>
    <t>Toiletgroep</t>
  </si>
  <si>
    <t>Tijdelijk</t>
  </si>
  <si>
    <t>N0.01</t>
  </si>
  <si>
    <t>N0.02</t>
  </si>
  <si>
    <t>N0.03</t>
  </si>
  <si>
    <t>N0.04</t>
  </si>
  <si>
    <t>T0.01</t>
  </si>
  <si>
    <t>Hal/entree</t>
  </si>
  <si>
    <t>Tijdelijke locatie</t>
  </si>
  <si>
    <t>T0.02</t>
  </si>
  <si>
    <t>T0.03</t>
  </si>
  <si>
    <t>T0.04</t>
  </si>
  <si>
    <t>T0.05</t>
  </si>
  <si>
    <t>T0.06</t>
  </si>
  <si>
    <t>Ontvangst</t>
  </si>
  <si>
    <t>Technische ruimte</t>
  </si>
  <si>
    <t>Bergkast</t>
  </si>
  <si>
    <t>Groep 1-2</t>
  </si>
  <si>
    <t>Groep 3</t>
  </si>
  <si>
    <t>Toilet 1-2</t>
  </si>
  <si>
    <t>Bergkast 1-2</t>
  </si>
  <si>
    <t>Bergkast 3</t>
  </si>
  <si>
    <t>Centrale ruimte</t>
  </si>
  <si>
    <t>Centrale ruimte/bibliotheek</t>
  </si>
  <si>
    <t>Lift</t>
  </si>
  <si>
    <t>Speelplein</t>
  </si>
  <si>
    <t>Washok</t>
  </si>
  <si>
    <t>BSO</t>
  </si>
  <si>
    <t>Buitenberging</t>
  </si>
  <si>
    <t>Eerste etage</t>
  </si>
  <si>
    <t>Trapberging</t>
  </si>
  <si>
    <t>Buggy berging</t>
  </si>
  <si>
    <t>1.01</t>
  </si>
  <si>
    <t>1.02</t>
  </si>
  <si>
    <t>Groep 5-6</t>
  </si>
  <si>
    <t>1.03</t>
  </si>
  <si>
    <t>1.04</t>
  </si>
  <si>
    <t>1.05</t>
  </si>
  <si>
    <t>1.06</t>
  </si>
  <si>
    <t>Bergkast 5-6</t>
  </si>
  <si>
    <t>1.07</t>
  </si>
  <si>
    <t>Toilet 5-6</t>
  </si>
  <si>
    <t>1.08</t>
  </si>
  <si>
    <t>1.09</t>
  </si>
  <si>
    <t>1.10</t>
  </si>
  <si>
    <t>1.11</t>
  </si>
  <si>
    <t>1.12</t>
  </si>
  <si>
    <t>Groep 4</t>
  </si>
  <si>
    <t>1.13</t>
  </si>
  <si>
    <t>Toilet groep 4</t>
  </si>
  <si>
    <t>1.14</t>
  </si>
  <si>
    <t>1.15</t>
  </si>
  <si>
    <t>1.16</t>
  </si>
  <si>
    <t>Leerplein groep 5-6</t>
  </si>
  <si>
    <t>Leerplein groep 4</t>
  </si>
  <si>
    <t>1.18</t>
  </si>
  <si>
    <t>1.19</t>
  </si>
  <si>
    <t>1.20</t>
  </si>
  <si>
    <t>1.17</t>
  </si>
  <si>
    <t>1.21</t>
  </si>
  <si>
    <t>1.22</t>
  </si>
  <si>
    <t>1.23</t>
  </si>
  <si>
    <t>1.24</t>
  </si>
  <si>
    <t>1.25</t>
  </si>
  <si>
    <t>Serverruimte</t>
  </si>
  <si>
    <t>1.26</t>
  </si>
  <si>
    <t>Schacht</t>
  </si>
  <si>
    <t>1.27</t>
  </si>
  <si>
    <t>1.28</t>
  </si>
  <si>
    <t>1.30</t>
  </si>
  <si>
    <t>Trappenhuis</t>
  </si>
  <si>
    <t>1.31</t>
  </si>
  <si>
    <t>1.32</t>
  </si>
  <si>
    <t>1.33</t>
  </si>
  <si>
    <t>Flexplek</t>
  </si>
  <si>
    <t>1.34</t>
  </si>
  <si>
    <t>1.35</t>
  </si>
  <si>
    <t>1.36</t>
  </si>
  <si>
    <t>Toilet groep 7</t>
  </si>
  <si>
    <t>1.37</t>
  </si>
  <si>
    <t>1.38</t>
  </si>
  <si>
    <t>1.39</t>
  </si>
  <si>
    <t>Groep 8</t>
  </si>
  <si>
    <t>1.40</t>
  </si>
  <si>
    <t>1.41</t>
  </si>
  <si>
    <t>1.42</t>
  </si>
  <si>
    <t>Leerplein groep 8</t>
  </si>
  <si>
    <t>1.43</t>
  </si>
  <si>
    <t>Werkplek groep 8</t>
  </si>
  <si>
    <t>1.44</t>
  </si>
  <si>
    <t>1.45</t>
  </si>
  <si>
    <t>1.46</t>
  </si>
  <si>
    <t>1.47</t>
  </si>
  <si>
    <t>1.48</t>
  </si>
  <si>
    <t>2.01</t>
  </si>
  <si>
    <t>Tweede etage</t>
  </si>
  <si>
    <t>PU-gietvloer</t>
  </si>
  <si>
    <t>PVC/Bamboeparket</t>
  </si>
  <si>
    <t>Bestuurskantoor</t>
  </si>
  <si>
    <t>Gespreksruimte</t>
  </si>
  <si>
    <t>Garderobe</t>
  </si>
  <si>
    <t>Vergaderruimte</t>
  </si>
  <si>
    <t>Gang 4</t>
  </si>
  <si>
    <t>BSO - KDV 2</t>
  </si>
  <si>
    <t>BSO - KDV 1</t>
  </si>
  <si>
    <t>Slaapkamer</t>
  </si>
  <si>
    <t>Gang 3</t>
  </si>
  <si>
    <t>Berging 1</t>
  </si>
  <si>
    <t>Keuken</t>
  </si>
  <si>
    <t>Gang 2</t>
  </si>
  <si>
    <t>Toilet 4</t>
  </si>
  <si>
    <t>Gang 1</t>
  </si>
  <si>
    <t>Kleedkamer 1</t>
  </si>
  <si>
    <t>Wasruimte 1</t>
  </si>
  <si>
    <t>Wasruimte 2</t>
  </si>
  <si>
    <t>Kleedkamer 2</t>
  </si>
  <si>
    <t xml:space="preserve">Toilet </t>
  </si>
  <si>
    <t>Sportdocent</t>
  </si>
  <si>
    <t>Douche</t>
  </si>
  <si>
    <t>Kleuterberging</t>
  </si>
  <si>
    <t>Ketelhuis</t>
  </si>
  <si>
    <t>Opslag berging</t>
  </si>
  <si>
    <t>Rijwielberging</t>
  </si>
  <si>
    <t>Gymmateriaal</t>
  </si>
  <si>
    <t>Sportzaal</t>
  </si>
  <si>
    <t>B.01</t>
  </si>
  <si>
    <t>B.02</t>
  </si>
  <si>
    <t>B.03</t>
  </si>
  <si>
    <t>B.04</t>
  </si>
  <si>
    <t>B.05</t>
  </si>
  <si>
    <t>B.06</t>
  </si>
  <si>
    <t>B.07</t>
  </si>
  <si>
    <t>B.08</t>
  </si>
  <si>
    <t>B.09</t>
  </si>
  <si>
    <t>K.01</t>
  </si>
  <si>
    <t>K.02</t>
  </si>
  <si>
    <t>K.03</t>
  </si>
  <si>
    <t>K.04</t>
  </si>
  <si>
    <t>K.05</t>
  </si>
  <si>
    <t>K.06</t>
  </si>
  <si>
    <t>K.07</t>
  </si>
  <si>
    <t>K.08</t>
  </si>
  <si>
    <t>K.09</t>
  </si>
  <si>
    <t>B.10</t>
  </si>
  <si>
    <t>S.01</t>
  </si>
  <si>
    <t>S.02</t>
  </si>
  <si>
    <t>S.03</t>
  </si>
  <si>
    <t>S.04</t>
  </si>
  <si>
    <t>S.05</t>
  </si>
  <si>
    <t>S.06</t>
  </si>
  <si>
    <t>S.07</t>
  </si>
  <si>
    <t>S.08</t>
  </si>
  <si>
    <t>S.09</t>
  </si>
  <si>
    <t>S.10</t>
  </si>
  <si>
    <t>S.11</t>
  </si>
  <si>
    <t>S.12</t>
  </si>
  <si>
    <t>S.13</t>
  </si>
  <si>
    <t>S.14</t>
  </si>
  <si>
    <t>S.15</t>
  </si>
  <si>
    <t>S.16</t>
  </si>
  <si>
    <t>S.17</t>
  </si>
  <si>
    <t>S.18</t>
  </si>
  <si>
    <t>S.19</t>
  </si>
  <si>
    <t xml:space="preserve">Spreekkamer </t>
  </si>
  <si>
    <t>Kinderdagverblijf</t>
  </si>
  <si>
    <t>Groepsruimte 9 BSO</t>
  </si>
  <si>
    <t>Bepaalde tijd</t>
  </si>
  <si>
    <t>Onbepaalde tijd</t>
  </si>
  <si>
    <t>Ja</t>
  </si>
  <si>
    <t>N.v.t.</t>
  </si>
  <si>
    <t>Nee</t>
  </si>
  <si>
    <t xml:space="preserve">Mdw. Alg. Schoonmaakonderhoud </t>
  </si>
  <si>
    <t>PU-coating</t>
  </si>
  <si>
    <t>Na gunning in te meten</t>
  </si>
  <si>
    <t>Extra werkzaamheden BSO in vakanties</t>
  </si>
  <si>
    <t>Indicatief, na gunning in te meten</t>
  </si>
  <si>
    <t xml:space="preserve">Oppervlakte eigen dienst </t>
  </si>
  <si>
    <t>Schoonloopmat</t>
  </si>
  <si>
    <t>Marmoleum</t>
  </si>
  <si>
    <t>Keramische tegels</t>
  </si>
  <si>
    <t>Laminaat</t>
  </si>
  <si>
    <t>Inloopmat</t>
  </si>
  <si>
    <t>Sportvloer</t>
  </si>
  <si>
    <t>Tegels</t>
  </si>
  <si>
    <t>Sporvloer</t>
  </si>
  <si>
    <t>Linoleum</t>
  </si>
  <si>
    <t>Leermiddelenberging 2</t>
  </si>
  <si>
    <t xml:space="preserve">Groepsruimte 3 </t>
  </si>
  <si>
    <t>Kluis/archief</t>
  </si>
  <si>
    <t>Werkruimte team</t>
  </si>
  <si>
    <t>Handvaardigheid</t>
  </si>
  <si>
    <t>Berging handvaardigheid</t>
  </si>
  <si>
    <t>Centrale overloop</t>
  </si>
  <si>
    <t>Trap</t>
  </si>
  <si>
    <t>Remedial teaching</t>
  </si>
  <si>
    <t>Documentatiecentrum</t>
  </si>
  <si>
    <t>Interne begeleiding orthotheek</t>
  </si>
  <si>
    <t>Entree 5</t>
  </si>
  <si>
    <t>ST/IB</t>
  </si>
  <si>
    <t>Directie</t>
  </si>
  <si>
    <t>Raamventilatieroosters</t>
  </si>
  <si>
    <t>63,75 strekkende meters op locatie</t>
  </si>
  <si>
    <t>25 strekkende meters op locatie</t>
  </si>
  <si>
    <t>Opmerking</t>
  </si>
  <si>
    <t>Indicatief maximaal 12 weken, uitvoering in overleg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</si>
</sst>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d/m/yyyy;@"/>
    <numFmt numFmtId="187" formatCode="#.##000"/>
  </numFmts>
  <fonts count="69">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9"/>
      <color rgb="FFFFFFFF"/>
      <name val="Verdana"/>
      <family val="2"/>
    </font>
    <font>
      <b/>
      <sz val="12"/>
      <color theme="0"/>
      <name val="Verdana"/>
      <family val="2"/>
    </font>
    <font>
      <b/>
      <sz val="10"/>
      <color theme="0"/>
      <name val="Aptos"/>
      <family val="2"/>
    </font>
    <font>
      <b/>
      <sz val="9"/>
      <color theme="0"/>
      <name val="Verdana"/>
      <family val="2"/>
    </font>
    <font>
      <sz val="9"/>
      <color theme="0"/>
      <name val="Verdana"/>
      <family val="2"/>
    </font>
    <font>
      <sz val="9"/>
      <name val="Verdana"/>
      <family val="2"/>
    </font>
    <font>
      <b/>
      <sz val="9"/>
      <color indexed="9"/>
      <name val="Aptos"/>
      <family val="2"/>
    </font>
    <font>
      <b/>
      <u/>
      <sz val="9"/>
      <color indexed="9"/>
      <name val="Aptos"/>
      <family val="2"/>
    </font>
    <font>
      <b/>
      <u/>
      <sz val="9"/>
      <color theme="0"/>
      <name val="Aptos"/>
      <family val="2"/>
    </font>
    <font>
      <b/>
      <sz val="20"/>
      <name val="Aptos"/>
      <family val="2"/>
    </font>
    <font>
      <b/>
      <sz val="9"/>
      <color theme="0"/>
      <name val="Aptos"/>
      <family val="2"/>
    </font>
  </fonts>
  <fills count="31">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7">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500">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34" fillId="0" borderId="0" xfId="0" applyFont="1" applyAlignment="1">
      <alignment horizontal="center" vertical="center"/>
    </xf>
    <xf numFmtId="0" fontId="35" fillId="0" borderId="0" xfId="0" applyFont="1" applyAlignment="1">
      <alignment horizontal="center" vertical="center"/>
    </xf>
    <xf numFmtId="173" fontId="35" fillId="0" borderId="0" xfId="0" applyNumberFormat="1" applyFont="1" applyAlignment="1">
      <alignment vertical="center"/>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5" fillId="0" borderId="26"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5" fillId="0" borderId="0" xfId="0" applyNumberFormat="1" applyFont="1" applyAlignment="1">
      <alignment horizontal="center" vertical="center"/>
    </xf>
    <xf numFmtId="178" fontId="29" fillId="0" borderId="0" xfId="0" applyNumberFormat="1" applyFont="1" applyAlignment="1">
      <alignment vertical="center"/>
    </xf>
    <xf numFmtId="0" fontId="35" fillId="0" borderId="0" xfId="0" applyFont="1" applyAlignment="1">
      <alignment horizontal="left" vertical="center"/>
    </xf>
    <xf numFmtId="173" fontId="35" fillId="0" borderId="9" xfId="0" applyNumberFormat="1" applyFont="1" applyBorder="1" applyAlignment="1">
      <alignment horizontal="center"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44" fontId="29" fillId="0" borderId="20" xfId="54" applyFont="1" applyFill="1" applyBorder="1" applyAlignment="1">
      <alignment horizontal="left" vertical="center"/>
    </xf>
    <xf numFmtId="184" fontId="35" fillId="0" borderId="0" xfId="0" applyNumberFormat="1" applyFont="1" applyAlignment="1">
      <alignmen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29" fillId="0" borderId="0" xfId="0" applyFont="1" applyAlignment="1">
      <alignment vertical="center"/>
    </xf>
    <xf numFmtId="0" fontId="34" fillId="0" borderId="0" xfId="0" applyFont="1" applyAlignment="1">
      <alignment horizontal="center" vertical="center" wrapText="1"/>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vertical="center"/>
    </xf>
    <xf numFmtId="173" fontId="29" fillId="9" borderId="0" xfId="0" applyNumberFormat="1" applyFont="1" applyFill="1" applyAlignment="1">
      <alignment horizontal="center" vertical="center"/>
    </xf>
    <xf numFmtId="0" fontId="35" fillId="6" borderId="0" xfId="0" applyFont="1" applyFill="1" applyAlignment="1">
      <alignment horizontal="center" vertical="center" textRotation="90"/>
    </xf>
    <xf numFmtId="0" fontId="35" fillId="0" borderId="0" xfId="0" applyFont="1" applyAlignment="1">
      <alignment horizontal="center" vertical="center" textRotation="90" wrapText="1"/>
    </xf>
    <xf numFmtId="173" fontId="35" fillId="0" borderId="19" xfId="0" applyNumberFormat="1" applyFont="1" applyBorder="1" applyAlignment="1">
      <alignment horizontal="left" vertical="center" wrapText="1"/>
    </xf>
    <xf numFmtId="0" fontId="29" fillId="0" borderId="0" xfId="0" applyFont="1" applyAlignment="1">
      <alignment horizontal="center" vertical="center" textRotation="90"/>
    </xf>
    <xf numFmtId="0" fontId="29" fillId="11" borderId="0" xfId="0" applyFont="1" applyFill="1" applyAlignment="1">
      <alignment horizontal="left" vertical="center" wrapText="1"/>
    </xf>
    <xf numFmtId="0" fontId="35" fillId="0" borderId="0" xfId="0" applyFont="1" applyAlignment="1">
      <alignment horizontal="center" vertical="center" textRotation="90"/>
    </xf>
    <xf numFmtId="0" fontId="30" fillId="0" borderId="27" xfId="0" applyFont="1" applyBorder="1" applyAlignment="1">
      <alignment horizontal="center"/>
    </xf>
    <xf numFmtId="0" fontId="37" fillId="0" borderId="2" xfId="0" applyFont="1" applyBorder="1"/>
    <xf numFmtId="0" fontId="30" fillId="0" borderId="28" xfId="0" applyFont="1" applyBorder="1"/>
    <xf numFmtId="0" fontId="30" fillId="0" borderId="24" xfId="0" applyFont="1" applyBorder="1" applyAlignment="1">
      <alignment horizontal="center"/>
    </xf>
    <xf numFmtId="0" fontId="30" fillId="0" borderId="25" xfId="0" applyFont="1" applyBorder="1"/>
    <xf numFmtId="0" fontId="55" fillId="0" borderId="0" xfId="0" applyFont="1"/>
    <xf numFmtId="0" fontId="33" fillId="0" borderId="0" xfId="0" applyFont="1"/>
    <xf numFmtId="0" fontId="30" fillId="0" borderId="24" xfId="0" applyFont="1" applyBorder="1" applyAlignment="1">
      <alignment horizontal="center" vertical="center"/>
    </xf>
    <xf numFmtId="0" fontId="30" fillId="0" borderId="0" xfId="0" applyFont="1" applyAlignment="1">
      <alignment horizontal="left" indent="1"/>
    </xf>
    <xf numFmtId="0" fontId="33" fillId="0" borderId="0" xfId="0" applyFont="1" applyAlignment="1">
      <alignment horizontal="left" indent="1"/>
    </xf>
    <xf numFmtId="0" fontId="30" fillId="0" borderId="29" xfId="0" applyFont="1" applyBorder="1" applyAlignment="1">
      <alignment horizontal="center" vertical="center"/>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8" fillId="28" borderId="9" xfId="0" applyFont="1" applyFill="1" applyBorder="1" applyAlignment="1">
      <alignment horizontal="left" vertical="center" wrapText="1"/>
    </xf>
    <xf numFmtId="0" fontId="63" fillId="28" borderId="0" xfId="0" applyFont="1" applyFill="1" applyAlignment="1">
      <alignment horizontal="center" vertical="center" wrapText="1"/>
    </xf>
    <xf numFmtId="0" fontId="62" fillId="29" borderId="0" xfId="0" applyFont="1" applyFill="1" applyAlignment="1">
      <alignment horizontal="center" vertical="center" wrapText="1"/>
    </xf>
    <xf numFmtId="0" fontId="62" fillId="29" borderId="0" xfId="0" applyFont="1" applyFill="1" applyAlignment="1">
      <alignment vertical="center" wrapText="1"/>
    </xf>
    <xf numFmtId="164" fontId="62" fillId="29" borderId="0" xfId="0" applyNumberFormat="1" applyFont="1" applyFill="1" applyAlignment="1">
      <alignment horizontal="center" vertical="center" wrapText="1"/>
    </xf>
    <xf numFmtId="0" fontId="64" fillId="22" borderId="23" xfId="30" applyFont="1" applyFill="1" applyBorder="1"/>
    <xf numFmtId="0" fontId="53" fillId="22" borderId="10" xfId="30" applyFont="1" applyFill="1" applyBorder="1"/>
    <xf numFmtId="0" fontId="65"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5" fillId="22" borderId="9" xfId="30" applyFont="1" applyFill="1" applyBorder="1" applyAlignment="1">
      <alignment vertical="top" wrapText="1"/>
    </xf>
    <xf numFmtId="0" fontId="66"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64" fillId="23" borderId="9" xfId="30" applyFont="1" applyFill="1" applyBorder="1"/>
    <xf numFmtId="0" fontId="35" fillId="0" borderId="5" xfId="30" applyFont="1" applyBorder="1" applyAlignment="1">
      <alignment wrapText="1"/>
    </xf>
    <xf numFmtId="0" fontId="65" fillId="23" borderId="9" xfId="30" applyFont="1" applyFill="1" applyBorder="1" applyAlignment="1">
      <alignment vertical="top" wrapText="1"/>
    </xf>
    <xf numFmtId="0" fontId="66" fillId="23" borderId="9" xfId="30" applyFont="1" applyFill="1" applyBorder="1" applyAlignment="1">
      <alignment vertical="top" wrapText="1"/>
    </xf>
    <xf numFmtId="0" fontId="35" fillId="0" borderId="10" xfId="30" applyFont="1" applyBorder="1" applyAlignment="1">
      <alignment wrapText="1"/>
    </xf>
    <xf numFmtId="0" fontId="67" fillId="0" borderId="0" xfId="30" applyFont="1"/>
    <xf numFmtId="0" fontId="34" fillId="24" borderId="23" xfId="30" applyFont="1" applyFill="1" applyBorder="1"/>
    <xf numFmtId="0" fontId="64" fillId="24" borderId="23" xfId="30" applyFont="1" applyFill="1" applyBorder="1"/>
    <xf numFmtId="0" fontId="34" fillId="24" borderId="10" xfId="30" applyFont="1" applyFill="1" applyBorder="1"/>
    <xf numFmtId="0" fontId="65" fillId="24" borderId="10" xfId="30" applyFont="1" applyFill="1" applyBorder="1"/>
    <xf numFmtId="0" fontId="34" fillId="0" borderId="5" xfId="30" applyFont="1" applyBorder="1"/>
    <xf numFmtId="0" fontId="34" fillId="24" borderId="9" xfId="30" applyFont="1" applyFill="1" applyBorder="1"/>
    <xf numFmtId="0" fontId="65"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60"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35" fillId="0" borderId="34" xfId="0" applyFont="1" applyBorder="1" applyAlignment="1">
      <alignment vertical="center"/>
    </xf>
    <xf numFmtId="0" fontId="35" fillId="0" borderId="33" xfId="30" applyFont="1" applyBorder="1" applyAlignment="1">
      <alignment horizontal="left" vertical="center"/>
    </xf>
    <xf numFmtId="2" fontId="35" fillId="0" borderId="0" xfId="0" applyNumberFormat="1" applyFont="1" applyAlignment="1" applyProtection="1">
      <alignment horizontal="center"/>
      <protection hidden="1"/>
    </xf>
    <xf numFmtId="1" fontId="35" fillId="0" borderId="0" xfId="0" applyNumberFormat="1" applyFont="1" applyAlignment="1" applyProtection="1">
      <alignment horizontal="center"/>
      <protection hidden="1"/>
    </xf>
    <xf numFmtId="0" fontId="35" fillId="0" borderId="0" xfId="0" applyFont="1" applyProtection="1">
      <protection hidden="1"/>
    </xf>
    <xf numFmtId="0" fontId="40" fillId="29" borderId="0" xfId="0" applyFont="1" applyFill="1" applyAlignment="1">
      <alignment horizontal="center" vertical="center" wrapText="1"/>
    </xf>
    <xf numFmtId="0" fontId="40" fillId="29" borderId="0" xfId="0" applyFont="1" applyFill="1" applyAlignment="1">
      <alignment vertical="center" wrapText="1"/>
    </xf>
    <xf numFmtId="164" fontId="40" fillId="29" borderId="0" xfId="0" applyNumberFormat="1" applyFont="1" applyFill="1" applyAlignment="1">
      <alignment horizontal="center" vertical="center" wrapText="1"/>
    </xf>
    <xf numFmtId="0" fontId="29" fillId="0" borderId="9" xfId="0" applyFont="1" applyBorder="1"/>
    <xf numFmtId="0" fontId="29" fillId="0" borderId="9" xfId="0" applyFont="1" applyBorder="1" applyAlignment="1">
      <alignment horizontal="center"/>
    </xf>
    <xf numFmtId="186" fontId="29" fillId="0" borderId="9" xfId="0" applyNumberFormat="1" applyFont="1" applyBorder="1"/>
    <xf numFmtId="186" fontId="29" fillId="0" borderId="9" xfId="0" applyNumberFormat="1" applyFont="1" applyBorder="1" applyAlignment="1">
      <alignment vertical="center"/>
    </xf>
    <xf numFmtId="173" fontId="29" fillId="0" borderId="0" xfId="8" applyNumberFormat="1" applyFont="1" applyFill="1" applyAlignment="1">
      <alignment horizontal="center" vertical="center"/>
    </xf>
    <xf numFmtId="44" fontId="29" fillId="0" borderId="35" xfId="54" applyFont="1" applyFill="1" applyBorder="1" applyAlignment="1">
      <alignment horizontal="left" vertical="center"/>
    </xf>
    <xf numFmtId="44" fontId="29" fillId="0" borderId="20" xfId="0" applyNumberFormat="1" applyFont="1" applyBorder="1" applyAlignment="1">
      <alignment horizontal="left" vertical="center"/>
    </xf>
    <xf numFmtId="44" fontId="29" fillId="0" borderId="32" xfId="54" applyFont="1" applyFill="1" applyBorder="1" applyAlignment="1">
      <alignment horizontal="left" vertical="center"/>
    </xf>
    <xf numFmtId="44" fontId="29" fillId="0" borderId="36" xfId="54" applyFont="1" applyFill="1" applyBorder="1" applyAlignment="1">
      <alignment horizontal="left" vertical="center"/>
    </xf>
    <xf numFmtId="4" fontId="29" fillId="0" borderId="0" xfId="0" applyNumberFormat="1" applyFont="1" applyAlignment="1">
      <alignment horizontal="left" vertical="center"/>
    </xf>
    <xf numFmtId="0" fontId="35" fillId="28" borderId="0" xfId="0" applyFont="1" applyFill="1" applyAlignment="1">
      <alignment horizontal="left" vertical="center" wrapText="1"/>
    </xf>
    <xf numFmtId="0" fontId="35" fillId="28" borderId="0" xfId="0" applyFont="1" applyFill="1" applyAlignment="1">
      <alignment horizontal="center" vertical="center" wrapText="1"/>
    </xf>
    <xf numFmtId="0" fontId="40" fillId="29" borderId="9" xfId="0" applyFont="1" applyFill="1" applyBorder="1" applyAlignment="1">
      <alignment horizontal="center" vertical="center" wrapText="1"/>
    </xf>
    <xf numFmtId="0" fontId="40" fillId="29" borderId="9" xfId="0" applyFont="1" applyFill="1" applyBorder="1" applyAlignment="1">
      <alignment horizontal="left" vertical="center" wrapText="1"/>
    </xf>
    <xf numFmtId="168" fontId="40" fillId="29" borderId="9" xfId="20" applyFont="1" applyFill="1" applyBorder="1" applyAlignment="1">
      <alignment horizontal="center" vertical="center" wrapText="1"/>
    </xf>
    <xf numFmtId="173" fontId="40" fillId="29" borderId="13" xfId="0" applyNumberFormat="1" applyFont="1" applyFill="1" applyBorder="1" applyAlignment="1">
      <alignment horizontal="center" vertical="center" wrapText="1"/>
    </xf>
    <xf numFmtId="2" fontId="68" fillId="28" borderId="15" xfId="0" applyNumberFormat="1" applyFont="1" applyFill="1" applyBorder="1" applyAlignment="1">
      <alignment vertical="center" wrapText="1"/>
    </xf>
    <xf numFmtId="2" fontId="68" fillId="28" borderId="16" xfId="0" applyNumberFormat="1" applyFont="1" applyFill="1" applyBorder="1" applyAlignment="1">
      <alignment vertical="center" wrapText="1"/>
    </xf>
    <xf numFmtId="0" fontId="68" fillId="29" borderId="17" xfId="0" applyFont="1" applyFill="1" applyBorder="1" applyAlignment="1">
      <alignment horizontal="center" vertical="center" wrapText="1"/>
    </xf>
    <xf numFmtId="0" fontId="68" fillId="28" borderId="16" xfId="0" applyFont="1" applyFill="1" applyBorder="1" applyAlignment="1">
      <alignment vertical="center" wrapText="1"/>
    </xf>
    <xf numFmtId="169" fontId="35" fillId="28" borderId="0" xfId="0" applyNumberFormat="1" applyFont="1" applyFill="1" applyAlignment="1">
      <alignment vertical="center"/>
    </xf>
    <xf numFmtId="0" fontId="35" fillId="28" borderId="0" xfId="0" applyFont="1" applyFill="1" applyAlignment="1">
      <alignment vertical="center"/>
    </xf>
    <xf numFmtId="0" fontId="35" fillId="28" borderId="0" xfId="30" applyFont="1" applyFill="1" applyAlignment="1">
      <alignment horizontal="center" vertical="center" wrapText="1"/>
    </xf>
    <xf numFmtId="0" fontId="35" fillId="28" borderId="0" xfId="30" applyFont="1" applyFill="1" applyAlignment="1">
      <alignment vertical="center" wrapText="1"/>
    </xf>
    <xf numFmtId="0" fontId="35" fillId="28" borderId="0" xfId="0" applyFont="1" applyFill="1" applyAlignment="1">
      <alignment vertical="center" wrapText="1"/>
    </xf>
    <xf numFmtId="2" fontId="35" fillId="28" borderId="0" xfId="0" applyNumberFormat="1" applyFont="1" applyFill="1" applyAlignment="1">
      <alignment vertical="center" wrapText="1"/>
    </xf>
    <xf numFmtId="2" fontId="35" fillId="28" borderId="0" xfId="0" applyNumberFormat="1" applyFont="1" applyFill="1" applyAlignment="1">
      <alignment horizontal="center" vertical="center" wrapText="1"/>
    </xf>
    <xf numFmtId="185" fontId="29" fillId="0" borderId="23" xfId="48" applyNumberFormat="1" applyFont="1" applyBorder="1" applyAlignment="1">
      <alignment horizontal="center" vertical="center"/>
    </xf>
    <xf numFmtId="185" fontId="29" fillId="0" borderId="10" xfId="48" applyNumberFormat="1" applyFont="1" applyBorder="1" applyAlignment="1">
      <alignment horizontal="center" vertical="center"/>
    </xf>
    <xf numFmtId="0" fontId="29" fillId="0" borderId="23" xfId="0" applyFont="1" applyBorder="1" applyAlignment="1">
      <alignment horizontal="center" vertical="center"/>
    </xf>
    <xf numFmtId="0" fontId="29" fillId="0" borderId="10" xfId="0" applyFont="1" applyBorder="1" applyAlignment="1">
      <alignment horizontal="center" vertical="center"/>
    </xf>
    <xf numFmtId="0" fontId="29" fillId="0" borderId="23" xfId="0" applyFont="1" applyBorder="1" applyAlignment="1">
      <alignment horizontal="right" vertical="center"/>
    </xf>
    <xf numFmtId="0" fontId="29" fillId="0" borderId="10" xfId="0" applyFont="1" applyBorder="1" applyAlignment="1">
      <alignment horizontal="right" vertical="center"/>
    </xf>
    <xf numFmtId="44" fontId="29" fillId="0" borderId="23" xfId="48" applyFont="1" applyBorder="1" applyAlignment="1">
      <alignment horizontal="left" vertical="center"/>
    </xf>
    <xf numFmtId="44" fontId="29" fillId="0" borderId="10" xfId="48" applyFont="1" applyBorder="1" applyAlignment="1">
      <alignment horizontal="left" vertical="center"/>
    </xf>
    <xf numFmtId="14" fontId="29" fillId="0" borderId="23" xfId="0" applyNumberFormat="1" applyFont="1" applyBorder="1" applyAlignment="1">
      <alignment horizontal="right" vertical="center"/>
    </xf>
    <xf numFmtId="14" fontId="29" fillId="0" borderId="10" xfId="0" applyNumberFormat="1" applyFont="1" applyBorder="1" applyAlignment="1">
      <alignment horizontal="right" vertical="center"/>
    </xf>
    <xf numFmtId="0" fontId="29" fillId="0" borderId="23" xfId="0" applyFont="1" applyBorder="1" applyAlignment="1">
      <alignment horizontal="left" vertical="center"/>
    </xf>
    <xf numFmtId="0" fontId="29" fillId="0" borderId="10" xfId="0" applyFont="1" applyBorder="1" applyAlignment="1">
      <alignment horizontal="left" vertical="center"/>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59" fillId="28" borderId="8" xfId="30" applyFont="1" applyFill="1" applyBorder="1" applyAlignment="1">
      <alignment horizontal="center" vertical="center" wrapText="1"/>
    </xf>
    <xf numFmtId="0" fontId="59" fillId="28" borderId="21" xfId="30" applyFont="1" applyFill="1" applyBorder="1" applyAlignment="1">
      <alignment horizontal="center" vertical="center" wrapText="1"/>
    </xf>
    <xf numFmtId="0" fontId="59" fillId="28" borderId="11" xfId="30" applyFont="1" applyFill="1" applyBorder="1" applyAlignment="1">
      <alignment horizontal="center" vertical="center" wrapText="1"/>
    </xf>
    <xf numFmtId="0" fontId="59" fillId="28" borderId="0" xfId="30" applyFont="1" applyFill="1" applyAlignment="1">
      <alignment horizontal="center" vertical="center" wrapText="1"/>
    </xf>
    <xf numFmtId="0" fontId="30" fillId="0" borderId="0" xfId="58" applyFont="1" applyAlignment="1">
      <alignment horizontal="left"/>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7" fillId="18" borderId="9" xfId="0" applyFont="1" applyFill="1" applyBorder="1" applyAlignment="1">
      <alignment horizontal="center"/>
    </xf>
    <xf numFmtId="0" fontId="39" fillId="0" borderId="0" xfId="30" applyFont="1" applyAlignment="1">
      <alignment horizontal="center" vertical="center"/>
    </xf>
    <xf numFmtId="170" fontId="35" fillId="5" borderId="9" xfId="0" applyNumberFormat="1" applyFont="1" applyFill="1" applyBorder="1" applyAlignment="1">
      <alignment horizontal="center" vertical="center"/>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0" fontId="39" fillId="0" borderId="0" xfId="30" applyFont="1" applyAlignment="1">
      <alignment horizontal="left"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8" borderId="9" xfId="0" applyFont="1" applyFill="1" applyBorder="1" applyAlignment="1">
      <alignment horizontal="center" wrapText="1"/>
    </xf>
    <xf numFmtId="170" fontId="34" fillId="5" borderId="9" xfId="0" applyNumberFormat="1" applyFont="1" applyFill="1" applyBorder="1" applyAlignment="1">
      <alignment horizontal="center" vertical="center"/>
    </xf>
    <xf numFmtId="4" fontId="35" fillId="0" borderId="9" xfId="0" applyNumberFormat="1" applyFont="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43" fillId="0" borderId="6" xfId="30" applyFont="1" applyBorder="1" applyAlignment="1">
      <alignment horizontal="center" vertical="center"/>
    </xf>
    <xf numFmtId="2" fontId="68" fillId="28" borderId="7" xfId="0" applyNumberFormat="1" applyFont="1" applyFill="1" applyBorder="1" applyAlignment="1">
      <alignment horizontal="left" vertical="center"/>
    </xf>
    <xf numFmtId="2" fontId="68" fillId="28" borderId="4" xfId="0" applyNumberFormat="1" applyFont="1" applyFill="1" applyBorder="1" applyAlignment="1">
      <alignment horizontal="left" vertical="center"/>
    </xf>
    <xf numFmtId="0" fontId="35" fillId="0" borderId="8" xfId="0" applyFont="1" applyBorder="1" applyAlignment="1">
      <alignment horizontal="center" vertical="center" textRotation="90"/>
    </xf>
    <xf numFmtId="0" fontId="35" fillId="0" borderId="11" xfId="0" applyFont="1" applyBorder="1" applyAlignment="1">
      <alignment horizontal="center" vertical="center" textRotation="90"/>
    </xf>
    <xf numFmtId="0" fontId="35" fillId="0" borderId="12" xfId="0" applyFont="1" applyBorder="1" applyAlignment="1">
      <alignment horizontal="center" vertical="center" textRotation="90"/>
    </xf>
    <xf numFmtId="170" fontId="35" fillId="5" borderId="7" xfId="0" applyNumberFormat="1" applyFont="1" applyFill="1" applyBorder="1" applyAlignment="1">
      <alignment horizontal="center" vertical="center"/>
    </xf>
    <xf numFmtId="170" fontId="35"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35" fillId="0" borderId="12" xfId="0" applyFont="1" applyBorder="1" applyAlignment="1">
      <alignment horizontal="center" vertical="center" textRotation="90" wrapText="1"/>
    </xf>
    <xf numFmtId="0" fontId="30" fillId="0" borderId="0" xfId="0" applyFont="1" applyAlignment="1">
      <alignment horizontal="left" wrapText="1"/>
    </xf>
    <xf numFmtId="0" fontId="30" fillId="0" borderId="25" xfId="0" applyFont="1" applyBorder="1" applyAlignment="1">
      <alignment horizontal="left" wrapText="1"/>
    </xf>
    <xf numFmtId="0" fontId="30" fillId="0" borderId="0" xfId="0" applyFont="1" applyAlignment="1">
      <alignment horizontal="left"/>
    </xf>
    <xf numFmtId="0" fontId="30" fillId="0" borderId="25" xfId="0" applyFont="1" applyBorder="1" applyAlignment="1">
      <alignment horizontal="left"/>
    </xf>
    <xf numFmtId="0" fontId="30" fillId="0" borderId="30" xfId="0" applyFont="1" applyBorder="1" applyAlignment="1">
      <alignment horizontal="left"/>
    </xf>
    <xf numFmtId="0" fontId="30" fillId="0" borderId="31" xfId="0" applyFont="1" applyBorder="1" applyAlignment="1">
      <alignment horizontal="left"/>
    </xf>
    <xf numFmtId="0" fontId="39" fillId="0" borderId="0" xfId="30" applyFont="1" applyAlignment="1" applyProtection="1">
      <alignment horizontal="center" vertical="center"/>
    </xf>
    <xf numFmtId="0" fontId="35" fillId="0" borderId="0" xfId="30" applyFont="1" applyAlignment="1" applyProtection="1">
      <alignment vertical="center"/>
    </xf>
    <xf numFmtId="170" fontId="35" fillId="5" borderId="9" xfId="0" applyNumberFormat="1" applyFont="1" applyFill="1" applyBorder="1" applyAlignment="1" applyProtection="1">
      <alignment horizontal="center" vertical="center"/>
    </xf>
    <xf numFmtId="0" fontId="34" fillId="0" borderId="9" xfId="30" applyFont="1" applyBorder="1" applyAlignment="1" applyProtection="1">
      <alignment horizontal="center" vertical="center"/>
    </xf>
    <xf numFmtId="0" fontId="35" fillId="0" borderId="0" xfId="0" applyFont="1" applyAlignment="1" applyProtection="1">
      <alignment vertical="center"/>
    </xf>
    <xf numFmtId="0" fontId="61" fillId="28" borderId="9" xfId="0" applyFont="1" applyFill="1" applyBorder="1" applyAlignment="1" applyProtection="1">
      <alignment vertical="center" wrapText="1"/>
    </xf>
    <xf numFmtId="0" fontId="61" fillId="28" borderId="10" xfId="0" applyFont="1" applyFill="1" applyBorder="1" applyAlignment="1" applyProtection="1">
      <alignment horizontal="center" vertical="center" wrapText="1"/>
    </xf>
    <xf numFmtId="0" fontId="61" fillId="28" borderId="12" xfId="0" applyFont="1" applyFill="1" applyBorder="1" applyAlignment="1" applyProtection="1">
      <alignment horizontal="center" vertical="center" wrapText="1"/>
    </xf>
    <xf numFmtId="0" fontId="61" fillId="28" borderId="13" xfId="0" applyFont="1" applyFill="1" applyBorder="1" applyAlignment="1" applyProtection="1">
      <alignment horizontal="center" vertical="center" wrapText="1"/>
    </xf>
    <xf numFmtId="0" fontId="61" fillId="28" borderId="7" xfId="0" applyFont="1" applyFill="1" applyBorder="1" applyAlignment="1" applyProtection="1">
      <alignment horizontal="left" vertical="center" wrapText="1"/>
    </xf>
    <xf numFmtId="0" fontId="61" fillId="28" borderId="14" xfId="0" applyFont="1" applyFill="1" applyBorder="1" applyAlignment="1" applyProtection="1">
      <alignment horizontal="left" vertical="center" wrapText="1"/>
    </xf>
    <xf numFmtId="0" fontId="61" fillId="28" borderId="9" xfId="0" applyFont="1" applyFill="1" applyBorder="1" applyAlignment="1" applyProtection="1">
      <alignment horizontal="center" vertical="center" wrapText="1"/>
    </xf>
    <xf numFmtId="0" fontId="35" fillId="0" borderId="0" xfId="0" applyFont="1" applyAlignment="1" applyProtection="1">
      <alignment vertical="center" wrapText="1"/>
    </xf>
    <xf numFmtId="9" fontId="35" fillId="0" borderId="7" xfId="0" applyNumberFormat="1" applyFont="1" applyBorder="1" applyAlignment="1" applyProtection="1">
      <alignment horizontal="left" vertical="center" wrapText="1"/>
    </xf>
    <xf numFmtId="9" fontId="35" fillId="0" borderId="14" xfId="0" applyNumberFormat="1" applyFont="1" applyBorder="1" applyAlignment="1" applyProtection="1">
      <alignment horizontal="left" vertical="center" wrapText="1"/>
    </xf>
    <xf numFmtId="173" fontId="35" fillId="0" borderId="9" xfId="0" applyNumberFormat="1" applyFont="1" applyBorder="1" applyAlignment="1" applyProtection="1">
      <alignment vertical="center"/>
    </xf>
    <xf numFmtId="0" fontId="35" fillId="0" borderId="9" xfId="0" applyFont="1" applyBorder="1" applyAlignment="1" applyProtection="1">
      <alignment vertical="center"/>
    </xf>
    <xf numFmtId="0" fontId="35" fillId="0" borderId="7" xfId="0" applyFont="1" applyBorder="1" applyAlignment="1" applyProtection="1">
      <alignment horizontal="left" vertical="center"/>
    </xf>
    <xf numFmtId="0" fontId="35" fillId="0" borderId="14" xfId="0" applyFont="1" applyBorder="1" applyAlignment="1" applyProtection="1">
      <alignment horizontal="left" vertical="center"/>
    </xf>
    <xf numFmtId="9" fontId="35" fillId="0" borderId="7" xfId="0" applyNumberFormat="1" applyFont="1" applyBorder="1" applyAlignment="1" applyProtection="1">
      <alignment horizontal="left" vertical="center"/>
    </xf>
    <xf numFmtId="9" fontId="35" fillId="0" borderId="4" xfId="0" applyNumberFormat="1" applyFont="1" applyBorder="1" applyAlignment="1" applyProtection="1">
      <alignment horizontal="left" vertical="center"/>
    </xf>
    <xf numFmtId="9" fontId="35" fillId="0" borderId="14" xfId="0" applyNumberFormat="1" applyFont="1" applyBorder="1" applyAlignment="1" applyProtection="1">
      <alignment horizontal="left" vertical="center"/>
    </xf>
    <xf numFmtId="10" fontId="35" fillId="0" borderId="9" xfId="0" applyNumberFormat="1" applyFont="1" applyBorder="1" applyAlignment="1" applyProtection="1">
      <alignment horizontal="center" vertical="center"/>
    </xf>
    <xf numFmtId="9" fontId="35" fillId="0" borderId="9" xfId="0" applyNumberFormat="1" applyFont="1" applyBorder="1" applyAlignment="1" applyProtection="1">
      <alignment vertical="center"/>
    </xf>
    <xf numFmtId="0" fontId="41" fillId="11" borderId="9" xfId="0" applyFont="1" applyFill="1" applyBorder="1" applyAlignment="1" applyProtection="1">
      <alignment horizontal="center" vertical="center"/>
    </xf>
    <xf numFmtId="170" fontId="29" fillId="11" borderId="9" xfId="0" applyNumberFormat="1" applyFont="1" applyFill="1" applyBorder="1" applyAlignment="1" applyProtection="1">
      <alignment horizontal="center" vertical="center"/>
    </xf>
    <xf numFmtId="172" fontId="29" fillId="11" borderId="9" xfId="31" applyNumberFormat="1" applyFont="1" applyFill="1" applyBorder="1" applyAlignment="1" applyProtection="1">
      <alignment horizontal="left" vertical="center"/>
    </xf>
    <xf numFmtId="10" fontId="35" fillId="0" borderId="9" xfId="0" applyNumberFormat="1" applyFont="1" applyBorder="1" applyAlignment="1" applyProtection="1">
      <alignment vertical="center"/>
    </xf>
    <xf numFmtId="0" fontId="42" fillId="0" borderId="0" xfId="0" applyFont="1" applyAlignment="1" applyProtection="1">
      <alignment vertical="center"/>
    </xf>
    <xf numFmtId="0" fontId="34" fillId="0" borderId="0" xfId="0" applyFont="1" applyAlignment="1" applyProtection="1">
      <alignment horizontal="center" vertical="center"/>
    </xf>
    <xf numFmtId="170" fontId="35" fillId="0" borderId="0" xfId="0" applyNumberFormat="1" applyFont="1" applyAlignment="1" applyProtection="1">
      <alignment vertical="center"/>
    </xf>
    <xf numFmtId="0" fontId="61" fillId="28" borderId="4" xfId="0" applyFont="1" applyFill="1" applyBorder="1" applyAlignment="1" applyProtection="1">
      <alignment horizontal="left" vertical="center" wrapText="1"/>
    </xf>
    <xf numFmtId="170" fontId="61" fillId="28" borderId="9" xfId="0" applyNumberFormat="1" applyFont="1" applyFill="1" applyBorder="1" applyAlignment="1" applyProtection="1">
      <alignment horizontal="center" vertical="center" wrapText="1"/>
    </xf>
    <xf numFmtId="0" fontId="62" fillId="28" borderId="9" xfId="0" applyFont="1" applyFill="1" applyBorder="1" applyAlignment="1" applyProtection="1">
      <alignment horizontal="center" vertical="center" wrapText="1"/>
    </xf>
    <xf numFmtId="0" fontId="35" fillId="0" borderId="9" xfId="0" applyFont="1" applyBorder="1" applyAlignment="1" applyProtection="1">
      <alignment horizontal="left" vertical="center"/>
    </xf>
    <xf numFmtId="0" fontId="35" fillId="0" borderId="9" xfId="0" applyFont="1" applyBorder="1" applyAlignment="1" applyProtection="1">
      <alignment vertical="center"/>
    </xf>
    <xf numFmtId="172" fontId="35" fillId="0" borderId="9" xfId="31" applyNumberFormat="1" applyFont="1" applyBorder="1" applyAlignment="1" applyProtection="1">
      <alignment horizontal="left" vertical="center"/>
    </xf>
    <xf numFmtId="182" fontId="35" fillId="0" borderId="9" xfId="0" applyNumberFormat="1" applyFont="1" applyBorder="1" applyAlignment="1" applyProtection="1">
      <alignment vertical="center"/>
    </xf>
    <xf numFmtId="10" fontId="35" fillId="0" borderId="9" xfId="44" applyNumberFormat="1" applyFont="1" applyBorder="1" applyAlignment="1" applyProtection="1">
      <alignment vertical="center"/>
    </xf>
    <xf numFmtId="172" fontId="29" fillId="11" borderId="9" xfId="2" applyNumberFormat="1" applyFont="1" applyFill="1" applyBorder="1" applyAlignment="1" applyProtection="1">
      <alignment horizontal="left" vertical="center"/>
    </xf>
    <xf numFmtId="170" fontId="35" fillId="0" borderId="0" xfId="0" applyNumberFormat="1" applyFont="1" applyAlignment="1" applyProtection="1">
      <alignment horizontal="center" vertical="center"/>
    </xf>
    <xf numFmtId="166" fontId="35" fillId="0" borderId="0" xfId="0" applyNumberFormat="1" applyFont="1" applyAlignment="1" applyProtection="1">
      <alignment horizontal="left" vertical="center"/>
    </xf>
    <xf numFmtId="170" fontId="35" fillId="0" borderId="9" xfId="0" applyNumberFormat="1" applyFont="1" applyBorder="1" applyAlignment="1" applyProtection="1">
      <alignment horizontal="center" vertical="center"/>
    </xf>
    <xf numFmtId="171" fontId="35" fillId="0" borderId="9" xfId="0" applyNumberFormat="1" applyFont="1" applyBorder="1" applyAlignment="1" applyProtection="1">
      <alignment vertical="center"/>
    </xf>
    <xf numFmtId="0" fontId="35" fillId="0" borderId="4" xfId="0" applyFont="1" applyBorder="1" applyAlignment="1" applyProtection="1">
      <alignment horizontal="left" vertical="center"/>
    </xf>
    <xf numFmtId="171" fontId="35" fillId="0" borderId="9" xfId="2" applyFont="1" applyBorder="1" applyAlignment="1" applyProtection="1">
      <alignment horizontal="left" vertical="center"/>
    </xf>
    <xf numFmtId="0" fontId="35" fillId="0" borderId="0" xfId="0" applyFont="1" applyAlignment="1" applyProtection="1">
      <alignment horizontal="center" vertical="center"/>
    </xf>
    <xf numFmtId="172" fontId="35" fillId="0" borderId="0" xfId="31" applyNumberFormat="1" applyFont="1" applyAlignment="1" applyProtection="1">
      <alignment horizontal="left" vertical="center"/>
    </xf>
    <xf numFmtId="170" fontId="35" fillId="0" borderId="9" xfId="44" applyNumberFormat="1" applyFont="1" applyFill="1" applyBorder="1" applyAlignment="1" applyProtection="1">
      <alignment horizontal="center" vertical="center"/>
    </xf>
    <xf numFmtId="171" fontId="29" fillId="11" borderId="9" xfId="2" applyFont="1" applyFill="1" applyBorder="1" applyAlignment="1" applyProtection="1">
      <alignment horizontal="left" vertical="center"/>
    </xf>
    <xf numFmtId="171" fontId="35" fillId="0" borderId="0" xfId="2" applyFont="1" applyAlignment="1" applyProtection="1">
      <alignment horizontal="left" vertical="center"/>
    </xf>
    <xf numFmtId="0" fontId="41" fillId="11" borderId="7" xfId="0" applyFont="1" applyFill="1" applyBorder="1" applyAlignment="1" applyProtection="1">
      <alignment horizontal="left" vertical="center"/>
    </xf>
    <xf numFmtId="0" fontId="41" fillId="11" borderId="4" xfId="0" applyFont="1" applyFill="1" applyBorder="1" applyAlignment="1" applyProtection="1">
      <alignment horizontal="left" vertical="center"/>
    </xf>
    <xf numFmtId="0" fontId="41" fillId="11" borderId="14" xfId="0" applyFont="1" applyFill="1" applyBorder="1" applyAlignment="1" applyProtection="1">
      <alignment horizontal="left" vertical="center"/>
    </xf>
    <xf numFmtId="173" fontId="41" fillId="11" borderId="9" xfId="0" applyNumberFormat="1" applyFont="1" applyFill="1" applyBorder="1" applyAlignment="1" applyProtection="1">
      <alignment vertical="center"/>
    </xf>
    <xf numFmtId="173" fontId="35" fillId="0" borderId="0" xfId="0" applyNumberFormat="1" applyFont="1" applyAlignment="1" applyProtection="1">
      <alignment vertical="center"/>
    </xf>
    <xf numFmtId="0" fontId="61" fillId="28" borderId="7" xfId="0" applyFont="1" applyFill="1" applyBorder="1" applyAlignment="1" applyProtection="1">
      <alignment vertical="center" wrapText="1"/>
    </xf>
    <xf numFmtId="0" fontId="61" fillId="28" borderId="4" xfId="0" applyFont="1" applyFill="1" applyBorder="1" applyAlignment="1" applyProtection="1">
      <alignment vertical="center" wrapText="1"/>
    </xf>
    <xf numFmtId="10" fontId="61" fillId="28" borderId="9" xfId="0" applyNumberFormat="1" applyFont="1" applyFill="1" applyBorder="1" applyAlignment="1" applyProtection="1">
      <alignment horizontal="center" vertical="center" wrapText="1"/>
    </xf>
    <xf numFmtId="9" fontId="35" fillId="0" borderId="9" xfId="0" applyNumberFormat="1" applyFont="1" applyBorder="1" applyAlignment="1" applyProtection="1">
      <alignment horizontal="center" vertical="center"/>
    </xf>
    <xf numFmtId="173" fontId="35" fillId="0" borderId="9" xfId="2" applyNumberFormat="1" applyFont="1" applyBorder="1" applyAlignment="1" applyProtection="1">
      <alignment horizontal="left" vertical="center"/>
    </xf>
    <xf numFmtId="0" fontId="35" fillId="0" borderId="9" xfId="0" applyFont="1" applyBorder="1" applyAlignment="1" applyProtection="1">
      <alignment horizontal="left" vertical="center"/>
    </xf>
    <xf numFmtId="10" fontId="35" fillId="5" borderId="7" xfId="0" applyNumberFormat="1" applyFont="1" applyFill="1" applyBorder="1" applyAlignment="1" applyProtection="1">
      <alignment horizontal="left" vertical="center"/>
      <protection locked="0" hidden="1"/>
    </xf>
    <xf numFmtId="10" fontId="35" fillId="5" borderId="14" xfId="0" applyNumberFormat="1" applyFont="1" applyFill="1" applyBorder="1" applyAlignment="1" applyProtection="1">
      <alignment horizontal="left" vertical="center"/>
      <protection locked="0" hidden="1"/>
    </xf>
    <xf numFmtId="164" fontId="35" fillId="5" borderId="9" xfId="0" applyNumberFormat="1" applyFont="1" applyFill="1" applyBorder="1" applyAlignment="1" applyProtection="1">
      <alignment horizontal="left" vertical="center"/>
      <protection locked="0" hidden="1"/>
    </xf>
    <xf numFmtId="10" fontId="35" fillId="5" borderId="9" xfId="0" applyNumberFormat="1" applyFont="1" applyFill="1" applyBorder="1" applyAlignment="1" applyProtection="1">
      <alignment horizontal="center" vertical="center"/>
      <protection locked="0" hidden="1"/>
    </xf>
    <xf numFmtId="170" fontId="35" fillId="5" borderId="9" xfId="0" applyNumberFormat="1" applyFont="1" applyFill="1" applyBorder="1" applyAlignment="1" applyProtection="1">
      <alignment horizontal="center" vertical="center"/>
      <protection locked="0" hidden="1"/>
    </xf>
    <xf numFmtId="10" fontId="35" fillId="5" borderId="4" xfId="0" applyNumberFormat="1" applyFont="1" applyFill="1" applyBorder="1" applyAlignment="1" applyProtection="1">
      <alignment horizontal="left" vertical="center"/>
      <protection locked="0" hidden="1"/>
    </xf>
    <xf numFmtId="44" fontId="35" fillId="5" borderId="9" xfId="48" applyFont="1" applyFill="1" applyBorder="1" applyAlignment="1" applyProtection="1">
      <alignment horizontal="center" vertical="center"/>
      <protection locked="0" hidden="1"/>
    </xf>
    <xf numFmtId="183" fontId="34" fillId="5" borderId="20" xfId="38" applyNumberFormat="1" applyFont="1" applyFill="1" applyBorder="1" applyAlignment="1" applyProtection="1">
      <alignment horizontal="center" vertical="center"/>
      <protection locked="0" hidden="1"/>
    </xf>
    <xf numFmtId="1" fontId="34" fillId="5" borderId="0" xfId="0" applyNumberFormat="1" applyFont="1" applyFill="1" applyAlignment="1" applyProtection="1">
      <alignment horizontal="center" vertical="center"/>
      <protection locked="0" hidden="1"/>
    </xf>
    <xf numFmtId="9" fontId="34" fillId="5" borderId="0" xfId="44" applyFont="1" applyFill="1" applyAlignment="1" applyProtection="1">
      <alignment horizontal="center" vertical="center"/>
      <protection locked="0" hidden="1"/>
    </xf>
    <xf numFmtId="9" fontId="34" fillId="5" borderId="0" xfId="38" applyFont="1" applyFill="1" applyAlignment="1" applyProtection="1">
      <alignment horizontal="center" vertical="center"/>
      <protection locked="0" hidden="1"/>
    </xf>
    <xf numFmtId="164" fontId="29" fillId="5" borderId="0" xfId="0" applyNumberFormat="1" applyFont="1" applyFill="1" applyAlignment="1" applyProtection="1">
      <alignment horizontal="center" vertical="center"/>
      <protection locked="0" hidden="1"/>
    </xf>
    <xf numFmtId="0" fontId="29" fillId="5" borderId="0" xfId="0" applyFont="1" applyFill="1" applyAlignment="1" applyProtection="1">
      <alignment horizontal="center" vertical="center"/>
      <protection locked="0" hidden="1"/>
    </xf>
    <xf numFmtId="0" fontId="35" fillId="5" borderId="0" xfId="0" applyFont="1" applyFill="1" applyAlignment="1" applyProtection="1">
      <alignment horizontal="center" vertical="center"/>
      <protection locked="0" hidden="1"/>
    </xf>
    <xf numFmtId="0" fontId="39" fillId="0" borderId="6" xfId="30" applyFont="1" applyBorder="1" applyAlignment="1" applyProtection="1">
      <alignment horizontal="center" vertical="center"/>
    </xf>
    <xf numFmtId="170" fontId="34" fillId="5" borderId="7" xfId="0" applyNumberFormat="1" applyFont="1" applyFill="1" applyBorder="1" applyAlignment="1" applyProtection="1">
      <alignment horizontal="center" vertical="center"/>
    </xf>
    <xf numFmtId="170" fontId="34" fillId="5" borderId="4" xfId="0" applyNumberFormat="1" applyFont="1" applyFill="1" applyBorder="1" applyAlignment="1" applyProtection="1">
      <alignment horizontal="center" vertical="center"/>
    </xf>
    <xf numFmtId="170" fontId="34" fillId="5" borderId="14" xfId="0" applyNumberFormat="1" applyFont="1" applyFill="1" applyBorder="1" applyAlignment="1" applyProtection="1">
      <alignment horizontal="center" vertical="center"/>
    </xf>
    <xf numFmtId="4" fontId="35" fillId="0" borderId="0" xfId="0" applyNumberFormat="1" applyFont="1" applyAlignment="1" applyProtection="1">
      <alignment horizontal="center" vertical="center"/>
    </xf>
    <xf numFmtId="164" fontId="35" fillId="0" borderId="0" xfId="8" applyFont="1" applyAlignment="1" applyProtection="1">
      <alignment horizontal="right" vertical="center"/>
    </xf>
    <xf numFmtId="164" fontId="35" fillId="0" borderId="0" xfId="8" applyFont="1" applyAlignment="1" applyProtection="1">
      <alignment vertical="center"/>
    </xf>
    <xf numFmtId="3" fontId="35" fillId="0" borderId="0" xfId="0" applyNumberFormat="1" applyFont="1" applyAlignment="1" applyProtection="1">
      <alignment horizontal="center" vertical="center"/>
    </xf>
    <xf numFmtId="2" fontId="53" fillId="0" borderId="0" xfId="0" applyNumberFormat="1" applyFont="1" applyAlignment="1" applyProtection="1">
      <alignment horizontal="left" vertical="center"/>
    </xf>
    <xf numFmtId="2" fontId="53" fillId="0" borderId="0" xfId="0" applyNumberFormat="1" applyFont="1" applyAlignment="1" applyProtection="1">
      <alignment horizontal="right" vertical="center"/>
    </xf>
    <xf numFmtId="4" fontId="35" fillId="0" borderId="0" xfId="0" applyNumberFormat="1" applyFont="1" applyAlignment="1" applyProtection="1">
      <alignment vertical="center"/>
    </xf>
    <xf numFmtId="4" fontId="35" fillId="0" borderId="9" xfId="0" applyNumberFormat="1" applyFont="1" applyBorder="1" applyAlignment="1" applyProtection="1">
      <alignment horizontal="center" vertical="center"/>
    </xf>
    <xf numFmtId="0" fontId="40" fillId="29" borderId="0" xfId="0" applyFont="1" applyFill="1" applyAlignment="1" applyProtection="1">
      <alignment horizontal="center" vertical="center" wrapText="1"/>
    </xf>
    <xf numFmtId="0" fontId="40" fillId="29" borderId="0" xfId="0" applyFont="1" applyFill="1" applyAlignment="1" applyProtection="1">
      <alignment vertical="center" wrapText="1"/>
    </xf>
    <xf numFmtId="164" fontId="40" fillId="29" borderId="0" xfId="0" applyNumberFormat="1" applyFont="1" applyFill="1" applyAlignment="1" applyProtection="1">
      <alignment horizontal="center" vertical="center" wrapText="1"/>
    </xf>
    <xf numFmtId="0" fontId="29" fillId="0" borderId="0" xfId="0" applyFont="1" applyAlignment="1" applyProtection="1">
      <alignment horizontal="center" vertical="center"/>
    </xf>
    <xf numFmtId="0" fontId="35" fillId="0" borderId="0" xfId="0" applyFont="1" applyAlignment="1" applyProtection="1">
      <alignment horizontal="left" vertical="center"/>
    </xf>
    <xf numFmtId="164" fontId="29" fillId="0" borderId="0" xfId="0" applyNumberFormat="1" applyFont="1" applyAlignment="1" applyProtection="1">
      <alignment horizontal="center" vertical="center"/>
    </xf>
    <xf numFmtId="0" fontId="29" fillId="0" borderId="0" xfId="0" applyFont="1" applyAlignment="1" applyProtection="1">
      <alignment horizontal="left" vertical="center"/>
    </xf>
    <xf numFmtId="44" fontId="29" fillId="0" borderId="0" xfId="0" applyNumberFormat="1" applyFont="1" applyAlignment="1" applyProtection="1">
      <alignment horizontal="left" vertical="center"/>
    </xf>
    <xf numFmtId="44" fontId="29" fillId="0" borderId="20" xfId="54" applyFont="1" applyFill="1" applyBorder="1" applyAlignment="1" applyProtection="1">
      <alignment horizontal="left" vertical="center"/>
    </xf>
    <xf numFmtId="44" fontId="29" fillId="0" borderId="35" xfId="54" applyFont="1" applyFill="1" applyBorder="1" applyAlignment="1" applyProtection="1">
      <alignment horizontal="left" vertical="center"/>
    </xf>
    <xf numFmtId="164" fontId="35" fillId="6" borderId="0" xfId="0" applyNumberFormat="1" applyFont="1" applyFill="1" applyAlignment="1" applyProtection="1">
      <alignment horizontal="center" vertical="center"/>
    </xf>
    <xf numFmtId="4" fontId="35" fillId="0" borderId="0" xfId="0" applyNumberFormat="1" applyFont="1" applyAlignment="1" applyProtection="1">
      <alignment horizontal="right" vertical="center"/>
    </xf>
    <xf numFmtId="4" fontId="40" fillId="29" borderId="0" xfId="0" applyNumberFormat="1" applyFont="1" applyFill="1" applyAlignment="1" applyProtection="1">
      <alignment horizontal="center" vertical="center" wrapText="1"/>
    </xf>
    <xf numFmtId="173" fontId="40" fillId="29" borderId="0" xfId="40" applyNumberFormat="1" applyFont="1" applyFill="1" applyBorder="1" applyAlignment="1" applyProtection="1">
      <alignment horizontal="center" vertical="center" wrapText="1"/>
    </xf>
    <xf numFmtId="0" fontId="35" fillId="0" borderId="0" xfId="0" applyFont="1" applyAlignment="1" applyProtection="1">
      <alignment horizontal="center" vertical="center" wrapText="1"/>
    </xf>
    <xf numFmtId="1" fontId="29" fillId="0" borderId="0" xfId="0" applyNumberFormat="1" applyFont="1" applyAlignment="1" applyProtection="1">
      <alignment horizontal="center" vertical="center"/>
    </xf>
    <xf numFmtId="4" fontId="30" fillId="0" borderId="0" xfId="0" applyNumberFormat="1" applyFont="1" applyAlignment="1" applyProtection="1">
      <alignment vertical="center"/>
    </xf>
    <xf numFmtId="3" fontId="29" fillId="0" borderId="0" xfId="58" applyNumberFormat="1" applyFont="1" applyAlignment="1" applyProtection="1">
      <alignment horizontal="center" vertical="center"/>
    </xf>
    <xf numFmtId="173" fontId="29" fillId="0" borderId="0" xfId="0" applyNumberFormat="1" applyFont="1" applyAlignment="1" applyProtection="1">
      <alignment horizontal="center" vertical="center"/>
    </xf>
    <xf numFmtId="187" fontId="29" fillId="0" borderId="0" xfId="0" applyNumberFormat="1" applyFont="1" applyAlignment="1" applyProtection="1">
      <alignment horizontal="center" vertical="center"/>
    </xf>
    <xf numFmtId="0" fontId="29" fillId="10" borderId="0" xfId="0" applyFont="1" applyFill="1" applyAlignment="1" applyProtection="1">
      <alignment horizontal="center" vertical="center"/>
    </xf>
    <xf numFmtId="0" fontId="29" fillId="10" borderId="0" xfId="0" applyFont="1" applyFill="1" applyAlignment="1" applyProtection="1">
      <alignment horizontal="left" vertical="center"/>
    </xf>
    <xf numFmtId="0" fontId="29" fillId="10" borderId="0" xfId="0" applyFont="1" applyFill="1" applyAlignment="1" applyProtection="1">
      <alignment vertical="center"/>
    </xf>
    <xf numFmtId="0" fontId="29" fillId="10" borderId="0" xfId="0" applyFont="1" applyFill="1" applyAlignment="1" applyProtection="1">
      <alignment horizontal="right" vertical="center"/>
    </xf>
    <xf numFmtId="173" fontId="29" fillId="10" borderId="0" xfId="0" applyNumberFormat="1" applyFont="1" applyFill="1" applyAlignment="1" applyProtection="1">
      <alignment horizontal="center" vertical="center"/>
    </xf>
    <xf numFmtId="187" fontId="35" fillId="10" borderId="0" xfId="0" applyNumberFormat="1" applyFont="1" applyFill="1" applyProtection="1"/>
    <xf numFmtId="0" fontId="34" fillId="0" borderId="0" xfId="0" applyFont="1" applyAlignment="1" applyProtection="1">
      <alignment vertical="center"/>
    </xf>
    <xf numFmtId="3" fontId="35" fillId="0" borderId="0" xfId="8" applyNumberFormat="1" applyFont="1" applyAlignment="1" applyProtection="1">
      <alignment vertical="center"/>
    </xf>
    <xf numFmtId="169" fontId="35" fillId="0" borderId="0" xfId="0" applyNumberFormat="1" applyFont="1" applyAlignment="1" applyProtection="1">
      <alignment vertical="center"/>
    </xf>
    <xf numFmtId="0" fontId="35" fillId="0" borderId="0" xfId="0" applyFont="1" applyAlignment="1" applyProtection="1">
      <alignment horizontal="right" vertical="center"/>
    </xf>
    <xf numFmtId="0" fontId="35" fillId="30" borderId="0" xfId="0" applyFont="1" applyFill="1" applyAlignment="1" applyProtection="1">
      <alignment horizontal="center" vertical="center"/>
      <protection locked="0" hidden="1"/>
    </xf>
    <xf numFmtId="49" fontId="35" fillId="26" borderId="7" xfId="0" applyNumberFormat="1" applyFont="1" applyFill="1" applyBorder="1" applyAlignment="1" applyProtection="1">
      <alignment horizontal="center" vertical="center"/>
      <protection locked="0" hidden="1"/>
    </xf>
    <xf numFmtId="49" fontId="35" fillId="26" borderId="14" xfId="0" applyNumberFormat="1" applyFont="1" applyFill="1" applyBorder="1" applyAlignment="1" applyProtection="1">
      <alignment horizontal="center" vertical="center"/>
      <protection locked="0" hidden="1"/>
    </xf>
    <xf numFmtId="49" fontId="35" fillId="27" borderId="7" xfId="0" applyNumberFormat="1" applyFont="1" applyFill="1" applyBorder="1" applyAlignment="1" applyProtection="1">
      <alignment horizontal="center" vertical="center"/>
      <protection locked="0" hidden="1"/>
    </xf>
    <xf numFmtId="49" fontId="35" fillId="27" borderId="14" xfId="0" applyNumberFormat="1" applyFont="1" applyFill="1" applyBorder="1" applyAlignment="1" applyProtection="1">
      <alignment horizontal="center" vertical="center"/>
      <protection locked="0" hidden="1"/>
    </xf>
    <xf numFmtId="49" fontId="35" fillId="26" borderId="4" xfId="0" applyNumberFormat="1" applyFont="1" applyFill="1" applyBorder="1" applyAlignment="1" applyProtection="1">
      <alignment horizontal="center" vertical="center"/>
      <protection locked="0" hidden="1"/>
    </xf>
    <xf numFmtId="49" fontId="35" fillId="27" borderId="4" xfId="0" applyNumberFormat="1" applyFont="1" applyFill="1" applyBorder="1" applyAlignment="1" applyProtection="1">
      <alignment horizontal="center" vertical="center"/>
      <protection locked="0" hidden="1"/>
    </xf>
    <xf numFmtId="0" fontId="35" fillId="27" borderId="7" xfId="0" applyFont="1" applyFill="1" applyBorder="1" applyAlignment="1" applyProtection="1">
      <alignment horizontal="center" vertical="center"/>
      <protection locked="0" hidden="1"/>
    </xf>
    <xf numFmtId="0" fontId="35" fillId="27" borderId="4" xfId="0" applyFont="1" applyFill="1" applyBorder="1" applyAlignment="1" applyProtection="1">
      <alignment horizontal="center" vertical="center"/>
      <protection locked="0" hidden="1"/>
    </xf>
    <xf numFmtId="0" fontId="35" fillId="27" borderId="14" xfId="0" applyFont="1" applyFill="1" applyBorder="1" applyAlignment="1" applyProtection="1">
      <alignment horizontal="center" vertical="center"/>
      <protection locked="0" hidden="1"/>
    </xf>
    <xf numFmtId="173" fontId="35" fillId="5" borderId="0" xfId="0" applyNumberFormat="1" applyFont="1" applyFill="1" applyAlignment="1" applyProtection="1">
      <alignment vertical="center"/>
      <protection locked="0" hidden="1"/>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16">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strike val="0"/>
        <outline val="0"/>
        <shadow val="0"/>
        <u val="none"/>
        <sz val="9"/>
        <name val="Aptos"/>
        <family val="2"/>
        <scheme val="none"/>
      </font>
    </dxf>
    <dxf>
      <font>
        <strike val="0"/>
        <outline val="0"/>
        <shadow val="0"/>
        <u val="none"/>
        <sz val="9"/>
        <name val="Aptos"/>
        <family val="2"/>
        <scheme val="none"/>
      </font>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protection locked="1" hidden="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87" formatCode="#.##000"/>
      <fill>
        <patternFill patternType="solid">
          <fgColor theme="4" tint="0.59999389629810485"/>
          <bgColor theme="0" tint="-0.249977111117893"/>
        </patternFill>
      </fill>
      <protection locked="1" hidden="0"/>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strike val="0"/>
        <outline val="0"/>
        <shadow val="0"/>
        <vertAlign val="baseline"/>
        <sz val="9"/>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sz val="9"/>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15" dataDxfId="313" headerRowBorderDxfId="314" tableBorderDxfId="312" totalsRowBorderDxfId="311">
  <autoFilter ref="A3:Y1101" xr:uid="{EFA13895-E364-4C8A-AA8D-12C726A7AC31}"/>
  <tableColumns count="25">
    <tableColumn id="1" xr3:uid="{6B145318-7F04-4B27-80E3-EDDB80D8AA5F}" name="Code" dataDxfId="310"/>
    <tableColumn id="2" xr3:uid="{A3A88513-89B7-4FB7-9DB5-CF77936D6328}" name="Locatie" dataDxfId="309"/>
    <tableColumn id="3" xr3:uid="{962D7CAE-D138-4226-9114-7A665E66FE09}" name="Frequentie" dataDxfId="308"/>
    <tableColumn id="4" xr3:uid="{02A05A85-F557-4E8F-81CA-782514C3EB0B}" name="Frequentieomschrijving" dataDxfId="307"/>
    <tableColumn id="5" xr3:uid="{3D41A4F3-0BA0-4F3A-8059-E98FA4296AD9}" name="Vloercode" dataDxfId="306"/>
    <tableColumn id="6" xr3:uid="{9F60BC29-F803-467C-9E8A-B9FD3FAED5FC}" name="Code2" dataDxfId="305"/>
    <tableColumn id="7" xr3:uid="{624EFF30-884A-4A63-9192-06AA3C4453EA}" name="vl1" dataDxfId="304"/>
    <tableColumn id="8" xr3:uid="{C944B72C-E6D7-4E79-85F6-914704F2E65C}" name="vl2" dataDxfId="303"/>
    <tableColumn id="9" xr3:uid="{D65DE689-F9B8-430B-B34E-7DF95793D674}" name="vl3" dataDxfId="302"/>
    <tableColumn id="10" xr3:uid="{43A4B773-0F96-4280-9C3F-EAF80A14A709}" name="vl4" dataDxfId="301"/>
    <tableColumn id="11" xr3:uid="{380012B2-3312-431D-8946-41856C56FB2C}" name="vl5" dataDxfId="300"/>
    <tableColumn id="12" xr3:uid="{2B1C9BF4-8C96-4C73-984A-DE131A286832}" name="vl6" dataDxfId="299"/>
    <tableColumn id="13" xr3:uid="{B5514BB9-74E0-4ABE-9E20-CCE23D228131}" name="vl7" dataDxfId="298"/>
    <tableColumn id="14" xr3:uid="{F791ACCD-A47B-41ED-BECD-6641D8F9B18D}" name="vnl" dataDxfId="297"/>
    <tableColumn id="15" xr3:uid="{20BAF86F-0248-4538-95CC-65053CB39BEF}" name="i8" dataDxfId="296"/>
    <tableColumn id="16" xr3:uid="{678C2240-F553-40F8-8F75-1C080929C9FC}" name="i9" dataDxfId="295"/>
    <tableColumn id="17" xr3:uid="{C2F746AF-E6E8-4646-8431-CFDAE0006C0B}" name="i10" dataDxfId="294"/>
    <tableColumn id="18" xr3:uid="{87F5E1E5-AB4E-4E20-BA95-D8FB4BB75EC7}" name="i11" dataDxfId="293"/>
    <tableColumn id="19" xr3:uid="{9C49B827-4B78-47E3-AF74-E39A99170859}" name="i12" dataDxfId="292"/>
    <tableColumn id="20" xr3:uid="{52B1AE75-DD29-4ADA-956E-361F983699DB}" name="i13" dataDxfId="291"/>
    <tableColumn id="21" xr3:uid="{9EF47AA6-0AC0-40A4-BB2C-B58ABE40EEF2}" name="i14" dataDxfId="290"/>
    <tableColumn id="22" xr3:uid="{5E7A7D3D-FCD2-4FB4-BE26-536C0F75A359}" name="inl" dataDxfId="289"/>
    <tableColumn id="23" xr3:uid="{4FDE95B9-743A-4E1C-BBAB-5F5DE7DAE90F}" name="s15" dataDxfId="288"/>
    <tableColumn id="24" xr3:uid="{F08AC32D-BF76-4C5E-A2C7-ABF0B3ADEC32}" name="s16" dataDxfId="287"/>
    <tableColumn id="25" xr3:uid="{F5AC86BA-6517-4B7E-AA9D-85C454384A01}" name="snl" dataDxfId="286"/>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57" totalsRowCount="1" headerRowDxfId="162" dataDxfId="161" totalsRowDxfId="160">
  <autoFilter ref="A21:I56" xr:uid="{00000000-0009-0000-0100-000004000000}"/>
  <sortState xmlns:xlrd2="http://schemas.microsoft.com/office/spreadsheetml/2017/richdata2" ref="A22:G26">
    <sortCondition ref="A22:A26"/>
  </sortState>
  <tableColumns count="9">
    <tableColumn id="1" xr3:uid="{00000000-0010-0000-0600-000001000000}" name="Code Locatie" totalsRowLabel="Totaal" dataDxfId="84" totalsRowDxfId="83"/>
    <tableColumn id="2" xr3:uid="{00000000-0010-0000-0600-000002000000}" name="Locatie" dataDxfId="82" totalsRowDxfId="81">
      <calculatedColumnFormula>VLOOKUP(OverzichtGlas[[#This Row],[Code Locatie]],Totalisatie!$A$7:$B$13,2,FALSE)</calculatedColumnFormula>
    </tableColumn>
    <tableColumn id="3" xr3:uid="{00000000-0010-0000-0600-000003000000}" name="Code taak" dataDxfId="80" totalsRowDxfId="79"/>
    <tableColumn id="4" xr3:uid="{00000000-0010-0000-0600-000004000000}" name="Glassoort/voorziening" dataDxfId="78" totalsRowDxfId="77">
      <calculatedColumnFormula>IF(Glasbewassing!$C22&gt;0,VLOOKUP(Glasbewassing!$C22,$A$8:$B$19,2,FALSE),"Hier vult u de inzet van eventuele hoogwerkers in")</calculatedColumnFormula>
    </tableColumn>
    <tableColumn id="5" xr3:uid="{00000000-0010-0000-0600-000005000000}" name="Oppervlakte of dagen" dataDxfId="76" totalsRowDxfId="75"/>
    <tableColumn id="7" xr3:uid="{00000000-0010-0000-0600-000007000000}" name="Frequentie" dataDxfId="74" totalsRowDxfId="73"/>
    <tableColumn id="8" xr3:uid="{00000000-0010-0000-0600-000008000000}" name="Kosten/jaar excl. BTW" totalsRowFunction="sum" dataDxfId="72" totalsRowDxfId="71">
      <calculatedColumnFormula>IF(C22&gt;0,VLOOKUP(OverzichtGlas[[#This Row],[Code taak]],InvulGlas[],3,0)*E22*F22,0)</calculatedColumnFormula>
    </tableColumn>
    <tableColumn id="9" xr3:uid="{C6828B68-C5ED-4DD8-81B9-05DF00D6C1BD}" name="Kosten/jaar incl. BTW" totalsRowFunction="sum" dataDxfId="70" totalsRowDxfId="69">
      <calculatedColumnFormula>OverzichtGlas[[#This Row],[Kosten/jaar excl. BTW]]*1.21</calculatedColumnFormula>
    </tableColumn>
    <tableColumn id="10" xr3:uid="{281CE6AA-F18D-4D78-892B-498ACB4CB3F2}" name="Opmerking" dataDxfId="68" totalsRowDxfId="67"/>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0" totalsRowShown="0" headerRowDxfId="56" dataDxfId="55">
  <autoFilter ref="A8:I10" xr:uid="{A588C5F6-B106-46F9-B98B-C593A09DB2A3}"/>
  <tableColumns count="9">
    <tableColumn id="1" xr3:uid="{22B850F0-AE08-4CE3-9B2D-04E6314FD547}" name="Code Taak" dataDxfId="65"/>
    <tableColumn id="2" xr3:uid="{6412DB2E-0333-47D7-AB1A-EA797FE96A5D}" name="Werkzaamheden" dataDxfId="64"/>
    <tableColumn id="3" xr3:uid="{8AAD7C70-4047-4EB3-A9DF-188E4E2089BC}" name="Prijs_x000a_Excl. BTW" dataDxfId="63"/>
    <tableColumn id="4" xr3:uid="{1CA4AC32-87D6-4484-8912-27D47F4EAAF7}" name="Toelichting" dataDxfId="62"/>
    <tableColumn id="5" xr3:uid="{BE52F369-C5C3-4A71-8D70-B7E0ACF04F24}" name="2027" dataDxfId="61" dataCellStyle="Valuta">
      <calculatedColumnFormula>(Invulextrawerkz[[#This Row],[Prijs
Excl. BTW]]*Tariefsopbouw!$I$37)+Invulextrawerkz[[#This Row],[Prijs
Excl. BTW]]</calculatedColumnFormula>
    </tableColumn>
    <tableColumn id="6" xr3:uid="{046CD56D-41E8-4E69-876C-FF09421E56AF}" name="2028" dataDxfId="60" dataCellStyle="Valuta">
      <calculatedColumnFormula>Invulextrawerkz[[#This Row],[2027]]*Tariefsopbouw!$K$37+Invulextrawerkz[[#This Row],[2027]]</calculatedColumnFormula>
    </tableColumn>
    <tableColumn id="7" xr3:uid="{AF2B5E6B-A19D-4429-8D14-84B8E528B026}" name="2029" dataDxfId="59" dataCellStyle="Valuta">
      <calculatedColumnFormula>Invulextrawerkz[[#This Row],[2028]]*Tariefsopbouw!$M$37+Invulextrawerkz[[#This Row],[2028]]</calculatedColumnFormula>
    </tableColumn>
    <tableColumn id="8" xr3:uid="{69208AF1-447E-49EB-8803-78C4123AE3E9}" name="2030" dataDxfId="58" dataCellStyle="Valuta">
      <calculatedColumnFormula>Invulextrawerkz[[#This Row],[2029]]*Tariefsopbouw!$O$37+Invulextrawerkz[[#This Row],[2029]]</calculatedColumnFormula>
    </tableColumn>
    <tableColumn id="9" xr3:uid="{E25B61B0-84BE-4386-B6FA-D50084DDD0DC}" name="2031" dataDxfId="57" dataCellStyle="Valuta">
      <calculatedColumnFormula>Invulextrawerkz[[#This Row],[2030]]*Tariefsopbouw!$Q$37+Invulextrawerkz[[#This Row],[2030]]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2:I22" totalsRowCount="1" headerRowDxfId="36" dataDxfId="34" totalsRowDxfId="35">
  <autoFilter ref="A12:I21" xr:uid="{B3DABFDF-61AB-4C78-A962-F8CAE07529D2}"/>
  <tableColumns count="9">
    <tableColumn id="11" xr3:uid="{FED34620-6CE0-4955-8DDC-285BD6540A10}" name="Code Locatie" dataDxfId="54" totalsRowDxfId="53"/>
    <tableColumn id="1" xr3:uid="{38A9D2E6-7E84-4572-8661-1EA1E213D2FD}" name="Locatie" totalsRowLabel="Totaal" dataDxfId="52" totalsRowDxfId="51"/>
    <tableColumn id="3" xr3:uid="{65AA2A4E-FC38-4AA7-9EDE-EA1292669AD6}" name="Code Taak" dataDxfId="50" totalsRowDxfId="49"/>
    <tableColumn id="4" xr3:uid="{4538BE92-6D95-4430-BD90-4F27BD6C1025}" name="Werkzaamheden" dataDxfId="48" totalsRowDxfId="47">
      <calculatedColumnFormula>IF(#REF!&gt;0,VLOOKUP(#REF!,$A$8:$B$10,2,FALSE),"")</calculatedColumnFormula>
    </tableColumn>
    <tableColumn id="6" xr3:uid="{6B6E2754-DCC5-4C0C-89CF-D088B3C5F0F4}" name="Uren / eenheid" dataDxfId="46" totalsRowDxfId="45"/>
    <tableColumn id="8" xr3:uid="{4862230C-3525-4D32-9FDD-2ADF1DC2DED5}" name="Frequentie (uitv./jaar)" dataDxfId="44" totalsRowDxfId="43"/>
    <tableColumn id="9" xr3:uid="{3AF652DD-830E-4C84-ACC3-83DF08C65F3F}" name="Kosten/jaar excl. BTW" totalsRowFunction="sum" dataDxfId="42" totalsRowDxfId="41">
      <calculatedColumnFormula>VLOOKUP(Overzichtextrawerkz.[[#This Row],[Code Taak]],Invulextrawerkz[],3,3)*E13*F13</calculatedColumnFormula>
    </tableColumn>
    <tableColumn id="10" xr3:uid="{DD2F212C-5755-442B-B448-ACDA43EBEDAE}" name="Kosten/jaar incl. BTW" totalsRowFunction="sum" dataDxfId="40" totalsRowDxfId="39">
      <calculatedColumnFormula>Overzichtextrawerkz.[[#This Row],[Kosten/jaar excl. BTW]]*1.21</calculatedColumnFormula>
    </tableColumn>
    <tableColumn id="2" xr3:uid="{AE598ACE-A882-433C-B180-4AE7E4F91857}" name="Opmerking" dataDxfId="38" totalsRowDxfId="37"/>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4" totalsRowCount="1" headerRowDxfId="159" dataDxfId="157" totalsRowDxfId="155" headerRowBorderDxfId="158" tableBorderDxfId="156" headerRowCellStyle="Komma 2">
  <autoFilter ref="A6:F13" xr:uid="{00000000-0009-0000-0100-00000E000000}"/>
  <tableColumns count="6">
    <tableColumn id="8" xr3:uid="{00000000-0010-0000-0C00-000008000000}" name="Code Locatie" dataDxfId="33" totalsRowDxfId="32"/>
    <tableColumn id="1" xr3:uid="{00000000-0010-0000-0C00-000001000000}" name="Locatie" totalsRowLabel="Totaal" dataDxfId="31" totalsRowDxfId="30"/>
    <tableColumn id="2" xr3:uid="{00000000-0010-0000-0C00-000002000000}" name="Oppervlakte i/o" totalsRowFunction="sum" dataDxfId="29" totalsRowDxfId="28"/>
    <tableColumn id="4" xr3:uid="{00000000-0010-0000-0C00-000004000000}" name="Uren / jaar" totalsRowFunction="sum" dataDxfId="27" totalsRowDxfId="26"/>
    <tableColumn id="6" xr3:uid="{00000000-0010-0000-0C00-000006000000}" name="Kosten / jaar excl btw" totalsRowFunction="sum" dataDxfId="25" totalsRowDxfId="24"/>
    <tableColumn id="7" xr3:uid="{00000000-0010-0000-0C00-000007000000}" name="Kosten / m2" totalsRowFunction="custom" dataDxfId="23" totalsRowDxfId="22">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7:G25" totalsRowCount="1" headerRowDxfId="154" dataDxfId="152" totalsRowDxfId="150" headerRowBorderDxfId="153" tableBorderDxfId="151">
  <autoFilter ref="A17:G24" xr:uid="{00000000-0009-0000-0100-00000F000000}"/>
  <sortState xmlns:xlrd2="http://schemas.microsoft.com/office/spreadsheetml/2017/richdata2" ref="A18:G18">
    <sortCondition ref="C17:C18"/>
  </sortState>
  <tableColumns count="7">
    <tableColumn id="8" xr3:uid="{00000000-0010-0000-0D00-000008000000}" name="Code Locatie" dataDxfId="21" totalsRowDxfId="20"/>
    <tableColumn id="1" xr3:uid="{00000000-0010-0000-0D00-000001000000}" name="Locaties" totalsRowLabel="Totaal" dataDxfId="19" totalsRowDxfId="18">
      <calculatedColumnFormula>VLOOKUP(Totalisatie[[#This Row],[Code Locatie]],Locaties[],2,0)</calculatedColumnFormula>
    </tableColumn>
    <tableColumn id="4" xr3:uid="{00000000-0010-0000-0D00-000004000000}" name="Schoonmaakonderhoud_x000a_Kosten / jaar excl btw" totalsRowFunction="sum" dataDxfId="17" totalsRowDxfId="16">
      <calculatedColumnFormula>SUMIF(Ruimtestaat[#All],Totalisatie[[#This Row],[Code Locatie]],Ruimtestaat[[#All],[kosten / jaar excl btw]])</calculatedColumnFormula>
    </tableColumn>
    <tableColumn id="2" xr3:uid="{00000000-0010-0000-0D00-000002000000}" name="Vloeronderhoud_x000a_Kosten / jaar excl btw" totalsRowFunction="sum" dataDxfId="15" totalsRowDxfId="14">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13" totalsRowDxfId="12">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11" totalsRowDxfId="10">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9" totalsRowDxfId="8">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149" dataDxfId="148" totalsRowDxfId="147">
  <autoFilter ref="B8:I36" xr:uid="{00000000-0009-0000-0100-00000B000000}"/>
  <tableColumns count="8">
    <tableColumn id="1" xr3:uid="{00000000-0010-0000-0B00-000001000000}" name="Werkzaamheid" totalsRowLabel="Totaal" dataDxfId="7" totalsRowDxfId="146"/>
    <tableColumn id="2" xr3:uid="{00000000-0010-0000-0B00-000002000000}" name="Eenheid" dataDxfId="6" totalsRowDxfId="145"/>
    <tableColumn id="3" xr3:uid="{00000000-0010-0000-0B00-000003000000}" name="Prijs excl. BTW" dataDxfId="0" totalsRowDxfId="144"/>
    <tableColumn id="4" xr3:uid="{B5F01DB2-4194-4E64-82A1-AEC4321C7779}" name="2027" dataDxfId="5" totalsRowDxfId="143">
      <calculatedColumnFormula>InvulRegie[[#This Row],[Prijs excl. BTW]]*Tariefsopbouw!$I$37+InvulRegie[[#This Row],[Prijs excl. BTW]]</calculatedColumnFormula>
    </tableColumn>
    <tableColumn id="5" xr3:uid="{3CA4A34B-020A-4D0B-A261-3474E51BA7E6}" name="2028" dataDxfId="4" totalsRowDxfId="142">
      <calculatedColumnFormula>E9*Tariefsopbouw!$K$37+'Regie en afroep'!E9</calculatedColumnFormula>
    </tableColumn>
    <tableColumn id="6" xr3:uid="{6CBE86F5-5170-4A40-B371-21417313A914}" name="2029" dataDxfId="3" totalsRowDxfId="141">
      <calculatedColumnFormula>F9*Tariefsopbouw!$M$37+'Regie en afroep'!F9</calculatedColumnFormula>
    </tableColumn>
    <tableColumn id="7" xr3:uid="{68D3EF76-13B7-42F1-8D3C-5A86952C9A96}" name="2030" dataDxfId="2" totalsRowDxfId="140">
      <calculatedColumnFormula>G9*Tariefsopbouw!$O$37+'Regie en afroep'!G9</calculatedColumnFormula>
    </tableColumn>
    <tableColumn id="8" xr3:uid="{7810C1CA-1317-4B8A-BD57-8667183C1ECD}" name="2031" dataDxfId="1" totalsRowDxfId="139">
      <calculatedColumnFormula>H9*Tariefsopbouw!$Q$37+H9</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4:D34" totalsRowShown="0" headerRowDxfId="285" dataDxfId="284">
  <autoFilter ref="A14:D34" xr:uid="{00000000-0009-0000-0100-000006000000}"/>
  <tableColumns count="4">
    <tableColumn id="1" xr3:uid="{00000000-0010-0000-0000-000001000000}" name="Code" dataDxfId="137" dataCellStyle="Standaard 4"/>
    <tableColumn id="2" xr3:uid="{00000000-0010-0000-0000-000002000000}" name="Ruimte omschrijving" dataDxfId="136" dataCellStyle="Standaard 4"/>
    <tableColumn id="3" xr3:uid="{00000000-0010-0000-0000-000003000000}" name="Norm (5w)" dataDxfId="123"/>
    <tableColumn id="4" xr3:uid="{00000000-0010-0000-0000-000004000000}" name="Inspectiecategorie" dataDxfId="13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7:D42" totalsRowShown="0" headerRowDxfId="283" dataDxfId="282">
  <autoFilter ref="A37:D42" xr:uid="{00000000-0009-0000-0100-000007000000}"/>
  <tableColumns count="4">
    <tableColumn id="1" xr3:uid="{00000000-0010-0000-0100-000001000000}" name="Code" dataDxfId="134"/>
    <tableColumn id="4" xr3:uid="{00000000-0010-0000-0100-000004000000}" name="Naam" dataDxfId="133"/>
    <tableColumn id="5" xr3:uid="{00000000-0010-0000-0100-000005000000}" name="Aanpassing norm" dataDxfId="122" dataCellStyle="Procent 3"/>
    <tableColumn id="2" xr3:uid="{00000000-0010-0000-0100-000002000000}" name="Vloersoort omschrijving" dataDxfId="132"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5:D57" totalsRowShown="0" headerRowDxfId="281" dataDxfId="280">
  <autoFilter ref="A45:D57" xr:uid="{00000000-0009-0000-0100-000008000000}"/>
  <tableColumns count="4">
    <tableColumn id="1" xr3:uid="{00000000-0010-0000-0200-000001000000}" name="Code" dataDxfId="131" dataCellStyle="Standaard 4"/>
    <tableColumn id="2" xr3:uid="{00000000-0010-0000-0200-000002000000}" name="Frequentie omschrijving" dataDxfId="130" dataCellStyle="Standaard 4"/>
    <tableColumn id="3" xr3:uid="{00000000-0010-0000-0200-000003000000}" name="Aanpassing norm" dataDxfId="121" dataCellStyle="Procent"/>
    <tableColumn id="4" xr3:uid="{62B36348-2266-47E8-AF7C-A5085F351579}" name="Kolom1" dataDxfId="1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11" totalsRowShown="0" headerRowDxfId="279" dataDxfId="278">
  <autoFilter ref="A4:F11" xr:uid="{00000000-0009-0000-0100-00000D000000}"/>
  <tableColumns count="6">
    <tableColumn id="1" xr3:uid="{00000000-0010-0000-0300-000001000000}" name="Code" dataDxfId="128"/>
    <tableColumn id="2" xr3:uid="{00000000-0010-0000-0300-000002000000}" name="Locatie" dataDxfId="127"/>
    <tableColumn id="7" xr3:uid="{00000000-0010-0000-0300-000007000000}" name="Aanpassing norm" dataDxfId="120" dataCellStyle="Procent"/>
    <tableColumn id="3" xr3:uid="{00000000-0010-0000-0300-000003000000}" name="Adres" dataDxfId="126" dataCellStyle="Standaard 4"/>
    <tableColumn id="5" xr3:uid="{DA45991E-5E38-40DC-A1BE-D3770F949A13}" name="Postcode" dataDxfId="125" dataCellStyle="Standaard 4"/>
    <tableColumn id="4" xr3:uid="{00000000-0010-0000-0300-000004000000}" name="Plaats" dataDxfId="12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W363" totalsRowShown="0" headerRowDxfId="277" dataDxfId="276">
  <autoFilter ref="A4:BW363" xr:uid="{396E59E9-BF0A-4D12-8DDE-B051B0F3D5F7}"/>
  <tableColumns count="75">
    <tableColumn id="32" xr3:uid="{00000000-0010-0000-0400-000020000000}" name="Code" dataDxfId="275" totalsRowDxfId="274"/>
    <tableColumn id="3" xr3:uid="{00000000-0010-0000-0400-000003000000}" name="Naam" dataDxfId="273" totalsRowDxfId="272"/>
    <tableColumn id="4" xr3:uid="{70782354-32A9-4BC9-88AC-C4AB6869B8E9}" name="Adres" dataDxfId="271" totalsRowDxfId="270">
      <calculatedColumnFormula>VLOOKUP(Ruimtestaat[[#This Row],[Code]],Locaties[[#All],[Code]:[Adres]],4,FALSE)</calculatedColumnFormula>
    </tableColumn>
    <tableColumn id="79" xr3:uid="{E7B33814-4928-4AE9-A368-AE6E30B7DBF6}" name="Postcode" dataDxfId="269" totalsRowDxfId="268">
      <calculatedColumnFormula>VLOOKUP(Ruimtestaat[[#This Row],[Code]],Locaties[[#All],[Code]:[Postcode]],5,FALSE)</calculatedColumnFormula>
    </tableColumn>
    <tableColumn id="80" xr3:uid="{476650B5-E93B-45F9-BED3-2256EBFA7240}" name="Plaatsnaam" dataDxfId="267" totalsRowDxfId="266">
      <calculatedColumnFormula>VLOOKUP(Ruimtestaat[[#This Row],[Code]],Locaties[#All],6,FALSE)</calculatedColumnFormula>
    </tableColumn>
    <tableColumn id="2" xr3:uid="{00000000-0010-0000-0400-000002000000}" name="Gebouw gedeelte" dataDxfId="265" totalsRowDxfId="264"/>
    <tableColumn id="6" xr3:uid="{00000000-0010-0000-0400-000006000000}" name="Etage" dataDxfId="263" totalsRowDxfId="262"/>
    <tableColumn id="7" xr3:uid="{00000000-0010-0000-0400-000007000000}" name="Ruimte- _x000a_nummer" dataDxfId="261" totalsRowDxfId="260"/>
    <tableColumn id="8" xr3:uid="{00000000-0010-0000-0400-000008000000}" name="Ruimte omschrijving" dataDxfId="259" totalsRowDxfId="258"/>
    <tableColumn id="9" xr3:uid="{00000000-0010-0000-0400-000009000000}" name="Ruimte code" dataDxfId="257" totalsRowDxfId="256"/>
    <tableColumn id="10" xr3:uid="{00000000-0010-0000-0400-00000A000000}" name="Ruimtesoort" dataDxfId="255" totalsRowDxfId="254">
      <calculatedColumnFormula>VLOOKUP(Ruimtestaat[[#This Row],[Ruimte code]],Ruimtegroepen[[#All],[Code]:[Ruimte omschrijving]],2,FALSE)</calculatedColumnFormula>
    </tableColumn>
    <tableColumn id="11" xr3:uid="{00000000-0010-0000-0400-00000B000000}" name="Vloer code" dataDxfId="253" totalsRowDxfId="252"/>
    <tableColumn id="12" xr3:uid="{00000000-0010-0000-0400-00000C000000}" name="Vloer afwerking" dataDxfId="251" totalsRowDxfId="250"/>
    <tableColumn id="13" xr3:uid="{00000000-0010-0000-0400-00000D000000}" name="Oppervlak (netto)" dataDxfId="249" totalsRowDxfId="248"/>
    <tableColumn id="14" xr3:uid="{00000000-0010-0000-0400-00000E000000}" name="Oppervlakte n.i.o." dataDxfId="247"/>
    <tableColumn id="1" xr3:uid="{49F27561-3B8D-4A79-AB60-2C96ECBE0289}" name="Oppervlakte eigen dienst " dataDxfId="246"/>
    <tableColumn id="15" xr3:uid="{00000000-0010-0000-0400-00000F000000}" name="Inspectie categorie" dataDxfId="245" totalsRowDxfId="244">
      <calculatedColumnFormula>VLOOKUP(Ruimtestaat[[#This Row],[Ruimte code]],Ruimtegroepen[],4,FALSE)</calculatedColumnFormula>
    </tableColumn>
    <tableColumn id="17" xr3:uid="{00000000-0010-0000-0400-000011000000}" name="Aantal weken/jr" dataDxfId="243" totalsRowDxfId="242"/>
    <tableColumn id="18" xr3:uid="{00000000-0010-0000-0400-000012000000}" name="Frequentie werkdagen" dataDxfId="241" totalsRowDxfId="240"/>
    <tableColumn id="19" xr3:uid="{00000000-0010-0000-0400-000013000000}" name="Uitvoeringen werkdagen" dataDxfId="239" totalsRowDxfId="238">
      <calculatedColumnFormula>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37" totalsRowDxfId="236">
      <calculatedColumnFormula>IF(T5&gt;0,VLOOKUP($J5,Ruimtegroepen[],3,FALSE)*VLOOKUP($L5,Vloersoorten[],3,FALSE)*VLOOKUP($S5,Frequenties[],3,FALSE)*VLOOKUP($A5,Locaties[],3,FALSE),0)</calculatedColumnFormula>
    </tableColumn>
    <tableColumn id="21" xr3:uid="{00000000-0010-0000-0400-000015000000}" name="Prest. (m2 /jaar) werkdagen" dataDxfId="235" totalsRowDxfId="234">
      <calculatedColumnFormula>Ruimtestaat[[#This Row],[Uitvoeringen werkdagen]]*Ruimtestaat[[#This Row],[Oppervlak (netto)]]</calculatedColumnFormula>
    </tableColumn>
    <tableColumn id="22" xr3:uid="{00000000-0010-0000-0400-000016000000}" name="uren / jaar werkdagen" dataDxfId="233" totalsRowDxfId="232" dataCellStyle="Komma">
      <calculatedColumnFormula>IF(U5&gt;0,Ruimtestaat[[#This Row],[Prest. (m2 /jaar) werkdagen]]/Ruimtestaat[[#This Row],[Norm (m2/uur) werkdagen]],0)</calculatedColumnFormula>
    </tableColumn>
    <tableColumn id="23" xr3:uid="{00000000-0010-0000-0400-000017000000}" name="kosten / jaar werkdagen" dataDxfId="231" totalsRowDxfId="230" dataCellStyle="Valuta">
      <calculatedColumnFormula>Ruimtestaat[[#This Row],[uren / jaar werkdagen]]*Tariefsopbouw!$E$35</calculatedColumnFormula>
    </tableColumn>
    <tableColumn id="24" xr3:uid="{00000000-0010-0000-0400-000018000000}" name="Frequentie weekend" dataDxfId="229" totalsRowDxfId="228"/>
    <tableColumn id="38" xr3:uid="{00000000-0010-0000-0400-000026000000}" name="Uitvoeringen weekend" dataDxfId="227" totalsRowDxfId="226">
      <calculatedColumnFormula>IF(Ruimtestaat[[#This Row],[Frequentie weekend]]&gt;0,VALUE(LEFT(Y5,1))*R5,0)</calculatedColumnFormula>
    </tableColumn>
    <tableColumn id="25" xr3:uid="{00000000-0010-0000-0400-000019000000}" name="Norm (m2/uur) weekend" dataDxfId="225" totalsRowDxfId="224">
      <calculatedColumnFormula>IF($Z5&gt;0,VLOOKUP($J5,Ruimtegroepen[],3,FALSE)*VLOOKUP($L5,Vloersoorten[],3,FALSE)*VLOOKUP($Y5,Frequenties[],3,FALSE)*VLOOKUP(#REF!,Locaties[],3,FALSE),0)</calculatedColumnFormula>
    </tableColumn>
    <tableColumn id="26" xr3:uid="{00000000-0010-0000-0400-00001A000000}" name="Prest. (m2 /jaar) weekend" dataDxfId="223" totalsRowDxfId="222">
      <calculatedColumnFormula>Ruimtestaat[[#This Row],[Uitvoeringen weekend]]*Ruimtestaat[[#This Row],[Oppervlak (netto)]]</calculatedColumnFormula>
    </tableColumn>
    <tableColumn id="27" xr3:uid="{00000000-0010-0000-0400-00001B000000}" name="uren / jaar weekend" dataDxfId="221" totalsRowDxfId="220">
      <calculatedColumnFormula>IF(AA5&gt;0,Ruimtestaat[[#This Row],[Prest. (m2 /jaar) weekend]]/Ruimtestaat[[#This Row],[Norm (m2/uur) weekend]],0)</calculatedColumnFormula>
    </tableColumn>
    <tableColumn id="28" xr3:uid="{00000000-0010-0000-0400-00001C000000}" name="kosten / jaar weekend" dataDxfId="219" totalsRowDxfId="218">
      <calculatedColumnFormula>Ruimtestaat[[#This Row],[uren / jaar weekend]]*Tariefsopbouw!$D$40</calculatedColumnFormula>
    </tableColumn>
    <tableColumn id="29" xr3:uid="{00000000-0010-0000-0400-00001D000000}" name="Prest. (m2 /jaar)" dataDxfId="217" totalsRowDxfId="216" dataCellStyle="Komma">
      <calculatedColumnFormula>Ruimtestaat[[#This Row],[Prest. (m2 /jaar) weekend]]+Ruimtestaat[[#This Row],[Prest. (m2 /jaar) werkdagen]]</calculatedColumnFormula>
    </tableColumn>
    <tableColumn id="30" xr3:uid="{00000000-0010-0000-0400-00001E000000}" name="uren / jaar" dataDxfId="215" totalsRowDxfId="214" dataCellStyle="Komma">
      <calculatedColumnFormula>Ruimtestaat[[#This Row],[uren / jaar weekend]]+Ruimtestaat[[#This Row],[uren / jaar werkdagen]]</calculatedColumnFormula>
    </tableColumn>
    <tableColumn id="31" xr3:uid="{00000000-0010-0000-0400-00001F000000}" name="kosten / jaar excl btw" dataDxfId="213" totalsRowDxfId="212">
      <calculatedColumnFormula>Ruimtestaat[[#This Row],[kosten / jaar weekend]]+Ruimtestaat[[#This Row],[kosten / jaar werkdagen]]</calculatedColumnFormula>
    </tableColumn>
    <tableColumn id="78" xr3:uid="{C7E09CEC-45CA-4861-813D-3146CE52089E}" name="Kolom2" dataDxfId="211"/>
    <tableColumn id="36" xr3:uid="{644223A4-3B0B-40ED-9CC2-5E87CCEF757C}" name="Programmacode_x000a_Regulier" dataDxfId="210">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09">
      <calculatedColumnFormula>_xlfn.IFNA(VLOOKUP($AI5,Programma!$F$3:$G$1101,2,0),"")</calculatedColumnFormula>
    </tableColumn>
    <tableColumn id="39" xr3:uid="{2E53B719-2751-4AFA-8ABF-26530B7DD3C0}" name="vl2" dataDxfId="208">
      <calculatedColumnFormula>_xlfn.IFNA(VLOOKUP($AI5,Programma!$F$3:$H$1101,3,0),"")</calculatedColumnFormula>
    </tableColumn>
    <tableColumn id="40" xr3:uid="{306853D9-AD5A-48B5-B1FA-D17329457C4F}" name="vl3" dataDxfId="207">
      <calculatedColumnFormula>_xlfn.IFNA(VLOOKUP($AI5,Programma!$F$3:$I$1101,4,0),"")</calculatedColumnFormula>
    </tableColumn>
    <tableColumn id="41" xr3:uid="{1C4AA553-8156-4DB3-BDBC-D8EC1536D309}" name="vl4" dataDxfId="206">
      <calculatedColumnFormula>_xlfn.IFNA(VLOOKUP($AI5,Programma!$F$3:$J$1101,5,0),"")</calculatedColumnFormula>
    </tableColumn>
    <tableColumn id="42" xr3:uid="{A56B8907-DE9F-4701-8C5E-C547567EA280}" name="vl5" dataDxfId="205">
      <calculatedColumnFormula>_xlfn.IFNA(VLOOKUP($AI5,Programma!$F$3:$K$1101,6,0),"")</calculatedColumnFormula>
    </tableColumn>
    <tableColumn id="43" xr3:uid="{6B17D7A2-AE8D-440F-A4FD-2BE2B7B88A60}" name="vl6" dataDxfId="204">
      <calculatedColumnFormula>_xlfn.IFNA(VLOOKUP($AI5,Programma!$F$3:$L$1101,7,0),"")</calculatedColumnFormula>
    </tableColumn>
    <tableColumn id="44" xr3:uid="{A071B3DB-7D24-4A25-BD62-7D2ABDA8EADC}" name="vl7" dataDxfId="203">
      <calculatedColumnFormula>_xlfn.IFNA(VLOOKUP($AI5,Programma!$F$3:$M$1101,8,0),"")</calculatedColumnFormula>
    </tableColumn>
    <tableColumn id="45" xr3:uid="{30501DAE-368A-4139-B486-528B170E6783}" name="vnl" dataDxfId="202">
      <calculatedColumnFormula>_xlfn.IFNA(VLOOKUP($AI5,Programma!$F$3:$N$1101,9,0),"")</calculatedColumnFormula>
    </tableColumn>
    <tableColumn id="46" xr3:uid="{868425D4-EECE-431D-9D6F-487DB854241D}" name="i8" dataDxfId="201">
      <calculatedColumnFormula>_xlfn.IFNA(VLOOKUP($AI5,Programma!$F$3:$O$1101,10,0),"")</calculatedColumnFormula>
    </tableColumn>
    <tableColumn id="47" xr3:uid="{EA20F07B-5CD7-426B-BA6F-183E04D325BB}" name="i9" dataDxfId="200">
      <calculatedColumnFormula>_xlfn.IFNA(VLOOKUP($AI5,Programma!$F$3:$P$1101,11,0),"")</calculatedColumnFormula>
    </tableColumn>
    <tableColumn id="48" xr3:uid="{28D20BBF-F87A-4F80-A59D-F67559BB9D34}" name="i10" dataDxfId="199">
      <calculatedColumnFormula>_xlfn.IFNA(VLOOKUP($AI5,Programma!$F$3:$Q$1101,12,0),"")</calculatedColumnFormula>
    </tableColumn>
    <tableColumn id="49" xr3:uid="{0CB7B7F7-D003-43D2-9F6C-0F0170BB89E1}" name="i11" dataDxfId="198">
      <calculatedColumnFormula>_xlfn.IFNA(VLOOKUP($AI5,Programma!$F$3:$R$1101,13,0),"")</calculatedColumnFormula>
    </tableColumn>
    <tableColumn id="50" xr3:uid="{AD88DBA6-2501-4ADB-97BD-2EEAE5CA5FB9}" name="i12" dataDxfId="197">
      <calculatedColumnFormula>_xlfn.IFNA(VLOOKUP($AI5,Programma!$F$3:$S$1101,14,0),"")</calculatedColumnFormula>
    </tableColumn>
    <tableColumn id="51" xr3:uid="{0B24F272-5C0F-49A2-9E82-3DEBB7333DE2}" name="i13" dataDxfId="196">
      <calculatedColumnFormula>_xlfn.IFNA(VLOOKUP($AI5,Programma!$F$3:$T$1101,15,0),"")</calculatedColumnFormula>
    </tableColumn>
    <tableColumn id="52" xr3:uid="{60DD2901-FFF4-4159-9DB3-58E5D77411C3}" name="i14" dataDxfId="195">
      <calculatedColumnFormula>_xlfn.IFNA(VLOOKUP($AI5,Programma!$F$3:$U$1101,16,0),"")</calculatedColumnFormula>
    </tableColumn>
    <tableColumn id="53" xr3:uid="{87559DB0-F928-4A01-8FAF-36E422BF0893}" name="inl" dataDxfId="194">
      <calculatedColumnFormula>_xlfn.IFNA(VLOOKUP($AI5,Programma!$F$3:$V$1101,17,0),"")</calculatedColumnFormula>
    </tableColumn>
    <tableColumn id="54" xr3:uid="{1C929E3E-45B3-4A1C-A3C5-D8B1EDE1891E}" name="s15" dataDxfId="193">
      <calculatedColumnFormula>_xlfn.IFNA(VLOOKUP($AI5,Programma!$F$3:$W$1101,18,0),"")</calculatedColumnFormula>
    </tableColumn>
    <tableColumn id="55" xr3:uid="{68B49970-C415-4EEF-857B-52BA16B5258D}" name="s16" dataDxfId="192">
      <calculatedColumnFormula>_xlfn.IFNA(VLOOKUP($AI5,Programma!$F$3:$X$1101,19,0),"")</calculatedColumnFormula>
    </tableColumn>
    <tableColumn id="56" xr3:uid="{A0705AE3-CACF-4E1C-9227-68669BFDB0C6}" name="snl" dataDxfId="191">
      <calculatedColumnFormula>_xlfn.IFNA(VLOOKUP($AI5,Programma!$F$3:$Y$1101,20,0),"")</calculatedColumnFormula>
    </tableColumn>
    <tableColumn id="57" xr3:uid="{11D7C8EF-B5C8-42BF-8A18-9A836402F196}" name="Kolom1" dataDxfId="190"/>
    <tableColumn id="58" xr3:uid="{B2B8DFA8-D835-49F0-A51B-ED223C73D142}" name="Code Weekend" dataDxfId="189">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88">
      <calculatedColumnFormula>_xlfn.IFNA(VLOOKUP($BD5,Programma!$F$3:$G$1101,2,0),"")</calculatedColumnFormula>
    </tableColumn>
    <tableColumn id="60" xr3:uid="{27AAF80B-FAE7-4A55-B080-A97D81F19498}" name="vl23" dataDxfId="187">
      <calculatedColumnFormula>_xlfn.IFNA(VLOOKUP($BD5,Programma!$F$3:$H$1101,3,0),"")</calculatedColumnFormula>
    </tableColumn>
    <tableColumn id="61" xr3:uid="{A8E673C6-B5F4-4D95-85CD-FB4271CFAA79}" name="vl34" dataDxfId="186">
      <calculatedColumnFormula>_xlfn.IFNA(VLOOKUP($BD5,Programma!$F$3:$I$1101,4,0),"")</calculatedColumnFormula>
    </tableColumn>
    <tableColumn id="62" xr3:uid="{8F1B78A5-14D6-4E3A-8B4A-DFAEDDAB9211}" name="vl45" dataDxfId="185">
      <calculatedColumnFormula>_xlfn.IFNA(VLOOKUP($BD5,Programma!$F$3:$J$1101,5,0),"")</calculatedColumnFormula>
    </tableColumn>
    <tableColumn id="63" xr3:uid="{87048FA4-EE9C-46AE-B51B-6CBA81BE8308}" name="vl56" dataDxfId="184">
      <calculatedColumnFormula>_xlfn.IFNA(VLOOKUP($BD5,Programma!$F$3:$K$1101,6,0),"")</calculatedColumnFormula>
    </tableColumn>
    <tableColumn id="64" xr3:uid="{DA05AE85-CE88-407D-9245-D0C804841261}" name="vl67" dataDxfId="183">
      <calculatedColumnFormula>_xlfn.IFNA(VLOOKUP($BD5,Programma!$F$3:$L$1101,7,0),"")</calculatedColumnFormula>
    </tableColumn>
    <tableColumn id="65" xr3:uid="{78BAE9E2-79F8-42F8-A636-69ECC21638B3}" name="vl78" dataDxfId="182">
      <calculatedColumnFormula>_xlfn.IFNA(VLOOKUP($BD5,Programma!$F$3:$M$1101,8,0),"")</calculatedColumnFormula>
    </tableColumn>
    <tableColumn id="66" xr3:uid="{E7E7A23D-5570-4D4F-A0C4-4BEBD25C2D08}" name="vnl9" dataDxfId="181">
      <calculatedColumnFormula>_xlfn.IFNA(VLOOKUP($BD5,Programma!$F$3:$N$1101,9,0),"")</calculatedColumnFormula>
    </tableColumn>
    <tableColumn id="67" xr3:uid="{069678F9-CB78-4810-881E-5A1AE2EC2E64}" name="i810" dataDxfId="180">
      <calculatedColumnFormula>_xlfn.IFNA(VLOOKUP($BD5,Programma!$F$3:$O$1101,10,0),"")</calculatedColumnFormula>
    </tableColumn>
    <tableColumn id="68" xr3:uid="{D4FF459B-C19D-4ED7-9F3B-7801E97C6C63}" name="i911" dataDxfId="179">
      <calculatedColumnFormula>_xlfn.IFNA(VLOOKUP($BD5,Programma!$F$3:$P$1101,11,0),"")</calculatedColumnFormula>
    </tableColumn>
    <tableColumn id="69" xr3:uid="{059C7A6A-75FC-4AAF-9824-5E2D2E379CD4}" name="i102" dataDxfId="178">
      <calculatedColumnFormula>_xlfn.IFNA(VLOOKUP($BD5,Programma!$F$3:$Q$1101,12,0),"")</calculatedColumnFormula>
    </tableColumn>
    <tableColumn id="70" xr3:uid="{F02F1F0A-14E6-44C4-A18E-15D8545C3F7C}" name="i112" dataDxfId="177">
      <calculatedColumnFormula>_xlfn.IFNA(VLOOKUP($BD5,Programma!$F$3:$R$1101,13,0),"")</calculatedColumnFormula>
    </tableColumn>
    <tableColumn id="71" xr3:uid="{64F8BC77-D92C-4AFB-A8AA-C6E3DB4AF028}" name="i122" dataDxfId="176">
      <calculatedColumnFormula>_xlfn.IFNA(VLOOKUP($BD5,Programma!$F$3:$S$1101,14,0),"")</calculatedColumnFormula>
    </tableColumn>
    <tableColumn id="72" xr3:uid="{D10D9617-4D40-479A-8098-9C3D52AED20C}" name="i132" dataDxfId="175">
      <calculatedColumnFormula>_xlfn.IFNA(VLOOKUP($BD5,Programma!$F$3:$T$1101,15,0),"")</calculatedColumnFormula>
    </tableColumn>
    <tableColumn id="73" xr3:uid="{AFAFBD6D-E9F3-4AD5-B1BA-C259BBD1CC21}" name="i142" dataDxfId="174">
      <calculatedColumnFormula>_xlfn.IFNA(VLOOKUP($BD5,Programma!$F$3:$U$1101,16,0),"")</calculatedColumnFormula>
    </tableColumn>
    <tableColumn id="74" xr3:uid="{13917009-2884-4D8A-8C68-14907776CAFD}" name="inl2" dataDxfId="173">
      <calculatedColumnFormula>_xlfn.IFNA(VLOOKUP($BD5,Programma!$F$3:$V$1101,17,0),"")</calculatedColumnFormula>
    </tableColumn>
    <tableColumn id="75" xr3:uid="{6E9DF77C-B052-4A52-B6CF-00BB698E51C6}" name="s152" dataDxfId="172">
      <calculatedColumnFormula>_xlfn.IFNA(VLOOKUP($BD5,Programma!$F$3:$W$1101,18,0),"")</calculatedColumnFormula>
    </tableColumn>
    <tableColumn id="76" xr3:uid="{11F41571-107E-423E-B237-84692FBBC6D7}" name="s162" dataDxfId="171">
      <calculatedColumnFormula>_xlfn.IFNA(VLOOKUP($BD5,Programma!$F$3:$X$1101,19,0),"")</calculatedColumnFormula>
    </tableColumn>
    <tableColumn id="77" xr3:uid="{3DEE5E13-D5E7-474C-89D8-AF6FC5695F2C}" name="snl2" dataDxfId="170">
      <calculatedColumnFormula>_xlfn.IFNA(VLOOKUP($BD5,Programma!$F$3:$Y$1101,20,0),"")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69" dataDxfId="168">
  <autoFilter ref="A8:I18" xr:uid="{00000000-0009-0000-0100-000001000000}"/>
  <tableColumns count="9">
    <tableColumn id="1" xr3:uid="{634B9515-CED4-4B9C-AC41-91D68E2A6390}" name="Code Taak" dataDxfId="119"/>
    <tableColumn id="2" xr3:uid="{B45DE533-5F07-4399-BBF5-C49AD01DD88F}" name="Werkzaamheden" dataDxfId="118"/>
    <tableColumn id="3" xr3:uid="{569B4254-85AB-4A9D-9738-20A72FAFD71D}" name="Prijs" dataDxfId="93"/>
    <tableColumn id="4" xr3:uid="{3FCFDB06-433D-4D90-AC83-D401C0BB9D5F}" name="Omschrijving" dataDxfId="117"/>
    <tableColumn id="5" xr3:uid="{A2C235A7-50B4-45CF-B035-6B2B17679F97}" name="2027" dataDxfId="116" dataCellStyle="Valuta">
      <calculatedColumnFormula>InvulVloer19[[#This Row],[Prijs]]*Tariefsopbouw!$I$37+InvulVloer19[[#This Row],[Prijs]]</calculatedColumnFormula>
    </tableColumn>
    <tableColumn id="6" xr3:uid="{32314B1F-C549-43D0-A68A-E1D872932DA7}" name="2028" dataDxfId="115" dataCellStyle="Valuta">
      <calculatedColumnFormula>InvulVloer19[[#This Row],[2027]]*Tariefsopbouw!$K$37+InvulVloer19[[#This Row],[2027]]</calculatedColumnFormula>
    </tableColumn>
    <tableColumn id="7" xr3:uid="{5A4E277A-177C-4476-A9A5-6B25E0351BAB}" name="2029" dataDxfId="114" dataCellStyle="Valuta">
      <calculatedColumnFormula>InvulVloer19[[#This Row],[2028]]*Tariefsopbouw!$M$37+InvulVloer19[[#This Row],[2028]]</calculatedColumnFormula>
    </tableColumn>
    <tableColumn id="8" xr3:uid="{6A8CB127-9578-4A7F-8F5E-DABA3EAD7E06}" name="2030" dataDxfId="113" dataCellStyle="Valuta">
      <calculatedColumnFormula>InvulVloer19[[#This Row],[2029]]*Tariefsopbouw!$O$37+InvulVloer19[[#This Row],[2029]]</calculatedColumnFormula>
    </tableColumn>
    <tableColumn id="9" xr3:uid="{F268163B-6C49-46F0-9F2A-A503A98B29BC}" name="2031" dataDxfId="112" dataCellStyle="Valuta">
      <calculatedColumnFormula>InvulVloer19[[#This Row],[2030]]*Tariefsopbouw!$Q$37+InvulVloer19[[#This Row],[2030]]</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46" totalsRowCount="1" headerRowDxfId="167" dataDxfId="166" totalsRowDxfId="165">
  <autoFilter ref="A20:I45" xr:uid="{00000000-0009-0000-0100-000002000000}"/>
  <tableColumns count="9">
    <tableColumn id="11" xr3:uid="{9970215E-3F06-4AEF-A1F5-0009C03D624E}" name="Code Locatie" dataDxfId="111" totalsRowDxfId="110"/>
    <tableColumn id="1" xr3:uid="{113C96F6-1924-406B-B23A-994513941647}" name="Locatie" totalsRowLabel="Totaal" dataDxfId="109" totalsRowDxfId="108">
      <calculatedColumnFormula>VLOOKUP(OverzichtVloer20[[#This Row],[Code Locatie]],Locaties[],2,0)</calculatedColumnFormula>
    </tableColumn>
    <tableColumn id="3" xr3:uid="{B3D3B5E7-D3C4-461C-9CA1-DBFD10306269}" name="Code Taak" dataDxfId="107" totalsRowDxfId="106"/>
    <tableColumn id="4" xr3:uid="{EBF3EF80-AF01-4C87-A6CF-BF63D79AF323}" name="Vloersoort / toelichting" dataDxfId="105" totalsRowDxfId="104">
      <calculatedColumnFormula>IF(Vloeronderhoud!$C21&gt;0,VLOOKUP(Vloeronderhoud!$C21,$A$8:$B$18,2,FALSE),"")</calculatedColumnFormula>
    </tableColumn>
    <tableColumn id="5" xr3:uid="{309F41B6-3D0E-446B-8EDD-5EB98BD855C7}" name="Vloersoort" dataDxfId="103" totalsRowDxfId="102"/>
    <tableColumn id="6" xr3:uid="{B97F1EF9-BC44-4F7E-8997-83E439999C81}" name="Oppervlakte" dataDxfId="101" totalsRowDxfId="100">
      <calculatedColumnFormula>SUMIFS('Ruimtestaat'!$N:$N,'Ruimtestaat'!L:L,Vloeronderhoud!E21,'Ruimtestaat'!A:A,Vloeronderhoud!A21)</calculatedColumnFormula>
    </tableColumn>
    <tableColumn id="8" xr3:uid="{A5FF7A00-BD80-4497-8A9A-905C07BFA557}" name="Frequentie (uitv./jaar)" dataDxfId="99" totalsRowDxfId="98"/>
    <tableColumn id="9" xr3:uid="{13C992BE-16CA-4305-AC75-C46233681A13}" name="Kosten/jaar excl. BTW" totalsRowFunction="sum" dataDxfId="97" totalsRowDxfId="96">
      <calculatedColumnFormula>VLOOKUP(OverzichtVloer20[[#This Row],[Code Taak]],InvulVloer19[],3,3)*F21*G21</calculatedColumnFormula>
    </tableColumn>
    <tableColumn id="2" xr3:uid="{BBD43C19-81F6-4223-A10B-97F2D79A548F}" name="Kosten/jaar incl BTW" totalsRowFunction="sum" dataDxfId="95" totalsRowDxfId="94"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164" dataDxfId="163">
  <autoFilter ref="A8:I19" xr:uid="{00000000-0009-0000-0100-000003000000}"/>
  <tableColumns count="9">
    <tableColumn id="1" xr3:uid="{00000000-0010-0000-0500-000001000000}" name="Code taak" dataDxfId="92"/>
    <tableColumn id="2" xr3:uid="{00000000-0010-0000-0500-000002000000}" name="Glassoort/voorziening" dataDxfId="91"/>
    <tableColumn id="3" xr3:uid="{00000000-0010-0000-0500-000003000000}" name="Prijs excl. BTW" dataDxfId="66"/>
    <tableColumn id="4" xr3:uid="{00000000-0010-0000-0500-000004000000}" name="Eenheid" dataDxfId="90"/>
    <tableColumn id="5" xr3:uid="{CC43D47B-51D1-48C7-9FBE-6228B4D72C08}" name="2027" dataDxfId="89" dataCellStyle="Valuta">
      <calculatedColumnFormula>(InvulGlas[[#This Row],[Prijs excl. BTW]]*Tariefsopbouw!$H$35)+InvulGlas[[#This Row],[Prijs excl. BTW]]</calculatedColumnFormula>
    </tableColumn>
    <tableColumn id="6" xr3:uid="{14AF2224-D978-4323-B50E-296D91A6AA97}" name="2028" dataDxfId="88" dataCellStyle="Valuta">
      <calculatedColumnFormula>E9*Tariefsopbouw!$J$35+Glasbewassing!E9</calculatedColumnFormula>
    </tableColumn>
    <tableColumn id="7" xr3:uid="{C18EB174-680A-4DCC-A57F-327D4F1C3675}" name="2029" dataDxfId="87" dataCellStyle="Valuta">
      <calculatedColumnFormula>F9*Tariefsopbouw!$L$35+Glasbewassing!F9</calculatedColumnFormula>
    </tableColumn>
    <tableColumn id="8" xr3:uid="{2002E41E-1578-4095-8CE5-943025AA110B}" name="2030" dataDxfId="86" dataCellStyle="Valuta">
      <calculatedColumnFormula>G10*Tariefsopbouw!$N$35+Glasbewassing!G10</calculatedColumnFormula>
    </tableColumn>
    <tableColumn id="9" xr3:uid="{95B9447D-2760-430F-8929-530FC65F506E}" name="2031" dataDxfId="85"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12"/>
  <sheetViews>
    <sheetView showGridLines="0" zoomScale="130" zoomScaleNormal="130" workbookViewId="0">
      <selection activeCell="H25" sqref="H25"/>
    </sheetView>
  </sheetViews>
  <sheetFormatPr defaultColWidth="9.140625" defaultRowHeight="13.5"/>
  <cols>
    <col min="1" max="1" width="6" style="9" customWidth="1"/>
    <col min="2" max="2" width="11.5703125" style="9" customWidth="1"/>
    <col min="3" max="3" width="13.85546875" style="9" customWidth="1"/>
    <col min="4" max="4" width="14.7109375" style="9" bestFit="1" customWidth="1"/>
    <col min="5" max="5" width="15.42578125" style="9" bestFit="1" customWidth="1"/>
    <col min="6" max="6" width="14" style="9" bestFit="1" customWidth="1"/>
    <col min="7" max="7" width="10.42578125" style="10" bestFit="1" customWidth="1"/>
    <col min="8" max="8" width="27.42578125" style="9" bestFit="1" customWidth="1"/>
    <col min="9" max="9" width="13" style="10" customWidth="1"/>
    <col min="10" max="10" width="13.7109375" style="10" customWidth="1"/>
    <col min="11" max="11" width="9" style="9" bestFit="1" customWidth="1"/>
    <col min="12" max="12" width="12.28515625" style="9" bestFit="1" customWidth="1"/>
    <col min="13" max="13" width="10.7109375" style="9" customWidth="1"/>
    <col min="14" max="14" width="11.7109375" style="9" customWidth="1"/>
    <col min="15" max="15" width="14.140625" style="9" bestFit="1" customWidth="1"/>
    <col min="16" max="16" width="17.7109375" style="9" customWidth="1"/>
    <col min="17" max="17" width="15.85546875" style="10" bestFit="1" customWidth="1"/>
    <col min="18" max="18" width="24.42578125" style="9" bestFit="1" customWidth="1"/>
    <col min="19" max="16384" width="9.140625" style="8"/>
  </cols>
  <sheetData>
    <row r="1" spans="1:18" ht="45" customHeight="1">
      <c r="A1" s="209"/>
      <c r="B1" s="209" t="s">
        <v>230</v>
      </c>
      <c r="C1" s="209" t="s">
        <v>1297</v>
      </c>
      <c r="D1" s="209" t="s">
        <v>231</v>
      </c>
      <c r="E1" s="209" t="s">
        <v>232</v>
      </c>
      <c r="F1" s="209" t="s">
        <v>1298</v>
      </c>
      <c r="G1" s="209" t="s">
        <v>233</v>
      </c>
      <c r="H1" s="209" t="s">
        <v>204</v>
      </c>
      <c r="I1" s="209" t="s">
        <v>234</v>
      </c>
      <c r="J1" s="209" t="s">
        <v>235</v>
      </c>
      <c r="K1" s="209" t="s">
        <v>236</v>
      </c>
      <c r="L1" s="209" t="s">
        <v>237</v>
      </c>
      <c r="M1" s="209" t="s">
        <v>238</v>
      </c>
      <c r="N1" s="209" t="s">
        <v>239</v>
      </c>
      <c r="O1" s="209" t="s">
        <v>1299</v>
      </c>
      <c r="P1" s="209" t="s">
        <v>240</v>
      </c>
      <c r="Q1" s="209" t="s">
        <v>241</v>
      </c>
      <c r="R1" s="209" t="s">
        <v>135</v>
      </c>
    </row>
    <row r="2" spans="1:18">
      <c r="A2" s="1">
        <v>1</v>
      </c>
      <c r="B2" s="2">
        <v>32603</v>
      </c>
      <c r="C2" s="2">
        <v>45689</v>
      </c>
      <c r="D2" s="2"/>
      <c r="E2" s="3" t="s">
        <v>1963</v>
      </c>
      <c r="F2" s="4">
        <v>18.5</v>
      </c>
      <c r="G2" s="278" t="s">
        <v>1967</v>
      </c>
      <c r="H2" s="3" t="s">
        <v>1968</v>
      </c>
      <c r="I2" s="5"/>
      <c r="J2" s="5">
        <v>1</v>
      </c>
      <c r="K2" s="6">
        <v>14.83</v>
      </c>
      <c r="L2" s="7" t="s">
        <v>1545</v>
      </c>
      <c r="M2" s="7" t="s">
        <v>1545</v>
      </c>
      <c r="N2" s="7" t="s">
        <v>1545</v>
      </c>
      <c r="O2" s="5" t="s">
        <v>1965</v>
      </c>
      <c r="P2" s="5" t="s">
        <v>1966</v>
      </c>
      <c r="Q2" s="5" t="s">
        <v>1965</v>
      </c>
      <c r="R2" s="3" t="s">
        <v>1624</v>
      </c>
    </row>
    <row r="3" spans="1:18">
      <c r="A3" s="1">
        <v>2</v>
      </c>
      <c r="B3" s="2">
        <v>26105</v>
      </c>
      <c r="C3" s="2">
        <v>45689</v>
      </c>
      <c r="D3" s="2"/>
      <c r="E3" s="3" t="s">
        <v>1964</v>
      </c>
      <c r="F3" s="4">
        <v>18.5</v>
      </c>
      <c r="G3" s="278" t="s">
        <v>1967</v>
      </c>
      <c r="H3" s="3" t="s">
        <v>1968</v>
      </c>
      <c r="I3" s="5"/>
      <c r="J3" s="5">
        <v>1</v>
      </c>
      <c r="K3" s="6">
        <v>14.83</v>
      </c>
      <c r="L3" s="7" t="s">
        <v>1545</v>
      </c>
      <c r="M3" s="7" t="s">
        <v>1545</v>
      </c>
      <c r="N3" s="7" t="s">
        <v>1545</v>
      </c>
      <c r="O3" s="5" t="s">
        <v>1965</v>
      </c>
      <c r="P3" s="5" t="s">
        <v>1966</v>
      </c>
      <c r="Q3" s="5" t="s">
        <v>1965</v>
      </c>
      <c r="R3" s="3" t="s">
        <v>1624</v>
      </c>
    </row>
    <row r="4" spans="1:18">
      <c r="A4" s="308">
        <v>3</v>
      </c>
      <c r="B4" s="312">
        <v>26112</v>
      </c>
      <c r="C4" s="312">
        <v>43332</v>
      </c>
      <c r="D4" s="312">
        <v>43332</v>
      </c>
      <c r="E4" s="314" t="s">
        <v>1964</v>
      </c>
      <c r="F4" s="4">
        <v>11.75</v>
      </c>
      <c r="G4" s="306" t="s">
        <v>1965</v>
      </c>
      <c r="H4" s="308" t="s">
        <v>1968</v>
      </c>
      <c r="I4" s="5"/>
      <c r="J4" s="306">
        <v>1</v>
      </c>
      <c r="K4" s="304">
        <v>16.309999999999999</v>
      </c>
      <c r="L4" s="310" t="s">
        <v>1545</v>
      </c>
      <c r="M4" s="310" t="s">
        <v>1545</v>
      </c>
      <c r="N4" s="310" t="s">
        <v>1545</v>
      </c>
      <c r="O4" s="310" t="s">
        <v>1545</v>
      </c>
      <c r="P4" s="310" t="s">
        <v>1545</v>
      </c>
      <c r="Q4" s="306" t="s">
        <v>1965</v>
      </c>
      <c r="R4" s="3" t="s">
        <v>1620</v>
      </c>
    </row>
    <row r="5" spans="1:18">
      <c r="A5" s="309"/>
      <c r="B5" s="313"/>
      <c r="C5" s="313"/>
      <c r="D5" s="313"/>
      <c r="E5" s="315"/>
      <c r="F5" s="4">
        <v>12.9</v>
      </c>
      <c r="G5" s="307"/>
      <c r="H5" s="309"/>
      <c r="I5" s="5"/>
      <c r="J5" s="307"/>
      <c r="K5" s="305"/>
      <c r="L5" s="311"/>
      <c r="M5" s="311"/>
      <c r="N5" s="311"/>
      <c r="O5" s="311"/>
      <c r="P5" s="311"/>
      <c r="Q5" s="307"/>
      <c r="R5" s="3" t="s">
        <v>1623</v>
      </c>
    </row>
    <row r="6" spans="1:18">
      <c r="A6" s="1">
        <v>4</v>
      </c>
      <c r="B6" s="2">
        <v>24654</v>
      </c>
      <c r="C6" s="280">
        <v>45930</v>
      </c>
      <c r="D6" s="280">
        <v>45384</v>
      </c>
      <c r="E6" s="3" t="s">
        <v>1963</v>
      </c>
      <c r="F6" s="4">
        <v>15</v>
      </c>
      <c r="G6" s="5" t="s">
        <v>1967</v>
      </c>
      <c r="H6" s="3" t="s">
        <v>1968</v>
      </c>
      <c r="I6" s="5"/>
      <c r="J6" s="5">
        <v>1</v>
      </c>
      <c r="K6" s="6">
        <v>15.37</v>
      </c>
      <c r="L6" s="7" t="s">
        <v>1545</v>
      </c>
      <c r="M6" s="7" t="s">
        <v>1545</v>
      </c>
      <c r="N6" s="7" t="s">
        <v>1545</v>
      </c>
      <c r="O6" s="7" t="s">
        <v>1545</v>
      </c>
      <c r="P6" s="7" t="s">
        <v>1545</v>
      </c>
      <c r="Q6" s="5" t="s">
        <v>1967</v>
      </c>
      <c r="R6" s="3" t="s">
        <v>1620</v>
      </c>
    </row>
    <row r="7" spans="1:18">
      <c r="A7" s="1">
        <v>5</v>
      </c>
      <c r="B7" s="2">
        <v>32072</v>
      </c>
      <c r="C7" s="280">
        <v>41481</v>
      </c>
      <c r="D7" s="280">
        <v>41481</v>
      </c>
      <c r="E7" s="3" t="s">
        <v>1964</v>
      </c>
      <c r="F7" s="4">
        <v>12.5</v>
      </c>
      <c r="G7" s="5" t="s">
        <v>1965</v>
      </c>
      <c r="H7" s="3" t="s">
        <v>1968</v>
      </c>
      <c r="I7" s="5"/>
      <c r="J7" s="5">
        <v>1</v>
      </c>
      <c r="K7" s="6">
        <v>16.309999999999999</v>
      </c>
      <c r="L7" s="7" t="s">
        <v>1545</v>
      </c>
      <c r="M7" s="7" t="s">
        <v>1545</v>
      </c>
      <c r="N7" s="7" t="s">
        <v>1545</v>
      </c>
      <c r="O7" s="7" t="s">
        <v>1545</v>
      </c>
      <c r="P7" s="7" t="s">
        <v>1545</v>
      </c>
      <c r="Q7" s="5" t="s">
        <v>1965</v>
      </c>
      <c r="R7" s="3" t="s">
        <v>1622</v>
      </c>
    </row>
    <row r="8" spans="1:18">
      <c r="A8" s="277">
        <v>6</v>
      </c>
      <c r="B8" s="279">
        <v>32367</v>
      </c>
      <c r="C8" s="279">
        <v>45726</v>
      </c>
      <c r="D8" s="279">
        <v>45726</v>
      </c>
      <c r="E8" s="3" t="s">
        <v>1963</v>
      </c>
      <c r="F8" s="277">
        <v>8.75</v>
      </c>
      <c r="G8" s="278" t="s">
        <v>1965</v>
      </c>
      <c r="H8" s="3" t="s">
        <v>1968</v>
      </c>
      <c r="I8" s="278"/>
      <c r="J8" s="278">
        <v>1</v>
      </c>
      <c r="K8" s="6">
        <v>14.83</v>
      </c>
      <c r="L8" s="7" t="s">
        <v>1545</v>
      </c>
      <c r="M8" s="7" t="s">
        <v>1545</v>
      </c>
      <c r="N8" s="7" t="s">
        <v>1545</v>
      </c>
      <c r="O8" s="7" t="s">
        <v>1545</v>
      </c>
      <c r="P8" s="7" t="s">
        <v>1545</v>
      </c>
      <c r="Q8" s="278" t="s">
        <v>1967</v>
      </c>
      <c r="R8" s="3" t="s">
        <v>1622</v>
      </c>
    </row>
    <row r="9" spans="1:18">
      <c r="A9" s="277">
        <v>7</v>
      </c>
      <c r="B9" s="279">
        <v>25652</v>
      </c>
      <c r="C9" s="279">
        <v>45882</v>
      </c>
      <c r="D9" s="279">
        <v>45882</v>
      </c>
      <c r="E9" s="3" t="s">
        <v>1963</v>
      </c>
      <c r="F9" s="277">
        <v>15</v>
      </c>
      <c r="G9" s="278" t="s">
        <v>1967</v>
      </c>
      <c r="H9" s="3" t="s">
        <v>1968</v>
      </c>
      <c r="I9" s="278"/>
      <c r="J9" s="278">
        <v>1</v>
      </c>
      <c r="K9" s="6">
        <v>14.83</v>
      </c>
      <c r="L9" s="7" t="s">
        <v>1545</v>
      </c>
      <c r="M9" s="7" t="s">
        <v>1545</v>
      </c>
      <c r="N9" s="7" t="s">
        <v>1545</v>
      </c>
      <c r="O9" s="7" t="s">
        <v>1545</v>
      </c>
      <c r="P9" s="7" t="s">
        <v>1545</v>
      </c>
      <c r="Q9" s="278" t="s">
        <v>1967</v>
      </c>
      <c r="R9" s="277" t="s">
        <v>1626</v>
      </c>
    </row>
    <row r="10" spans="1:18">
      <c r="A10" s="277">
        <v>8</v>
      </c>
      <c r="B10" s="279">
        <v>35176</v>
      </c>
      <c r="C10" s="279">
        <v>44067</v>
      </c>
      <c r="D10" s="279">
        <v>44067</v>
      </c>
      <c r="E10" s="3" t="s">
        <v>1964</v>
      </c>
      <c r="F10" s="277">
        <v>12.25</v>
      </c>
      <c r="G10" s="278" t="s">
        <v>1965</v>
      </c>
      <c r="H10" s="3" t="s">
        <v>1968</v>
      </c>
      <c r="I10" s="278"/>
      <c r="J10" s="278">
        <v>1</v>
      </c>
      <c r="K10" s="6">
        <v>16.309999999999999</v>
      </c>
      <c r="L10" s="7" t="s">
        <v>1545</v>
      </c>
      <c r="M10" s="7" t="s">
        <v>1545</v>
      </c>
      <c r="N10" s="7" t="s">
        <v>1545</v>
      </c>
      <c r="O10" s="7" t="s">
        <v>1545</v>
      </c>
      <c r="P10" s="7" t="s">
        <v>1545</v>
      </c>
      <c r="Q10" s="278" t="s">
        <v>1965</v>
      </c>
      <c r="R10" s="277" t="s">
        <v>1621</v>
      </c>
    </row>
    <row r="11" spans="1:18">
      <c r="A11" s="277">
        <v>9</v>
      </c>
      <c r="B11" s="279">
        <v>25406</v>
      </c>
      <c r="C11" s="279">
        <v>41418</v>
      </c>
      <c r="D11" s="279">
        <v>41418</v>
      </c>
      <c r="E11" s="3" t="s">
        <v>1964</v>
      </c>
      <c r="F11" s="277">
        <v>14</v>
      </c>
      <c r="G11" s="278" t="s">
        <v>1965</v>
      </c>
      <c r="H11" s="3" t="s">
        <v>1968</v>
      </c>
      <c r="I11" s="278"/>
      <c r="J11" s="278">
        <v>1</v>
      </c>
      <c r="K11" s="6">
        <v>16.309999999999999</v>
      </c>
      <c r="L11" s="7" t="s">
        <v>1545</v>
      </c>
      <c r="M11" s="7" t="s">
        <v>1545</v>
      </c>
      <c r="N11" s="7" t="s">
        <v>1545</v>
      </c>
      <c r="O11" s="7" t="s">
        <v>1545</v>
      </c>
      <c r="P11" s="7" t="s">
        <v>1545</v>
      </c>
      <c r="Q11" s="278" t="s">
        <v>1965</v>
      </c>
      <c r="R11" s="277" t="s">
        <v>1625</v>
      </c>
    </row>
    <row r="12" spans="1:18">
      <c r="A12" s="277">
        <v>10</v>
      </c>
      <c r="B12" s="279">
        <v>22639</v>
      </c>
      <c r="C12" s="279">
        <v>44543</v>
      </c>
      <c r="D12" s="279">
        <v>41256</v>
      </c>
      <c r="E12" s="3" t="s">
        <v>1964</v>
      </c>
      <c r="F12" s="277">
        <v>6.6</v>
      </c>
      <c r="G12" s="278" t="s">
        <v>1965</v>
      </c>
      <c r="H12" s="3" t="s">
        <v>1968</v>
      </c>
      <c r="I12" s="278"/>
      <c r="J12" s="278">
        <v>1</v>
      </c>
      <c r="K12" s="6">
        <v>16.309999999999999</v>
      </c>
      <c r="L12" s="7" t="s">
        <v>1545</v>
      </c>
      <c r="M12" s="7" t="s">
        <v>1545</v>
      </c>
      <c r="N12" s="7" t="s">
        <v>1545</v>
      </c>
      <c r="O12" s="7" t="s">
        <v>1545</v>
      </c>
      <c r="P12" s="7" t="s">
        <v>1545</v>
      </c>
      <c r="Q12" s="278" t="s">
        <v>1965</v>
      </c>
      <c r="R12" s="277" t="s">
        <v>1623</v>
      </c>
    </row>
  </sheetData>
  <sheetProtection algorithmName="SHA-512" hashValue="zA68X4+tjV1Ub5PpY8U7YY4ZY1L8OnHVMlDejX+MqlCDfL5Z6Bb75vEcYmsXDexZOE9bD06c1JJR7AdtFZjkVA==" saltValue="H3gDy29jz0lx9ubkOQQCdg==" spinCount="100000" sheet="1" objects="1" scenarios="1"/>
  <mergeCells count="15">
    <mergeCell ref="A4:A5"/>
    <mergeCell ref="B4:B5"/>
    <mergeCell ref="G4:G5"/>
    <mergeCell ref="E4:E5"/>
    <mergeCell ref="D4:D5"/>
    <mergeCell ref="C4:C5"/>
    <mergeCell ref="K4:K5"/>
    <mergeCell ref="J4:J5"/>
    <mergeCell ref="H4:H5"/>
    <mergeCell ref="Q4:Q5"/>
    <mergeCell ref="P4:P5"/>
    <mergeCell ref="O4:O5"/>
    <mergeCell ref="N4:N5"/>
    <mergeCell ref="M4:M5"/>
    <mergeCell ref="L4:L5"/>
  </mergeCells>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5"/>
  <sheetViews>
    <sheetView view="pageBreakPreview" zoomScaleNormal="100" zoomScaleSheetLayoutView="100" workbookViewId="0">
      <selection activeCell="G28" sqref="G28"/>
    </sheetView>
  </sheetViews>
  <sheetFormatPr defaultColWidth="9.140625" defaultRowHeight="12"/>
  <cols>
    <col min="1" max="1" width="15.42578125" style="375" customWidth="1"/>
    <col min="2" max="2" width="42.28515625" style="375" customWidth="1"/>
    <col min="3" max="3" width="13.28515625" style="417" customWidth="1"/>
    <col min="4" max="4" width="44.140625" style="375" bestFit="1" customWidth="1"/>
    <col min="5" max="5" width="17.7109375" style="375" bestFit="1" customWidth="1"/>
    <col min="6" max="6" width="17.7109375" style="488" bestFit="1" customWidth="1"/>
    <col min="7" max="8" width="18" style="375" bestFit="1" customWidth="1"/>
    <col min="9" max="9" width="40.42578125" style="375" bestFit="1" customWidth="1"/>
    <col min="10" max="10" width="9.140625" style="375"/>
    <col min="11" max="11" width="18" style="375" bestFit="1" customWidth="1"/>
    <col min="12" max="16384" width="9.140625" style="375"/>
  </cols>
  <sheetData>
    <row r="1" spans="1:9" s="372" customFormat="1" ht="26.25" customHeight="1">
      <c r="A1" s="447" t="s">
        <v>1304</v>
      </c>
      <c r="B1" s="447"/>
      <c r="C1" s="447"/>
      <c r="D1" s="447"/>
      <c r="E1" s="447"/>
      <c r="F1" s="447"/>
      <c r="G1" s="447"/>
      <c r="H1" s="447"/>
      <c r="I1" s="447"/>
    </row>
    <row r="2" spans="1:9" s="372" customFormat="1" ht="15" customHeight="1">
      <c r="A2" s="448" t="s">
        <v>1608</v>
      </c>
      <c r="B2" s="449"/>
      <c r="C2" s="449"/>
      <c r="D2" s="449"/>
      <c r="E2" s="449"/>
      <c r="F2" s="449"/>
      <c r="G2" s="449"/>
      <c r="H2" s="449"/>
      <c r="I2" s="450"/>
    </row>
    <row r="3" spans="1:9" ht="15" customHeight="1">
      <c r="B3" s="417"/>
      <c r="C3" s="375"/>
      <c r="F3" s="375"/>
    </row>
    <row r="4" spans="1:9" ht="15" customHeight="1">
      <c r="A4" s="375" t="s">
        <v>168</v>
      </c>
      <c r="B4" s="451"/>
      <c r="C4" s="451"/>
      <c r="D4" s="451"/>
      <c r="E4" s="451"/>
      <c r="F4" s="452"/>
      <c r="G4" s="453"/>
    </row>
    <row r="5" spans="1:9" ht="15" customHeight="1">
      <c r="A5" s="375" t="s">
        <v>222</v>
      </c>
      <c r="B5" s="451"/>
      <c r="C5" s="451"/>
      <c r="D5" s="451"/>
      <c r="E5" s="451"/>
      <c r="F5" s="452"/>
      <c r="G5" s="453"/>
    </row>
    <row r="6" spans="1:9" ht="15" customHeight="1">
      <c r="A6" s="375" t="s">
        <v>215</v>
      </c>
      <c r="B6" s="454"/>
      <c r="C6" s="455"/>
      <c r="D6" s="455"/>
      <c r="E6" s="455"/>
      <c r="F6" s="456"/>
    </row>
    <row r="7" spans="1:9" ht="15" customHeight="1">
      <c r="B7" s="454"/>
      <c r="C7" s="454"/>
      <c r="D7" s="457"/>
      <c r="E7" s="458" t="s">
        <v>244</v>
      </c>
      <c r="F7" s="458"/>
      <c r="G7" s="458"/>
      <c r="H7" s="458"/>
      <c r="I7" s="458"/>
    </row>
    <row r="8" spans="1:9" s="383" customFormat="1" ht="26.25" customHeight="1">
      <c r="A8" s="459" t="s">
        <v>198</v>
      </c>
      <c r="B8" s="460" t="s">
        <v>150</v>
      </c>
      <c r="C8" s="461" t="s">
        <v>1580</v>
      </c>
      <c r="D8" s="459" t="s">
        <v>1581</v>
      </c>
      <c r="E8" s="459" t="s">
        <v>1245</v>
      </c>
      <c r="F8" s="459" t="s">
        <v>1303</v>
      </c>
      <c r="G8" s="459" t="s">
        <v>1579</v>
      </c>
      <c r="H8" s="459" t="s">
        <v>1614</v>
      </c>
      <c r="I8" s="459" t="s">
        <v>1613</v>
      </c>
    </row>
    <row r="9" spans="1:9" s="383" customFormat="1" ht="15" customHeight="1">
      <c r="A9" s="462">
        <v>1</v>
      </c>
      <c r="B9" s="463" t="s">
        <v>1997</v>
      </c>
      <c r="C9" s="464">
        <f>Tariefsopbouw!$E$35</f>
        <v>0</v>
      </c>
      <c r="D9" s="465" t="s">
        <v>1300</v>
      </c>
      <c r="E9" s="466" t="e">
        <f>(Invulextrawerkz[[#This Row],[Prijs
Excl. BTW]]*Tariefsopbouw!$I$37)+Invulextrawerkz[[#This Row],[Prijs
Excl. BTW]]</f>
        <v>#DIV/0!</v>
      </c>
      <c r="F9" s="467" t="e">
        <f>Invulextrawerkz[[#This Row],[2027]]*Tariefsopbouw!$K$37+Invulextrawerkz[[#This Row],[2027]]</f>
        <v>#DIV/0!</v>
      </c>
      <c r="G9" s="467" t="e">
        <f>Invulextrawerkz[[#This Row],[2028]]*Tariefsopbouw!$M$37+Invulextrawerkz[[#This Row],[2028]]</f>
        <v>#DIV/0!</v>
      </c>
      <c r="H9" s="467" t="e">
        <f>Invulextrawerkz[[#This Row],[2029]]*Tariefsopbouw!$O$37+Invulextrawerkz[[#This Row],[2029]]</f>
        <v>#DIV/0!</v>
      </c>
      <c r="I9" s="467" t="e">
        <f>Invulextrawerkz[[#This Row],[2030]]*Tariefsopbouw!$Q$37+Invulextrawerkz[[#This Row],[2030]]</f>
        <v>#DIV/0!</v>
      </c>
    </row>
    <row r="10" spans="1:9" ht="15" customHeight="1">
      <c r="A10" s="462">
        <v>2</v>
      </c>
      <c r="B10" s="465" t="s">
        <v>1971</v>
      </c>
      <c r="C10" s="464">
        <f>Tariefsopbouw!$E$35</f>
        <v>0</v>
      </c>
      <c r="D10" s="465" t="s">
        <v>1300</v>
      </c>
      <c r="E10" s="468" t="e">
        <f>(Invulextrawerkz[[#This Row],[Prijs
Excl. BTW]]*Tariefsopbouw!$I$37)+Invulextrawerkz[[#This Row],[Prijs
Excl. BTW]]</f>
        <v>#DIV/0!</v>
      </c>
      <c r="F10" s="468" t="e">
        <f>Invulextrawerkz[[#This Row],[2027]]*Tariefsopbouw!$K$37+Invulextrawerkz[[#This Row],[2027]]</f>
        <v>#DIV/0!</v>
      </c>
      <c r="G10" s="468" t="e">
        <f>Invulextrawerkz[[#This Row],[2028]]*Tariefsopbouw!$M$37+Invulextrawerkz[[#This Row],[2028]]</f>
        <v>#DIV/0!</v>
      </c>
      <c r="H10" s="468" t="e">
        <f>Invulextrawerkz[[#This Row],[2029]]*Tariefsopbouw!$O$37+Invulextrawerkz[[#This Row],[2029]]</f>
        <v>#DIV/0!</v>
      </c>
      <c r="I10" s="468" t="e">
        <f>Invulextrawerkz[[#This Row],[2030]]*Tariefsopbouw!$Q$37+Invulextrawerkz[[#This Row],[2030]]</f>
        <v>#DIV/0!</v>
      </c>
    </row>
    <row r="11" spans="1:9" ht="15" customHeight="1">
      <c r="B11" s="417"/>
      <c r="E11" s="469"/>
      <c r="F11" s="470"/>
      <c r="G11" s="469"/>
      <c r="H11" s="469"/>
    </row>
    <row r="12" spans="1:9" s="473" customFormat="1" ht="28.5" customHeight="1">
      <c r="A12" s="459" t="s">
        <v>197</v>
      </c>
      <c r="B12" s="459" t="s">
        <v>135</v>
      </c>
      <c r="C12" s="459" t="s">
        <v>198</v>
      </c>
      <c r="D12" s="471" t="s">
        <v>150</v>
      </c>
      <c r="E12" s="471" t="s">
        <v>1582</v>
      </c>
      <c r="F12" s="471" t="s">
        <v>158</v>
      </c>
      <c r="G12" s="471" t="s">
        <v>137</v>
      </c>
      <c r="H12" s="472" t="s">
        <v>1260</v>
      </c>
      <c r="I12" s="471" t="s">
        <v>2000</v>
      </c>
    </row>
    <row r="13" spans="1:9" ht="15" customHeight="1">
      <c r="A13" s="474">
        <v>1</v>
      </c>
      <c r="B13" s="465" t="str">
        <f>VLOOKUP(Overzichtextrawerkz.[[#This Row],[Code Locatie]],Locaties[[Code]:[Locatie]],2,FALSE)</f>
        <v>IKC Kameleon</v>
      </c>
      <c r="C13" s="462">
        <v>2</v>
      </c>
      <c r="D13" s="475" t="str">
        <f>IF(Overzichtextrawerkz.[[#This Row],[Code Taak]]&gt;0,VLOOKUP(Overzichtextrawerkz.[[#This Row],[Code Taak]],$A$8:$B$10,2,FALSE),"")</f>
        <v>Extra werkzaamheden BSO in vakanties</v>
      </c>
      <c r="E13" s="417">
        <v>1</v>
      </c>
      <c r="F13" s="476">
        <v>60</v>
      </c>
      <c r="G13" s="477">
        <f>VLOOKUP(Overzichtextrawerkz.[[#This Row],[Code Taak]],Invulextrawerkz[],3,3)*E13*F13</f>
        <v>0</v>
      </c>
      <c r="H13" s="477">
        <f>Overzichtextrawerkz.[[#This Row],[Kosten/jaar excl. BTW]]*1.21</f>
        <v>0</v>
      </c>
      <c r="I13" s="478" t="s">
        <v>2001</v>
      </c>
    </row>
    <row r="14" spans="1:9" ht="15" customHeight="1">
      <c r="A14" s="474">
        <v>1</v>
      </c>
      <c r="B14" s="465" t="str">
        <f>VLOOKUP(Overzichtextrawerkz.[[#This Row],[Code Locatie]],Locaties[[Code]:[Locatie]],2,FALSE)</f>
        <v>IKC Kameleon</v>
      </c>
      <c r="C14" s="462">
        <v>1</v>
      </c>
      <c r="D14" s="475" t="str">
        <f>IF(Overzichtextrawerkz.[[#This Row],[Code Taak]]&gt;0,VLOOKUP(Overzichtextrawerkz.[[#This Row],[Code Taak]],$A$8:$B$10,2,FALSE),"")</f>
        <v>Raamventilatieroosters</v>
      </c>
      <c r="E14" s="489"/>
      <c r="F14" s="476">
        <v>1</v>
      </c>
      <c r="G14" s="477">
        <f>VLOOKUP(Overzichtextrawerkz.[[#This Row],[Code Taak]],Invulextrawerkz[],3,3)*E14*F14</f>
        <v>0</v>
      </c>
      <c r="H14" s="477">
        <f>Overzichtextrawerkz.[[#This Row],[Kosten/jaar excl. BTW]]*1.21</f>
        <v>0</v>
      </c>
      <c r="I14" s="478" t="s">
        <v>1998</v>
      </c>
    </row>
    <row r="15" spans="1:9" ht="15" customHeight="1">
      <c r="A15" s="474">
        <v>2</v>
      </c>
      <c r="B15" s="465" t="str">
        <f>VLOOKUP(Overzichtextrawerkz.[[#This Row],[Code Locatie]],Locaties[[Code]:[Locatie]],2,FALSE)</f>
        <v>IKC De Hoge Hoeve</v>
      </c>
      <c r="C15" s="462">
        <v>2</v>
      </c>
      <c r="D15" s="475" t="str">
        <f>IF(Overzichtextrawerkz.[[#This Row],[Code Taak]]&gt;0,VLOOKUP(Overzichtextrawerkz.[[#This Row],[Code Taak]],$A$8:$B$10,2,FALSE),"")</f>
        <v>Extra werkzaamheden BSO in vakanties</v>
      </c>
      <c r="E15" s="417">
        <v>1</v>
      </c>
      <c r="F15" s="476">
        <v>60</v>
      </c>
      <c r="G15" s="477">
        <f>VLOOKUP(Overzichtextrawerkz.[[#This Row],[Code Taak]],Invulextrawerkz[],3,3)*E15*F15</f>
        <v>0</v>
      </c>
      <c r="H15" s="477">
        <f>Overzichtextrawerkz.[[#This Row],[Kosten/jaar excl. BTW]]*1.21</f>
        <v>0</v>
      </c>
      <c r="I15" s="478" t="s">
        <v>2001</v>
      </c>
    </row>
    <row r="16" spans="1:9" ht="15" customHeight="1">
      <c r="A16" s="474">
        <v>3</v>
      </c>
      <c r="B16" s="465" t="str">
        <f>VLOOKUP(Overzichtextrawerkz.[[#This Row],[Code Locatie]],Locaties[[Code]:[Locatie]],2,FALSE)</f>
        <v>Sport IKC Het Startblok</v>
      </c>
      <c r="C16" s="462">
        <v>2</v>
      </c>
      <c r="D16" s="475" t="str">
        <f>IF(Overzichtextrawerkz.[[#This Row],[Code Taak]]&gt;0,VLOOKUP(Overzichtextrawerkz.[[#This Row],[Code Taak]],$A$8:$B$10,2,FALSE),"")</f>
        <v>Extra werkzaamheden BSO in vakanties</v>
      </c>
      <c r="E16" s="417">
        <v>1</v>
      </c>
      <c r="F16" s="476">
        <v>60</v>
      </c>
      <c r="G16" s="477">
        <f>VLOOKUP(Overzichtextrawerkz.[[#This Row],[Code Taak]],Invulextrawerkz[],3,3)*E16*F16</f>
        <v>0</v>
      </c>
      <c r="H16" s="477">
        <f>Overzichtextrawerkz.[[#This Row],[Kosten/jaar excl. BTW]]*1.21</f>
        <v>0</v>
      </c>
      <c r="I16" s="478" t="s">
        <v>2001</v>
      </c>
    </row>
    <row r="17" spans="1:9" ht="15" customHeight="1">
      <c r="A17" s="474">
        <v>4</v>
      </c>
      <c r="B17" s="465" t="str">
        <f>VLOOKUP(Overzichtextrawerkz.[[#This Row],[Code Locatie]],Locaties[[Code]:[Locatie]],2,FALSE)</f>
        <v>IKC De Brug</v>
      </c>
      <c r="C17" s="462">
        <v>2</v>
      </c>
      <c r="D17" s="475" t="str">
        <f>IF(Overzichtextrawerkz.[[#This Row],[Code Taak]]&gt;0,VLOOKUP(Overzichtextrawerkz.[[#This Row],[Code Taak]],$A$8:$B$10,2,FALSE),"")</f>
        <v>Extra werkzaamheden BSO in vakanties</v>
      </c>
      <c r="E17" s="417">
        <v>1</v>
      </c>
      <c r="F17" s="476">
        <v>60</v>
      </c>
      <c r="G17" s="477">
        <f>VLOOKUP(Overzichtextrawerkz.[[#This Row],[Code Taak]],Invulextrawerkz[],3,3)*E17*F17</f>
        <v>0</v>
      </c>
      <c r="H17" s="477">
        <f>Overzichtextrawerkz.[[#This Row],[Kosten/jaar excl. BTW]]*1.21</f>
        <v>0</v>
      </c>
      <c r="I17" s="478" t="s">
        <v>2001</v>
      </c>
    </row>
    <row r="18" spans="1:9" ht="15" customHeight="1">
      <c r="A18" s="474">
        <v>5</v>
      </c>
      <c r="B18" s="465" t="str">
        <f>VLOOKUP(Overzichtextrawerkz.[[#This Row],[Code Locatie]],Locaties[[Code]:[Locatie]],2,FALSE)</f>
        <v>IKC Remigius</v>
      </c>
      <c r="C18" s="462">
        <v>2</v>
      </c>
      <c r="D18" s="475" t="str">
        <f>IF(Overzichtextrawerkz.[[#This Row],[Code Taak]]&gt;0,VLOOKUP(Overzichtextrawerkz.[[#This Row],[Code Taak]],$A$8:$B$10,2,FALSE),"")</f>
        <v>Extra werkzaamheden BSO in vakanties</v>
      </c>
      <c r="E18" s="417">
        <v>1.5</v>
      </c>
      <c r="F18" s="476">
        <v>60</v>
      </c>
      <c r="G18" s="477">
        <f>VLOOKUP(Overzichtextrawerkz.[[#This Row],[Code Taak]],Invulextrawerkz[],3,3)*E18*F18</f>
        <v>0</v>
      </c>
      <c r="H18" s="477">
        <f>Overzichtextrawerkz.[[#This Row],[Kosten/jaar excl. BTW]]*1.21</f>
        <v>0</v>
      </c>
      <c r="I18" s="478" t="s">
        <v>2001</v>
      </c>
    </row>
    <row r="19" spans="1:9" ht="15" customHeight="1">
      <c r="A19" s="474">
        <v>6</v>
      </c>
      <c r="B19" s="465" t="str">
        <f>VLOOKUP(Overzichtextrawerkz.[[#This Row],[Code Locatie]],Locaties[[Code]:[Locatie]],2,FALSE)</f>
        <v>IKC Joannes</v>
      </c>
      <c r="C19" s="462">
        <v>2</v>
      </c>
      <c r="D19" s="475" t="str">
        <f>IF(Overzichtextrawerkz.[[#This Row],[Code Taak]]&gt;0,VLOOKUP(Overzichtextrawerkz.[[#This Row],[Code Taak]],$A$8:$B$10,2,FALSE),"")</f>
        <v>Extra werkzaamheden BSO in vakanties</v>
      </c>
      <c r="E19" s="417">
        <v>1</v>
      </c>
      <c r="F19" s="476">
        <v>60</v>
      </c>
      <c r="G19" s="477">
        <f>VLOOKUP(Overzichtextrawerkz.[[#This Row],[Code Taak]],Invulextrawerkz[],3,3)*E19*F19</f>
        <v>0</v>
      </c>
      <c r="H19" s="477">
        <f>Overzichtextrawerkz.[[#This Row],[Kosten/jaar excl. BTW]]*1.21</f>
        <v>0</v>
      </c>
      <c r="I19" s="478" t="s">
        <v>2001</v>
      </c>
    </row>
    <row r="20" spans="1:9" ht="15" customHeight="1">
      <c r="A20" s="474">
        <v>7</v>
      </c>
      <c r="B20" s="465" t="str">
        <f>VLOOKUP(Overzichtextrawerkz.[[#This Row],[Code Locatie]],Locaties[[Code]:[Locatie]],2,FALSE)</f>
        <v>Montessori IKC De Groene Ring</v>
      </c>
      <c r="C20" s="462">
        <v>1</v>
      </c>
      <c r="D20" s="475" t="str">
        <f>IF(Overzichtextrawerkz.[[#This Row],[Code Taak]]&gt;0,VLOOKUP(Overzichtextrawerkz.[[#This Row],[Code Taak]],$A$8:$B$10,2,FALSE),"")</f>
        <v>Raamventilatieroosters</v>
      </c>
      <c r="E20" s="489"/>
      <c r="F20" s="476">
        <v>1</v>
      </c>
      <c r="G20" s="477">
        <f>VLOOKUP(Overzichtextrawerkz.[[#This Row],[Code Taak]],Invulextrawerkz[],3,3)*E20*F20</f>
        <v>0</v>
      </c>
      <c r="H20" s="477">
        <f>Overzichtextrawerkz.[[#This Row],[Kosten/jaar excl. BTW]]*1.21</f>
        <v>0</v>
      </c>
      <c r="I20" s="478" t="s">
        <v>1999</v>
      </c>
    </row>
    <row r="21" spans="1:9" ht="15" customHeight="1">
      <c r="A21" s="474">
        <v>7</v>
      </c>
      <c r="B21" s="465" t="str">
        <f>VLOOKUP(Overzichtextrawerkz.[[#This Row],[Code Locatie]],Locaties[[Code]:[Locatie]],2,FALSE)</f>
        <v>Montessori IKC De Groene Ring</v>
      </c>
      <c r="C21" s="462">
        <v>2</v>
      </c>
      <c r="D21" s="475" t="str">
        <f>IF(Overzichtextrawerkz.[[#This Row],[Code Taak]]&gt;0,VLOOKUP(Overzichtextrawerkz.[[#This Row],[Code Taak]],$A$8:$B$10,2,FALSE),"")</f>
        <v>Extra werkzaamheden BSO in vakanties</v>
      </c>
      <c r="E21" s="417">
        <v>1</v>
      </c>
      <c r="F21" s="476">
        <v>60</v>
      </c>
      <c r="G21" s="477">
        <f>VLOOKUP(Overzichtextrawerkz.[[#This Row],[Code Taak]],Invulextrawerkz[],3,3)*E21*F21</f>
        <v>0</v>
      </c>
      <c r="H21" s="477">
        <f>Overzichtextrawerkz.[[#This Row],[Kosten/jaar excl. BTW]]*1.21</f>
        <v>0</v>
      </c>
      <c r="I21" s="478" t="s">
        <v>2001</v>
      </c>
    </row>
    <row r="22" spans="1:9" ht="15" customHeight="1">
      <c r="A22" s="479"/>
      <c r="B22" s="480" t="s">
        <v>32</v>
      </c>
      <c r="C22" s="479"/>
      <c r="D22" s="481"/>
      <c r="E22" s="482"/>
      <c r="F22" s="479"/>
      <c r="G22" s="483">
        <f>SUBTOTAL(109,Overzichtextrawerkz.[Kosten/jaar excl. BTW])</f>
        <v>0</v>
      </c>
      <c r="H22" s="483">
        <f>SUBTOTAL(109,Overzichtextrawerkz.[Kosten/jaar incl. BTW])</f>
        <v>0</v>
      </c>
      <c r="I22" s="484"/>
    </row>
    <row r="23" spans="1:9">
      <c r="A23" s="485"/>
      <c r="C23" s="451"/>
      <c r="D23" s="451"/>
      <c r="E23" s="451"/>
      <c r="F23" s="470"/>
      <c r="G23" s="486"/>
      <c r="H23" s="453"/>
    </row>
    <row r="25" spans="1:9">
      <c r="E25" s="487"/>
    </row>
  </sheetData>
  <sheetProtection algorithmName="SHA-512" hashValue="xCkymyrq6sr+/dVJg4T0aEOy0kCqPmKV+jeN7DpHNCl4ORV1ndFpQRDAgs0BgvHrBQt53Z0MvLWepwG16WEyVw==" saltValue="joMc2eMfniyWq7UFaLTx4w==" spinCount="100000" sheet="1" objects="1" scenarios="1" autoFilter="0"/>
  <mergeCells count="3">
    <mergeCell ref="E7:I7"/>
    <mergeCell ref="A2:I2"/>
    <mergeCell ref="A1:I1"/>
  </mergeCells>
  <phoneticPr fontId="8" type="noConversion"/>
  <pageMargins left="0.7" right="0.7" top="0.75" bottom="0.75" header="0.3" footer="0.3"/>
  <pageSetup paperSize="9" scale="43"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38"/>
  <sheetViews>
    <sheetView showGridLines="0" view="pageBreakPreview" topLeftCell="A17" zoomScaleNormal="100" zoomScaleSheetLayoutView="100" workbookViewId="0">
      <selection activeCell="H32" sqref="H32"/>
    </sheetView>
  </sheetViews>
  <sheetFormatPr defaultColWidth="9.140625" defaultRowHeight="18.75" customHeight="1"/>
  <cols>
    <col min="1" max="1" width="13.7109375" style="177" customWidth="1"/>
    <col min="2" max="2" width="31.5703125" style="176" customWidth="1"/>
    <col min="3" max="5" width="23.28515625" style="177" customWidth="1"/>
    <col min="6" max="6" width="23.5703125" style="177" customWidth="1"/>
    <col min="7" max="7" width="23.28515625" style="177" customWidth="1"/>
    <col min="8" max="8" width="22.7109375" style="178" customWidth="1"/>
    <col min="9" max="9" width="20.5703125" style="177" customWidth="1"/>
    <col min="10" max="10" width="15.85546875" style="177" customWidth="1"/>
    <col min="11" max="16384" width="9.140625" style="177"/>
  </cols>
  <sheetData>
    <row r="1" spans="1:8" s="25" customFormat="1" ht="17.25" customHeight="1">
      <c r="A1" s="332" t="s">
        <v>201</v>
      </c>
      <c r="B1" s="332"/>
      <c r="C1" s="332"/>
      <c r="D1" s="332"/>
      <c r="E1" s="332"/>
      <c r="F1" s="332"/>
      <c r="G1" s="332"/>
      <c r="H1" s="175"/>
    </row>
    <row r="2" spans="1:8" s="25" customFormat="1" ht="15" customHeight="1">
      <c r="A2" s="350"/>
      <c r="B2" s="333"/>
      <c r="C2" s="333"/>
      <c r="D2" s="333"/>
      <c r="E2" s="333"/>
      <c r="F2" s="333"/>
      <c r="G2" s="333"/>
      <c r="H2" s="175"/>
    </row>
    <row r="3" spans="1:8" s="28" customFormat="1" ht="12">
      <c r="B3" s="31"/>
      <c r="H3" s="175"/>
    </row>
    <row r="4" spans="1:8" ht="12">
      <c r="A4" s="176"/>
      <c r="B4" s="177"/>
    </row>
    <row r="5" spans="1:8" ht="12">
      <c r="A5" s="35" t="s">
        <v>209</v>
      </c>
      <c r="B5" s="177"/>
    </row>
    <row r="6" spans="1:8" s="179" customFormat="1" ht="25.5" customHeight="1">
      <c r="A6" s="289" t="s">
        <v>197</v>
      </c>
      <c r="B6" s="290" t="s">
        <v>135</v>
      </c>
      <c r="C6" s="289" t="s">
        <v>162</v>
      </c>
      <c r="D6" s="291" t="s">
        <v>163</v>
      </c>
      <c r="E6" s="291" t="s">
        <v>1262</v>
      </c>
      <c r="F6" s="289" t="s">
        <v>164</v>
      </c>
    </row>
    <row r="7" spans="1:8" s="179" customFormat="1" ht="18.75" customHeight="1">
      <c r="A7" s="5">
        <v>1</v>
      </c>
      <c r="B7" s="3" t="str">
        <f>VLOOKUP(Samenvattingschoonmaak[[#This Row],[Code Locatie]],Locaties[],2,0)</f>
        <v>IKC Kameleon</v>
      </c>
      <c r="C7" s="180">
        <f>SUMIF('Ruimtestaat'!$A:$A,Totalisatie!$A7,'Ruimtestaat'!$N:$N)</f>
        <v>1839.05</v>
      </c>
      <c r="D7" s="181">
        <f>SUMIF('Ruimtestaat'!$A:$A,Totalisatie!$A7,'Ruimtestaat'!$AF:$AF)</f>
        <v>0</v>
      </c>
      <c r="E7" s="182">
        <f>SUMIF('Ruimtestaat'!$A:$A,Totalisatie!$A7,'Ruimtestaat'!$AG:$AG)</f>
        <v>0</v>
      </c>
      <c r="F7" s="183">
        <f t="shared" ref="F7:F10" si="0">IF(C7=0,0,E7/C7)</f>
        <v>0</v>
      </c>
    </row>
    <row r="8" spans="1:8" s="179" customFormat="1" ht="18.75" customHeight="1">
      <c r="A8" s="5">
        <v>2</v>
      </c>
      <c r="B8" s="3" t="str">
        <f>VLOOKUP(Samenvattingschoonmaak[[#This Row],[Code Locatie]],Locaties[],2,0)</f>
        <v>IKC De Hoge Hoeve</v>
      </c>
      <c r="C8" s="180">
        <f>SUMIF('Ruimtestaat'!$A:$A,Totalisatie!$A8,'Ruimtestaat'!$N:$N)</f>
        <v>1411</v>
      </c>
      <c r="D8" s="181">
        <f>SUMIF('Ruimtestaat'!$A:$A,Totalisatie!$A8,'Ruimtestaat'!$AF:$AF)</f>
        <v>0</v>
      </c>
      <c r="E8" s="182">
        <f>SUMIF('Ruimtestaat'!$A:$A,Totalisatie!$A8,'Ruimtestaat'!$AG:$AG)</f>
        <v>0</v>
      </c>
      <c r="F8" s="183">
        <f t="shared" si="0"/>
        <v>0</v>
      </c>
    </row>
    <row r="9" spans="1:8" s="179" customFormat="1" ht="18.75" customHeight="1">
      <c r="A9" s="5">
        <v>3</v>
      </c>
      <c r="B9" s="3" t="str">
        <f>VLOOKUP(Samenvattingschoonmaak[[#This Row],[Code Locatie]],Locaties[],2,0)</f>
        <v>Sport IKC Het Startblok</v>
      </c>
      <c r="C9" s="180">
        <f>SUMIF('Ruimtestaat'!$A:$A,Totalisatie!$A9,'Ruimtestaat'!$N:$N)</f>
        <v>1446.8000000000002</v>
      </c>
      <c r="D9" s="181">
        <f>SUMIF('Ruimtestaat'!$A:$A,Totalisatie!$A9,'Ruimtestaat'!$AF:$AF)</f>
        <v>0</v>
      </c>
      <c r="E9" s="182">
        <f>SUMIF('Ruimtestaat'!$A:$A,Totalisatie!$A9,'Ruimtestaat'!$AG:$AG)</f>
        <v>0</v>
      </c>
      <c r="F9" s="183">
        <f t="shared" si="0"/>
        <v>0</v>
      </c>
    </row>
    <row r="10" spans="1:8" s="179" customFormat="1" ht="18.75" customHeight="1">
      <c r="A10" s="5">
        <v>4</v>
      </c>
      <c r="B10" s="3" t="str">
        <f>VLOOKUP(Samenvattingschoonmaak[[#This Row],[Code Locatie]],Locaties[],2,0)</f>
        <v>IKC De Brug</v>
      </c>
      <c r="C10" s="180">
        <f>SUMIF('Ruimtestaat'!$A:$A,Totalisatie!$A10,'Ruimtestaat'!$N:$N)</f>
        <v>130.4</v>
      </c>
      <c r="D10" s="181">
        <f>SUMIF('Ruimtestaat'!$A:$A,Totalisatie!$A10,'Ruimtestaat'!$AF:$AF)</f>
        <v>0</v>
      </c>
      <c r="E10" s="182">
        <f>SUMIF('Ruimtestaat'!$A:$A,Totalisatie!$A10,'Ruimtestaat'!$AG:$AG)</f>
        <v>0</v>
      </c>
      <c r="F10" s="183">
        <f t="shared" si="0"/>
        <v>0</v>
      </c>
    </row>
    <row r="11" spans="1:8" ht="18.75" customHeight="1">
      <c r="A11" s="5">
        <v>5</v>
      </c>
      <c r="B11" s="3" t="str">
        <f>VLOOKUP(Samenvattingschoonmaak[[#This Row],[Code Locatie]],Locaties[],2,0)</f>
        <v>IKC Remigius</v>
      </c>
      <c r="C11" s="180">
        <f>SUMIF('Ruimtestaat'!$A:$A,Totalisatie!$A11,'Ruimtestaat'!$N:$N)</f>
        <v>2069.4000000000005</v>
      </c>
      <c r="D11" s="181">
        <f>SUMIF('Ruimtestaat'!$A:$A,Totalisatie!$A11,'Ruimtestaat'!$AF:$AF)</f>
        <v>0</v>
      </c>
      <c r="E11" s="182">
        <f>SUMIF('Ruimtestaat'!$A:$A,Totalisatie!$A11,'Ruimtestaat'!$AG:$AG)</f>
        <v>0</v>
      </c>
      <c r="F11" s="183">
        <f>IF(C11=0,0,E11/C11)</f>
        <v>0</v>
      </c>
      <c r="H11" s="177"/>
    </row>
    <row r="12" spans="1:8" ht="18.75" customHeight="1">
      <c r="A12" s="5">
        <v>6</v>
      </c>
      <c r="B12" s="3" t="str">
        <f>VLOOKUP(Samenvattingschoonmaak[[#This Row],[Code Locatie]],Locaties[],2,0)</f>
        <v>IKC Joannes</v>
      </c>
      <c r="C12" s="180">
        <f>SUMIF('Ruimtestaat'!$A:$A,Totalisatie!$A12,'Ruimtestaat'!$N:$N)</f>
        <v>1547.6000000000001</v>
      </c>
      <c r="D12" s="181">
        <f>SUMIF('Ruimtestaat'!$A:$A,Totalisatie!$A12,'Ruimtestaat'!$AF:$AF)</f>
        <v>0</v>
      </c>
      <c r="E12" s="182">
        <f>SUMIF('Ruimtestaat'!$A:$A,Totalisatie!$A12,'Ruimtestaat'!$AG:$AG)</f>
        <v>0</v>
      </c>
      <c r="F12" s="183">
        <f t="shared" ref="F12:F13" si="1">IF(C12=0,0,E12/C12)</f>
        <v>0</v>
      </c>
      <c r="H12" s="177"/>
    </row>
    <row r="13" spans="1:8" ht="18.75" customHeight="1">
      <c r="A13" s="5">
        <v>7</v>
      </c>
      <c r="B13" s="3" t="str">
        <f>VLOOKUP(Samenvattingschoonmaak[[#This Row],[Code Locatie]],Locaties[],2,0)</f>
        <v>Montessori IKC De Groene Ring</v>
      </c>
      <c r="C13" s="180">
        <f>SUMIF('Ruimtestaat'!$A:$A,Totalisatie!$A13,'Ruimtestaat'!$N:$N)</f>
        <v>1162.0999999999999</v>
      </c>
      <c r="D13" s="181">
        <f>SUMIF('Ruimtestaat'!$A:$A,Totalisatie!$A13,'Ruimtestaat'!$AF:$AF)</f>
        <v>0</v>
      </c>
      <c r="E13" s="182">
        <f>SUMIF('Ruimtestaat'!$A:$A,Totalisatie!$A13,'Ruimtestaat'!$AG:$AG)</f>
        <v>0</v>
      </c>
      <c r="F13" s="183">
        <f t="shared" si="1"/>
        <v>0</v>
      </c>
      <c r="H13" s="177"/>
    </row>
    <row r="14" spans="1:8" s="179" customFormat="1" ht="18.75" customHeight="1">
      <c r="A14" s="184"/>
      <c r="B14" s="185" t="s">
        <v>32</v>
      </c>
      <c r="C14" s="186">
        <f>SUBTOTAL(109,Samenvattingschoonmaak[Oppervlakte i/o])</f>
        <v>9606.35</v>
      </c>
      <c r="D14" s="187">
        <f>SUBTOTAL(109,Samenvattingschoonmaak[Uren / jaar])</f>
        <v>0</v>
      </c>
      <c r="E14" s="188">
        <f>SUBTOTAL(109,Samenvattingschoonmaak[Kosten / jaar excl btw])</f>
        <v>0</v>
      </c>
      <c r="F14" s="189">
        <f>Samenvattingschoonmaak[[#Totals],[Kosten / jaar excl btw]]/Samenvattingschoonmaak[[#Totals],[Oppervlakte i/o]]</f>
        <v>0</v>
      </c>
    </row>
    <row r="15" spans="1:8" ht="18.75" customHeight="1">
      <c r="A15" s="176"/>
      <c r="B15" s="177"/>
    </row>
    <row r="16" spans="1:8" ht="18.75" customHeight="1">
      <c r="A16" s="35" t="s">
        <v>165</v>
      </c>
      <c r="B16" s="190"/>
      <c r="C16" s="190"/>
      <c r="D16" s="190"/>
      <c r="E16" s="190"/>
      <c r="F16" s="190"/>
    </row>
    <row r="17" spans="1:8" ht="36.75" customHeight="1">
      <c r="A17" s="289" t="s">
        <v>197</v>
      </c>
      <c r="B17" s="290" t="s">
        <v>202</v>
      </c>
      <c r="C17" s="289" t="s">
        <v>1287</v>
      </c>
      <c r="D17" s="291" t="s">
        <v>1288</v>
      </c>
      <c r="E17" s="291" t="s">
        <v>1289</v>
      </c>
      <c r="F17" s="289" t="s">
        <v>1576</v>
      </c>
      <c r="G17" s="292" t="s">
        <v>1290</v>
      </c>
      <c r="H17" s="177"/>
    </row>
    <row r="18" spans="1:8" ht="18.75" customHeight="1">
      <c r="A18" s="5">
        <v>1</v>
      </c>
      <c r="B18" s="3" t="str">
        <f>VLOOKUP(Totalisatie[[#This Row],[Code Locatie]],Locaties[],2,0)</f>
        <v>IKC Kameleon</v>
      </c>
      <c r="C18" s="182">
        <f ca="1">SUMIF(Ruimtestaat[#All],Totalisatie[[#This Row],[Code Locatie]],Ruimtestaat[[#All],[kosten / jaar excl btw]])</f>
        <v>0</v>
      </c>
      <c r="D18" s="191">
        <f ca="1">SUMIF(OverzichtVloer20[[#All],[Code Locatie]:[Kosten/jaar excl. BTW]],Totalisatie[[#This Row],[Code Locatie]],OverzichtVloer20[[#Headers],[#Data],[Kosten/jaar excl. BTW]])</f>
        <v>0</v>
      </c>
      <c r="E18" s="191">
        <f ca="1">SUMIF(Overzichtextrawerkz.[[#All],[Code Locatie]:[Kosten/jaar excl. BTW]],Totalisatie[[#This Row],[Code Locatie]],Overzichtextrawerkz.[[#All],[Kosten/jaar excl. BTW]])</f>
        <v>0</v>
      </c>
      <c r="F18" s="191">
        <f ca="1">SUMIF(OverzichtGlas[[Code Locatie]:[Kosten/jaar excl. BTW]],Totalisatie[[#This Row],[Code Locatie]],OverzichtGlas[Kosten/jaar excl. BTW])</f>
        <v>0</v>
      </c>
      <c r="G18" s="182">
        <f ca="1">SUM(Totalisatie[[#This Row],[Schoonmaakonderhoud
Kosten / jaar excl btw]:[Glasbewassing kosten/ jaar excl. Btw]])</f>
        <v>0</v>
      </c>
      <c r="H18" s="177"/>
    </row>
    <row r="19" spans="1:8" ht="18.75" customHeight="1">
      <c r="A19" s="5">
        <v>2</v>
      </c>
      <c r="B19" s="3" t="str">
        <f>VLOOKUP(Totalisatie[[#This Row],[Code Locatie]],Locaties[],2,0)</f>
        <v>IKC De Hoge Hoeve</v>
      </c>
      <c r="C19" s="182">
        <f ca="1">SUMIF(Ruimtestaat[#All],Totalisatie[[#This Row],[Code Locatie]],Ruimtestaat[[#All],[kosten / jaar excl btw]])</f>
        <v>0</v>
      </c>
      <c r="D19" s="191">
        <f ca="1">SUMIF(OverzichtVloer20[[#All],[Code Locatie]:[Kosten/jaar excl. BTW]],Totalisatie[[#This Row],[Code Locatie]],OverzichtVloer20[[#Headers],[#Data],[Kosten/jaar excl. BTW]])</f>
        <v>0</v>
      </c>
      <c r="E19" s="191">
        <f ca="1">SUMIF(Overzichtextrawerkz.[[#All],[Code Locatie]:[Kosten/jaar excl. BTW]],Totalisatie[[#This Row],[Code Locatie]],Overzichtextrawerkz.[[#All],[Kosten/jaar excl. BTW]])</f>
        <v>0</v>
      </c>
      <c r="F19" s="191">
        <f ca="1">SUMIF(OverzichtGlas[[Code Locatie]:[Kosten/jaar excl. BTW]],Totalisatie[[#This Row],[Code Locatie]],OverzichtGlas[Kosten/jaar excl. BTW])</f>
        <v>0</v>
      </c>
      <c r="G19" s="182">
        <f ca="1">SUM(Totalisatie[[#This Row],[Schoonmaakonderhoud
Kosten / jaar excl btw]:[Glasbewassing kosten/ jaar excl. Btw]])</f>
        <v>0</v>
      </c>
      <c r="H19" s="177"/>
    </row>
    <row r="20" spans="1:8" ht="18.75" customHeight="1">
      <c r="A20" s="5">
        <v>3</v>
      </c>
      <c r="B20" s="3" t="str">
        <f>VLOOKUP(Totalisatie[[#This Row],[Code Locatie]],Locaties[],2,0)</f>
        <v>Sport IKC Het Startblok</v>
      </c>
      <c r="C20" s="182">
        <f ca="1">SUMIF(Ruimtestaat[#All],Totalisatie[[#This Row],[Code Locatie]],Ruimtestaat[[#All],[kosten / jaar excl btw]])</f>
        <v>0</v>
      </c>
      <c r="D20" s="191">
        <f ca="1">SUMIF(OverzichtVloer20[[#All],[Code Locatie]:[Kosten/jaar excl. BTW]],Totalisatie[[#This Row],[Code Locatie]],OverzichtVloer20[[#Headers],[#Data],[Kosten/jaar excl. BTW]])</f>
        <v>0</v>
      </c>
      <c r="E20" s="191">
        <f ca="1">SUMIF(Overzichtextrawerkz.[[#All],[Code Locatie]:[Kosten/jaar excl. BTW]],Totalisatie[[#This Row],[Code Locatie]],Overzichtextrawerkz.[[#All],[Kosten/jaar excl. BTW]])</f>
        <v>0</v>
      </c>
      <c r="F20" s="191">
        <f ca="1">SUMIF(OverzichtGlas[[Code Locatie]:[Kosten/jaar excl. BTW]],Totalisatie[[#This Row],[Code Locatie]],OverzichtGlas[Kosten/jaar excl. BTW])</f>
        <v>0</v>
      </c>
      <c r="G20" s="182">
        <f ca="1">SUM(Totalisatie[[#This Row],[Schoonmaakonderhoud
Kosten / jaar excl btw]:[Glasbewassing kosten/ jaar excl. Btw]])</f>
        <v>0</v>
      </c>
      <c r="H20" s="177"/>
    </row>
    <row r="21" spans="1:8" ht="18.75" customHeight="1">
      <c r="A21" s="5">
        <v>4</v>
      </c>
      <c r="B21" s="3" t="str">
        <f>VLOOKUP(Totalisatie[[#This Row],[Code Locatie]],Locaties[],2,0)</f>
        <v>IKC De Brug</v>
      </c>
      <c r="C21" s="182">
        <f ca="1">SUMIF(Ruimtestaat[#All],Totalisatie[[#This Row],[Code Locatie]],Ruimtestaat[[#All],[kosten / jaar excl btw]])</f>
        <v>0</v>
      </c>
      <c r="D21" s="191">
        <f ca="1">SUMIF(OverzichtVloer20[[#All],[Code Locatie]:[Kosten/jaar excl. BTW]],Totalisatie[[#This Row],[Code Locatie]],OverzichtVloer20[[#Headers],[#Data],[Kosten/jaar excl. BTW]])</f>
        <v>0</v>
      </c>
      <c r="E21" s="191">
        <f ca="1">SUMIF(Overzichtextrawerkz.[[#All],[Code Locatie]:[Kosten/jaar excl. BTW]],Totalisatie[[#This Row],[Code Locatie]],Overzichtextrawerkz.[[#All],[Kosten/jaar excl. BTW]])</f>
        <v>0</v>
      </c>
      <c r="F21" s="191">
        <f ca="1">SUMIF(OverzichtGlas[[Code Locatie]:[Kosten/jaar excl. BTW]],Totalisatie[[#This Row],[Code Locatie]],OverzichtGlas[Kosten/jaar excl. BTW])</f>
        <v>0</v>
      </c>
      <c r="G21" s="182">
        <f ca="1">SUM(Totalisatie[[#This Row],[Schoonmaakonderhoud
Kosten / jaar excl btw]:[Glasbewassing kosten/ jaar excl. Btw]])</f>
        <v>0</v>
      </c>
      <c r="H21" s="177"/>
    </row>
    <row r="22" spans="1:8" ht="18.75" customHeight="1">
      <c r="A22" s="5">
        <v>5</v>
      </c>
      <c r="B22" s="3" t="str">
        <f>VLOOKUP(Totalisatie[[#This Row],[Code Locatie]],Locaties[],2,0)</f>
        <v>IKC Remigius</v>
      </c>
      <c r="C22" s="182">
        <f ca="1">SUMIF(Ruimtestaat[#All],Totalisatie[[#This Row],[Code Locatie]],Ruimtestaat[[#All],[kosten / jaar excl btw]])</f>
        <v>0</v>
      </c>
      <c r="D22" s="191">
        <f ca="1">SUMIF(OverzichtVloer20[[#All],[Code Locatie]:[Kosten/jaar excl. BTW]],Totalisatie[[#This Row],[Code Locatie]],OverzichtVloer20[[#Headers],[#Data],[Kosten/jaar excl. BTW]])</f>
        <v>0</v>
      </c>
      <c r="E22" s="191">
        <f ca="1">SUMIF(Overzichtextrawerkz.[[#All],[Code Locatie]:[Kosten/jaar excl. BTW]],Totalisatie[[#This Row],[Code Locatie]],Overzichtextrawerkz.[[#All],[Kosten/jaar excl. BTW]])</f>
        <v>0</v>
      </c>
      <c r="F22" s="191">
        <f ca="1">SUMIF(OverzichtGlas[[Code Locatie]:[Kosten/jaar excl. BTW]],Totalisatie[[#This Row],[Code Locatie]],OverzichtGlas[Kosten/jaar excl. BTW])</f>
        <v>0</v>
      </c>
      <c r="G22" s="182">
        <f ca="1">SUM(Totalisatie[[#This Row],[Schoonmaakonderhoud
Kosten / jaar excl btw]:[Glasbewassing kosten/ jaar excl. Btw]])</f>
        <v>0</v>
      </c>
      <c r="H22" s="177"/>
    </row>
    <row r="23" spans="1:8" ht="18.75" customHeight="1">
      <c r="A23" s="5">
        <v>6</v>
      </c>
      <c r="B23" s="3" t="str">
        <f>VLOOKUP(Totalisatie[[#This Row],[Code Locatie]],Locaties[],2,0)</f>
        <v>IKC Joannes</v>
      </c>
      <c r="C23" s="182">
        <f ca="1">SUMIF(Ruimtestaat[#All],Totalisatie[[#This Row],[Code Locatie]],Ruimtestaat[[#All],[kosten / jaar excl btw]])</f>
        <v>0</v>
      </c>
      <c r="D23" s="191">
        <f ca="1">SUMIF(OverzichtVloer20[[#All],[Code Locatie]:[Kosten/jaar excl. BTW]],Totalisatie[[#This Row],[Code Locatie]],OverzichtVloer20[[#Headers],[#Data],[Kosten/jaar excl. BTW]])</f>
        <v>0</v>
      </c>
      <c r="E23" s="191">
        <f ca="1">SUMIF(Overzichtextrawerkz.[[#All],[Code Locatie]:[Kosten/jaar excl. BTW]],Totalisatie[[#This Row],[Code Locatie]],Overzichtextrawerkz.[[#All],[Kosten/jaar excl. BTW]])</f>
        <v>0</v>
      </c>
      <c r="F23" s="191">
        <f ca="1">SUMIF(OverzichtGlas[[Code Locatie]:[Kosten/jaar excl. BTW]],Totalisatie[[#This Row],[Code Locatie]],OverzichtGlas[Kosten/jaar excl. BTW])</f>
        <v>0</v>
      </c>
      <c r="G23" s="182">
        <f ca="1">SUM(Totalisatie[[#This Row],[Schoonmaakonderhoud
Kosten / jaar excl btw]:[Glasbewassing kosten/ jaar excl. Btw]])</f>
        <v>0</v>
      </c>
      <c r="H23" s="177"/>
    </row>
    <row r="24" spans="1:8" ht="18.75" customHeight="1">
      <c r="A24" s="5">
        <v>7</v>
      </c>
      <c r="B24" s="3" t="str">
        <f>VLOOKUP(Totalisatie[[#This Row],[Code Locatie]],Locaties[],2,0)</f>
        <v>Montessori IKC De Groene Ring</v>
      </c>
      <c r="C24" s="182">
        <f ca="1">SUMIF(Ruimtestaat[#All],Totalisatie[[#This Row],[Code Locatie]],Ruimtestaat[[#All],[kosten / jaar excl btw]])</f>
        <v>0</v>
      </c>
      <c r="D24" s="191">
        <f ca="1">SUMIF(OverzichtVloer20[[#All],[Code Locatie]:[Kosten/jaar excl. BTW]],Totalisatie[[#This Row],[Code Locatie]],OverzichtVloer20[[#Headers],[#Data],[Kosten/jaar excl. BTW]])</f>
        <v>0</v>
      </c>
      <c r="E24" s="191">
        <f ca="1">SUMIF(Overzichtextrawerkz.[[#All],[Code Locatie]:[Kosten/jaar excl. BTW]],Totalisatie[[#This Row],[Code Locatie]],Overzichtextrawerkz.[[#All],[Kosten/jaar excl. BTW]])</f>
        <v>0</v>
      </c>
      <c r="F24" s="191">
        <f ca="1">SUMIF(OverzichtGlas[[Code Locatie]:[Kosten/jaar excl. BTW]],Totalisatie[[#This Row],[Code Locatie]],OverzichtGlas[Kosten/jaar excl. BTW])</f>
        <v>0</v>
      </c>
      <c r="G24" s="182">
        <f ca="1">SUM(Totalisatie[[#This Row],[Schoonmaakonderhoud
Kosten / jaar excl btw]:[Glasbewassing kosten/ jaar excl. Btw]])</f>
        <v>0</v>
      </c>
      <c r="H24" s="177"/>
    </row>
    <row r="25" spans="1:8" ht="18.75" customHeight="1">
      <c r="A25" s="184"/>
      <c r="B25" s="185" t="s">
        <v>32</v>
      </c>
      <c r="C25" s="188">
        <f ca="1">SUBTOTAL(109,Totalisatie[Schoonmaakonderhoud
Kosten / jaar excl btw])</f>
        <v>0</v>
      </c>
      <c r="D25" s="188">
        <f ca="1">SUBTOTAL(109,Totalisatie[Vloeronderhoud
Kosten / jaar excl btw])</f>
        <v>0</v>
      </c>
      <c r="E25" s="188">
        <f ca="1">SUBTOTAL(109,Totalisatie[Extra werkzaamheden kosten/ jaar excl. btw])</f>
        <v>0</v>
      </c>
      <c r="F25" s="188">
        <f ca="1">SUBTOTAL(109,Totalisatie[Glasbewassing kosten/ jaar excl. Btw])</f>
        <v>0</v>
      </c>
      <c r="G25" s="188">
        <f ca="1">SUBTOTAL(109,Totalisatie[Totaalprijs
Kosten / jaar excl. btw])</f>
        <v>0</v>
      </c>
      <c r="H25" s="177"/>
    </row>
    <row r="26" spans="1:8" ht="18.75" customHeight="1">
      <c r="A26" s="176"/>
      <c r="B26" s="177"/>
      <c r="C26" s="192"/>
      <c r="D26" s="193"/>
      <c r="E26" s="193"/>
      <c r="F26" s="193"/>
      <c r="G26" s="193"/>
    </row>
    <row r="27" spans="1:8" ht="18.75" customHeight="1">
      <c r="A27" s="176"/>
      <c r="B27" s="177"/>
    </row>
    <row r="28" spans="1:8" ht="12">
      <c r="A28" s="35" t="s">
        <v>203</v>
      </c>
      <c r="B28" s="177"/>
    </row>
    <row r="29" spans="1:8" ht="18.75" customHeight="1">
      <c r="A29" s="355" t="s">
        <v>207</v>
      </c>
      <c r="B29" s="356"/>
      <c r="C29" s="490" t="s">
        <v>212</v>
      </c>
      <c r="D29" s="494"/>
      <c r="E29" s="494"/>
      <c r="F29" s="494"/>
      <c r="G29" s="494"/>
    </row>
    <row r="30" spans="1:8" ht="18.75" customHeight="1">
      <c r="A30" s="194" t="s">
        <v>122</v>
      </c>
      <c r="B30" s="490" t="s">
        <v>212</v>
      </c>
      <c r="C30" s="491"/>
      <c r="D30" s="194" t="s">
        <v>122</v>
      </c>
      <c r="E30" s="490" t="s">
        <v>212</v>
      </c>
      <c r="F30" s="494"/>
      <c r="G30" s="491"/>
    </row>
    <row r="31" spans="1:8" ht="18.75" customHeight="1">
      <c r="A31" s="195" t="s">
        <v>204</v>
      </c>
      <c r="B31" s="492" t="s">
        <v>212</v>
      </c>
      <c r="C31" s="493"/>
      <c r="D31" s="195" t="s">
        <v>204</v>
      </c>
      <c r="E31" s="492" t="s">
        <v>212</v>
      </c>
      <c r="F31" s="495"/>
      <c r="G31" s="493"/>
    </row>
    <row r="32" spans="1:8" ht="18.75" customHeight="1">
      <c r="A32" s="194" t="s">
        <v>205</v>
      </c>
      <c r="B32" s="490" t="s">
        <v>212</v>
      </c>
      <c r="C32" s="491"/>
      <c r="D32" s="194" t="s">
        <v>205</v>
      </c>
      <c r="E32" s="490" t="s">
        <v>212</v>
      </c>
      <c r="F32" s="494"/>
      <c r="G32" s="491"/>
    </row>
    <row r="33" spans="1:7" ht="37.5" customHeight="1">
      <c r="A33" s="195" t="s">
        <v>206</v>
      </c>
      <c r="B33" s="492" t="s">
        <v>212</v>
      </c>
      <c r="C33" s="493"/>
      <c r="D33" s="195" t="s">
        <v>206</v>
      </c>
      <c r="E33" s="496" t="s">
        <v>212</v>
      </c>
      <c r="F33" s="497"/>
      <c r="G33" s="498"/>
    </row>
    <row r="34" spans="1:7" ht="18.75" customHeight="1">
      <c r="A34" s="194" t="s">
        <v>1612</v>
      </c>
      <c r="B34" s="196"/>
      <c r="C34" s="197"/>
      <c r="D34" s="198"/>
      <c r="E34" s="199"/>
      <c r="F34" s="199"/>
      <c r="G34" s="200"/>
    </row>
    <row r="37" spans="1:7" ht="18.75" customHeight="1">
      <c r="E37" s="201"/>
    </row>
    <row r="38" spans="1:7" ht="18.75" customHeight="1">
      <c r="E38" s="193"/>
    </row>
  </sheetData>
  <sheetProtection algorithmName="SHA-512" hashValue="0POUa6/JQ5dcT/beioBEBW4Qo0M4vvjml+MFnHbZtgiN9rhE4FN12Pu1tUGs+WxPMhRhkZWrZHOLeY6bxevSEw==" saltValue="Gp973MWoMuhIaEbbVbqkGw==" spinCount="100000" sheet="1" objects="1" scenarios="1"/>
  <mergeCells count="12">
    <mergeCell ref="A1:G1"/>
    <mergeCell ref="A2:G2"/>
    <mergeCell ref="E33:G33"/>
    <mergeCell ref="A29:B29"/>
    <mergeCell ref="C29:G29"/>
    <mergeCell ref="B30:C30"/>
    <mergeCell ref="B31:C31"/>
    <mergeCell ref="B32:C32"/>
    <mergeCell ref="B33:C33"/>
    <mergeCell ref="E30:G30"/>
    <mergeCell ref="E31:G31"/>
    <mergeCell ref="E32:G32"/>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E21" sqref="E21"/>
    </sheetView>
  </sheetViews>
  <sheetFormatPr defaultColWidth="9.140625" defaultRowHeight="18.75" customHeight="1"/>
  <cols>
    <col min="1" max="1" width="9.140625" style="163"/>
    <col min="2" max="2" width="66.42578125" style="81" customWidth="1"/>
    <col min="3" max="3" width="23.42578125" style="81" customWidth="1"/>
    <col min="4" max="4" width="15.140625" style="81" customWidth="1"/>
    <col min="5" max="9" width="17.7109375" style="81" bestFit="1" customWidth="1"/>
    <col min="10" max="16384" width="9.140625" style="81"/>
  </cols>
  <sheetData>
    <row r="1" spans="1:9" s="25" customFormat="1" ht="26.25" customHeight="1">
      <c r="A1" s="336" t="s">
        <v>169</v>
      </c>
      <c r="B1" s="336"/>
      <c r="C1" s="336"/>
      <c r="D1" s="336"/>
      <c r="E1" s="336"/>
      <c r="F1" s="336"/>
      <c r="G1" s="336"/>
      <c r="H1" s="336"/>
      <c r="I1" s="336"/>
    </row>
    <row r="2" spans="1:9" s="25" customFormat="1" ht="18.75" customHeight="1">
      <c r="A2" s="360" t="s">
        <v>200</v>
      </c>
      <c r="B2" s="335"/>
      <c r="C2" s="335"/>
      <c r="D2" s="335"/>
      <c r="E2" s="335"/>
      <c r="F2" s="335"/>
      <c r="G2" s="335"/>
      <c r="H2" s="335"/>
      <c r="I2" s="361"/>
    </row>
    <row r="3" spans="1:9" s="36" customFormat="1" ht="18.75" customHeight="1">
      <c r="A3" s="158"/>
    </row>
    <row r="4" spans="1:9" s="36" customFormat="1" ht="18.75" customHeight="1">
      <c r="A4" s="36" t="s">
        <v>168</v>
      </c>
    </row>
    <row r="5" spans="1:9" s="36" customFormat="1" ht="18.75" customHeight="1">
      <c r="A5" s="36" t="s">
        <v>170</v>
      </c>
    </row>
    <row r="6" spans="1:9" s="36" customFormat="1" ht="18.75" customHeight="1">
      <c r="A6" s="36" t="s">
        <v>211</v>
      </c>
    </row>
    <row r="7" spans="1:9" s="36" customFormat="1" ht="18.75" customHeight="1">
      <c r="A7" s="158"/>
      <c r="E7" s="351" t="s">
        <v>244</v>
      </c>
      <c r="F7" s="351"/>
      <c r="G7" s="351"/>
      <c r="H7" s="351"/>
      <c r="I7" s="351"/>
    </row>
    <row r="8" spans="1:9" s="66" customFormat="1" ht="26.25" customHeight="1">
      <c r="A8" s="159"/>
      <c r="B8" s="287" t="s">
        <v>171</v>
      </c>
      <c r="C8" s="287" t="s">
        <v>141</v>
      </c>
      <c r="D8" s="288" t="s">
        <v>167</v>
      </c>
      <c r="E8" s="274" t="s">
        <v>1245</v>
      </c>
      <c r="F8" s="274" t="s">
        <v>1303</v>
      </c>
      <c r="G8" s="274" t="s">
        <v>1579</v>
      </c>
      <c r="H8" s="274" t="s">
        <v>1614</v>
      </c>
      <c r="I8" s="274" t="s">
        <v>1613</v>
      </c>
    </row>
    <row r="9" spans="1:9" ht="18.75" customHeight="1">
      <c r="A9" s="357" t="s">
        <v>184</v>
      </c>
      <c r="B9" s="102" t="s">
        <v>173</v>
      </c>
      <c r="C9" s="102" t="s">
        <v>172</v>
      </c>
      <c r="D9" s="499">
        <v>0</v>
      </c>
      <c r="E9" s="160" t="e">
        <f>InvulRegie[[#This Row],[Prijs excl. BTW]]*Tariefsopbouw!$I$37+InvulRegie[[#This Row],[Prijs excl. BTW]]</f>
        <v>#DIV/0!</v>
      </c>
      <c r="F9" s="160" t="e">
        <f>E9*Tariefsopbouw!$K$37+'Regie en afroep'!E9</f>
        <v>#DIV/0!</v>
      </c>
      <c r="G9" s="160" t="e">
        <f>F9*Tariefsopbouw!$M$37+'Regie en afroep'!F9</f>
        <v>#DIV/0!</v>
      </c>
      <c r="H9" s="160" t="e">
        <f>G9*Tariefsopbouw!$O$37+'Regie en afroep'!G9</f>
        <v>#DIV/0!</v>
      </c>
      <c r="I9" s="160" t="e">
        <f>H9*Tariefsopbouw!$Q$37+H9</f>
        <v>#DIV/0!</v>
      </c>
    </row>
    <row r="10" spans="1:9" ht="18.75" customHeight="1">
      <c r="A10" s="358"/>
      <c r="B10" s="102" t="s">
        <v>174</v>
      </c>
      <c r="C10" s="102" t="s">
        <v>172</v>
      </c>
      <c r="D10" s="499">
        <v>0</v>
      </c>
      <c r="E10" s="160" t="e">
        <f>InvulRegie[[#This Row],[Prijs excl. BTW]]*Tariefsopbouw!$I$37+InvulRegie[[#This Row],[Prijs excl. BTW]]</f>
        <v>#DIV/0!</v>
      </c>
      <c r="F10" s="160" t="e">
        <f>E10*Tariefsopbouw!$K$37+'Regie en afroep'!E10</f>
        <v>#DIV/0!</v>
      </c>
      <c r="G10" s="160" t="e">
        <f>F10*Tariefsopbouw!$M$37+'Regie en afroep'!F10</f>
        <v>#DIV/0!</v>
      </c>
      <c r="H10" s="160" t="e">
        <f>G10*Tariefsopbouw!$O$37+'Regie en afroep'!G10</f>
        <v>#DIV/0!</v>
      </c>
      <c r="I10" s="160" t="e">
        <f>H10*Tariefsopbouw!$Q$37+H10</f>
        <v>#DIV/0!</v>
      </c>
    </row>
    <row r="11" spans="1:9" ht="18.75" customHeight="1">
      <c r="A11" s="358"/>
      <c r="B11" s="113" t="s">
        <v>175</v>
      </c>
      <c r="C11" s="102" t="s">
        <v>172</v>
      </c>
      <c r="D11" s="499">
        <v>0</v>
      </c>
      <c r="E11" s="160" t="e">
        <f>InvulRegie[[#This Row],[Prijs excl. BTW]]*Tariefsopbouw!$I$37+InvulRegie[[#This Row],[Prijs excl. BTW]]</f>
        <v>#DIV/0!</v>
      </c>
      <c r="F11" s="160" t="e">
        <f>E11*Tariefsopbouw!$K$37+'Regie en afroep'!E11</f>
        <v>#DIV/0!</v>
      </c>
      <c r="G11" s="160" t="e">
        <f>F11*Tariefsopbouw!$M$37+'Regie en afroep'!F11</f>
        <v>#DIV/0!</v>
      </c>
      <c r="H11" s="160" t="e">
        <f>G11*Tariefsopbouw!$O$37+'Regie en afroep'!G11</f>
        <v>#DIV/0!</v>
      </c>
      <c r="I11" s="160" t="e">
        <f>H11*Tariefsopbouw!$Q$37+H11</f>
        <v>#DIV/0!</v>
      </c>
    </row>
    <row r="12" spans="1:9" ht="18.75" customHeight="1">
      <c r="A12" s="358"/>
      <c r="B12" s="113" t="s">
        <v>191</v>
      </c>
      <c r="C12" s="102" t="s">
        <v>172</v>
      </c>
      <c r="D12" s="499">
        <v>0</v>
      </c>
      <c r="E12" s="160" t="e">
        <f>InvulRegie[[#This Row],[Prijs excl. BTW]]*Tariefsopbouw!$I$37+InvulRegie[[#This Row],[Prijs excl. BTW]]</f>
        <v>#DIV/0!</v>
      </c>
      <c r="F12" s="160" t="e">
        <f>E12*Tariefsopbouw!$K$37+'Regie en afroep'!E12</f>
        <v>#DIV/0!</v>
      </c>
      <c r="G12" s="160" t="e">
        <f>F12*Tariefsopbouw!$M$37+'Regie en afroep'!F12</f>
        <v>#DIV/0!</v>
      </c>
      <c r="H12" s="160" t="e">
        <f>G12*Tariefsopbouw!$O$37+'Regie en afroep'!G12</f>
        <v>#DIV/0!</v>
      </c>
      <c r="I12" s="160" t="e">
        <f>H12*Tariefsopbouw!$Q$37+H12</f>
        <v>#DIV/0!</v>
      </c>
    </row>
    <row r="13" spans="1:9" ht="18.75" customHeight="1">
      <c r="A13" s="359"/>
      <c r="B13" s="102" t="s">
        <v>181</v>
      </c>
      <c r="C13" s="102" t="s">
        <v>172</v>
      </c>
      <c r="D13" s="499">
        <v>0</v>
      </c>
      <c r="E13" s="160" t="e">
        <f>InvulRegie[[#This Row],[Prijs excl. BTW]]*Tariefsopbouw!$I$37+InvulRegie[[#This Row],[Prijs excl. BTW]]</f>
        <v>#DIV/0!</v>
      </c>
      <c r="F13" s="160" t="e">
        <f>E13*Tariefsopbouw!$K$37+'Regie en afroep'!E13</f>
        <v>#DIV/0!</v>
      </c>
      <c r="G13" s="160" t="e">
        <f>F13*Tariefsopbouw!$M$37+'Regie en afroep'!F13</f>
        <v>#DIV/0!</v>
      </c>
      <c r="H13" s="160" t="e">
        <f>G13*Tariefsopbouw!$O$37+'Regie en afroep'!G13</f>
        <v>#DIV/0!</v>
      </c>
      <c r="I13" s="160" t="e">
        <f>H13*Tariefsopbouw!$Q$37+H13</f>
        <v>#DIV/0!</v>
      </c>
    </row>
    <row r="14" spans="1:9" ht="18.75" customHeight="1">
      <c r="A14" s="357" t="s">
        <v>121</v>
      </c>
      <c r="B14" s="102" t="s">
        <v>40</v>
      </c>
      <c r="C14" s="102" t="s">
        <v>41</v>
      </c>
      <c r="D14" s="499">
        <v>0</v>
      </c>
      <c r="E14" s="160" t="e">
        <f>InvulRegie[[#This Row],[Prijs excl. BTW]]*Tariefsopbouw!$I$37+InvulRegie[[#This Row],[Prijs excl. BTW]]</f>
        <v>#DIV/0!</v>
      </c>
      <c r="F14" s="160" t="e">
        <f>E14*Tariefsopbouw!$K$37+'Regie en afroep'!E14</f>
        <v>#DIV/0!</v>
      </c>
      <c r="G14" s="160" t="e">
        <f>F14*Tariefsopbouw!$M$37+'Regie en afroep'!F14</f>
        <v>#DIV/0!</v>
      </c>
      <c r="H14" s="160" t="e">
        <f>G14*Tariefsopbouw!$O$37+'Regie en afroep'!G14</f>
        <v>#DIV/0!</v>
      </c>
      <c r="I14" s="160" t="e">
        <f>H14*Tariefsopbouw!$Q$37+H14</f>
        <v>#DIV/0!</v>
      </c>
    </row>
    <row r="15" spans="1:9" ht="18.75" customHeight="1">
      <c r="A15" s="358"/>
      <c r="B15" s="102" t="s">
        <v>42</v>
      </c>
      <c r="C15" s="102" t="s">
        <v>176</v>
      </c>
      <c r="D15" s="499">
        <v>0</v>
      </c>
      <c r="E15" s="160" t="e">
        <f>InvulRegie[[#This Row],[Prijs excl. BTW]]*Tariefsopbouw!$I$37+InvulRegie[[#This Row],[Prijs excl. BTW]]</f>
        <v>#DIV/0!</v>
      </c>
      <c r="F15" s="160" t="e">
        <f>E15*Tariefsopbouw!$K$37+'Regie en afroep'!E15</f>
        <v>#DIV/0!</v>
      </c>
      <c r="G15" s="160" t="e">
        <f>F15*Tariefsopbouw!$M$37+'Regie en afroep'!F15</f>
        <v>#DIV/0!</v>
      </c>
      <c r="H15" s="160" t="e">
        <f>G15*Tariefsopbouw!$O$37+'Regie en afroep'!G15</f>
        <v>#DIV/0!</v>
      </c>
      <c r="I15" s="160" t="e">
        <f>H15*Tariefsopbouw!$Q$37+H15</f>
        <v>#DIV/0!</v>
      </c>
    </row>
    <row r="16" spans="1:9" ht="18.75" customHeight="1">
      <c r="A16" s="358"/>
      <c r="B16" s="102" t="s">
        <v>177</v>
      </c>
      <c r="C16" s="102" t="s">
        <v>176</v>
      </c>
      <c r="D16" s="499">
        <v>0</v>
      </c>
      <c r="E16" s="160" t="e">
        <f>InvulRegie[[#This Row],[Prijs excl. BTW]]*Tariefsopbouw!$I$37+InvulRegie[[#This Row],[Prijs excl. BTW]]</f>
        <v>#DIV/0!</v>
      </c>
      <c r="F16" s="160" t="e">
        <f>E16*Tariefsopbouw!$K$37+'Regie en afroep'!E16</f>
        <v>#DIV/0!</v>
      </c>
      <c r="G16" s="160" t="e">
        <f>F16*Tariefsopbouw!$M$37+'Regie en afroep'!F16</f>
        <v>#DIV/0!</v>
      </c>
      <c r="H16" s="160" t="e">
        <f>G16*Tariefsopbouw!$O$37+'Regie en afroep'!G16</f>
        <v>#DIV/0!</v>
      </c>
      <c r="I16" s="160" t="e">
        <f>H16*Tariefsopbouw!$Q$37+H16</f>
        <v>#DIV/0!</v>
      </c>
    </row>
    <row r="17" spans="1:9" ht="18.75" customHeight="1">
      <c r="A17" s="358"/>
      <c r="B17" s="102" t="s">
        <v>178</v>
      </c>
      <c r="C17" s="102" t="s">
        <v>43</v>
      </c>
      <c r="D17" s="499">
        <v>0</v>
      </c>
      <c r="E17" s="160" t="e">
        <f>InvulRegie[[#This Row],[Prijs excl. BTW]]*Tariefsopbouw!$I$37+InvulRegie[[#This Row],[Prijs excl. BTW]]</f>
        <v>#DIV/0!</v>
      </c>
      <c r="F17" s="160" t="e">
        <f>E17*Tariefsopbouw!$K$37+'Regie en afroep'!E17</f>
        <v>#DIV/0!</v>
      </c>
      <c r="G17" s="160" t="e">
        <f>F17*Tariefsopbouw!$M$37+'Regie en afroep'!F17</f>
        <v>#DIV/0!</v>
      </c>
      <c r="H17" s="160" t="e">
        <f>G17*Tariefsopbouw!$O$37+'Regie en afroep'!G17</f>
        <v>#DIV/0!</v>
      </c>
      <c r="I17" s="160" t="e">
        <f>H17*Tariefsopbouw!$Q$37+H17</f>
        <v>#DIV/0!</v>
      </c>
    </row>
    <row r="18" spans="1:9" ht="18.75" customHeight="1">
      <c r="A18" s="358"/>
      <c r="B18" s="102" t="s">
        <v>226</v>
      </c>
      <c r="C18" s="102" t="s">
        <v>43</v>
      </c>
      <c r="D18" s="499">
        <v>0</v>
      </c>
      <c r="E18" s="160" t="e">
        <f>InvulRegie[[#This Row],[Prijs excl. BTW]]*Tariefsopbouw!$I$37+InvulRegie[[#This Row],[Prijs excl. BTW]]</f>
        <v>#DIV/0!</v>
      </c>
      <c r="F18" s="160" t="e">
        <f>E18*Tariefsopbouw!$K$37+'Regie en afroep'!E18</f>
        <v>#DIV/0!</v>
      </c>
      <c r="G18" s="160" t="e">
        <f>F18*Tariefsopbouw!$M$37+'Regie en afroep'!F18</f>
        <v>#DIV/0!</v>
      </c>
      <c r="H18" s="160" t="e">
        <f>G18*Tariefsopbouw!$O$37+'Regie en afroep'!G18</f>
        <v>#DIV/0!</v>
      </c>
      <c r="I18" s="160" t="e">
        <f>H18*Tariefsopbouw!$Q$37+H18</f>
        <v>#DIV/0!</v>
      </c>
    </row>
    <row r="19" spans="1:9" ht="18.75" customHeight="1">
      <c r="A19" s="358"/>
      <c r="B19" s="102" t="s">
        <v>179</v>
      </c>
      <c r="C19" s="102" t="s">
        <v>43</v>
      </c>
      <c r="D19" s="499">
        <v>0</v>
      </c>
      <c r="E19" s="160" t="e">
        <f>InvulRegie[[#This Row],[Prijs excl. BTW]]*Tariefsopbouw!$I$37+InvulRegie[[#This Row],[Prijs excl. BTW]]</f>
        <v>#DIV/0!</v>
      </c>
      <c r="F19" s="160" t="e">
        <f>E19*Tariefsopbouw!$K$37+'Regie en afroep'!E19</f>
        <v>#DIV/0!</v>
      </c>
      <c r="G19" s="160" t="e">
        <f>F19*Tariefsopbouw!$M$37+'Regie en afroep'!F19</f>
        <v>#DIV/0!</v>
      </c>
      <c r="H19" s="160" t="e">
        <f>G19*Tariefsopbouw!$O$37+'Regie en afroep'!G19</f>
        <v>#DIV/0!</v>
      </c>
      <c r="I19" s="160" t="e">
        <f>H19*Tariefsopbouw!$Q$37+H19</f>
        <v>#DIV/0!</v>
      </c>
    </row>
    <row r="20" spans="1:9" ht="18.75" customHeight="1">
      <c r="A20" s="359"/>
      <c r="B20" s="102" t="s">
        <v>180</v>
      </c>
      <c r="C20" s="102" t="s">
        <v>43</v>
      </c>
      <c r="D20" s="499">
        <v>0</v>
      </c>
      <c r="E20" s="160" t="e">
        <f>InvulRegie[[#This Row],[Prijs excl. BTW]]*Tariefsopbouw!$I$37+InvulRegie[[#This Row],[Prijs excl. BTW]]</f>
        <v>#DIV/0!</v>
      </c>
      <c r="F20" s="160" t="e">
        <f>E20*Tariefsopbouw!$K$37+'Regie en afroep'!E20</f>
        <v>#DIV/0!</v>
      </c>
      <c r="G20" s="160" t="e">
        <f>F20*Tariefsopbouw!$M$37+'Regie en afroep'!F20</f>
        <v>#DIV/0!</v>
      </c>
      <c r="H20" s="160" t="e">
        <f>G20*Tariefsopbouw!$O$37+'Regie en afroep'!G20</f>
        <v>#DIV/0!</v>
      </c>
      <c r="I20" s="160" t="e">
        <f>H20*Tariefsopbouw!$Q$37+H20</f>
        <v>#DIV/0!</v>
      </c>
    </row>
    <row r="21" spans="1:9" ht="18.75" customHeight="1">
      <c r="A21" s="357" t="s">
        <v>182</v>
      </c>
      <c r="B21" s="102" t="s">
        <v>56</v>
      </c>
      <c r="C21" s="102" t="s">
        <v>48</v>
      </c>
      <c r="D21" s="499">
        <v>0</v>
      </c>
      <c r="E21" s="160" t="e">
        <f>InvulRegie[[#This Row],[Prijs excl. BTW]]*Tariefsopbouw!$I$37+InvulRegie[[#This Row],[Prijs excl. BTW]]</f>
        <v>#DIV/0!</v>
      </c>
      <c r="F21" s="160" t="e">
        <f>E21*Tariefsopbouw!$K$37+'Regie en afroep'!E21</f>
        <v>#DIV/0!</v>
      </c>
      <c r="G21" s="160" t="e">
        <f>F21*Tariefsopbouw!$M$37+'Regie en afroep'!F21</f>
        <v>#DIV/0!</v>
      </c>
      <c r="H21" s="160" t="e">
        <f>G21*Tariefsopbouw!$O$37+'Regie en afroep'!G21</f>
        <v>#DIV/0!</v>
      </c>
      <c r="I21" s="160" t="e">
        <f>H21*Tariefsopbouw!$Q$37+H21</f>
        <v>#DIV/0!</v>
      </c>
    </row>
    <row r="22" spans="1:9" ht="18.75" customHeight="1">
      <c r="A22" s="359"/>
      <c r="B22" s="102" t="s">
        <v>44</v>
      </c>
      <c r="C22" s="102" t="s">
        <v>1609</v>
      </c>
      <c r="D22" s="499">
        <v>0</v>
      </c>
      <c r="E22" s="160" t="e">
        <f>InvulRegie[[#This Row],[Prijs excl. BTW]]*Tariefsopbouw!$I$37+InvulRegie[[#This Row],[Prijs excl. BTW]]</f>
        <v>#DIV/0!</v>
      </c>
      <c r="F22" s="160" t="e">
        <f>E22*Tariefsopbouw!$K$37+'Regie en afroep'!E22</f>
        <v>#DIV/0!</v>
      </c>
      <c r="G22" s="160" t="e">
        <f>F22*Tariefsopbouw!$M$37+'Regie en afroep'!F22</f>
        <v>#DIV/0!</v>
      </c>
      <c r="H22" s="160" t="e">
        <f>G22*Tariefsopbouw!$O$37+'Regie en afroep'!G22</f>
        <v>#DIV/0!</v>
      </c>
      <c r="I22" s="160" t="e">
        <f>H22*Tariefsopbouw!$Q$37+H22</f>
        <v>#DIV/0!</v>
      </c>
    </row>
    <row r="23" spans="1:9" ht="18.75" customHeight="1">
      <c r="A23" s="357" t="s">
        <v>192</v>
      </c>
      <c r="B23" s="102" t="s">
        <v>183</v>
      </c>
      <c r="C23" s="102" t="s">
        <v>1610</v>
      </c>
      <c r="D23" s="499">
        <v>0</v>
      </c>
      <c r="E23" s="160" t="e">
        <f>InvulRegie[[#This Row],[Prijs excl. BTW]]*Tariefsopbouw!$I$37+InvulRegie[[#This Row],[Prijs excl. BTW]]</f>
        <v>#DIV/0!</v>
      </c>
      <c r="F23" s="160" t="e">
        <f>E23*Tariefsopbouw!$K$37+'Regie en afroep'!E23</f>
        <v>#DIV/0!</v>
      </c>
      <c r="G23" s="160" t="e">
        <f>F23*Tariefsopbouw!$M$37+'Regie en afroep'!F23</f>
        <v>#DIV/0!</v>
      </c>
      <c r="H23" s="160" t="e">
        <f>G23*Tariefsopbouw!$O$37+'Regie en afroep'!G23</f>
        <v>#DIV/0!</v>
      </c>
      <c r="I23" s="160" t="e">
        <f>H23*Tariefsopbouw!$Q$37+H23</f>
        <v>#DIV/0!</v>
      </c>
    </row>
    <row r="24" spans="1:9" ht="18.75" customHeight="1">
      <c r="A24" s="358"/>
      <c r="B24" s="102" t="s">
        <v>219</v>
      </c>
      <c r="C24" s="102" t="s">
        <v>1610</v>
      </c>
      <c r="D24" s="499">
        <v>0</v>
      </c>
      <c r="E24" s="160" t="e">
        <f>InvulRegie[[#This Row],[Prijs excl. BTW]]*Tariefsopbouw!$I$37+InvulRegie[[#This Row],[Prijs excl. BTW]]</f>
        <v>#DIV/0!</v>
      </c>
      <c r="F24" s="160" t="e">
        <f>E24*Tariefsopbouw!$K$37+'Regie en afroep'!E24</f>
        <v>#DIV/0!</v>
      </c>
      <c r="G24" s="160" t="e">
        <f>F24*Tariefsopbouw!$M$37+'Regie en afroep'!F24</f>
        <v>#DIV/0!</v>
      </c>
      <c r="H24" s="160" t="e">
        <f>G24*Tariefsopbouw!$O$37+'Regie en afroep'!G24</f>
        <v>#DIV/0!</v>
      </c>
      <c r="I24" s="160" t="e">
        <f>H24*Tariefsopbouw!$Q$37+H24</f>
        <v>#DIV/0!</v>
      </c>
    </row>
    <row r="25" spans="1:9" ht="18.75" customHeight="1">
      <c r="A25" s="358"/>
      <c r="B25" s="102" t="s">
        <v>221</v>
      </c>
      <c r="C25" s="102" t="s">
        <v>1610</v>
      </c>
      <c r="D25" s="499">
        <v>0</v>
      </c>
      <c r="E25" s="160" t="e">
        <f>InvulRegie[[#This Row],[Prijs excl. BTW]]*Tariefsopbouw!$I$37+InvulRegie[[#This Row],[Prijs excl. BTW]]</f>
        <v>#DIV/0!</v>
      </c>
      <c r="F25" s="160" t="e">
        <f>E25*Tariefsopbouw!$K$37+'Regie en afroep'!E25</f>
        <v>#DIV/0!</v>
      </c>
      <c r="G25" s="160" t="e">
        <f>F25*Tariefsopbouw!$M$37+'Regie en afroep'!F25</f>
        <v>#DIV/0!</v>
      </c>
      <c r="H25" s="160" t="e">
        <f>G25*Tariefsopbouw!$O$37+'Regie en afroep'!G25</f>
        <v>#DIV/0!</v>
      </c>
      <c r="I25" s="160" t="e">
        <f>H25*Tariefsopbouw!$Q$37+H25</f>
        <v>#DIV/0!</v>
      </c>
    </row>
    <row r="26" spans="1:9" ht="18.75" customHeight="1">
      <c r="A26" s="358"/>
      <c r="B26" s="102" t="s">
        <v>220</v>
      </c>
      <c r="C26" s="102" t="s">
        <v>1610</v>
      </c>
      <c r="D26" s="499">
        <v>0</v>
      </c>
      <c r="E26" s="160" t="e">
        <f>InvulRegie[[#This Row],[Prijs excl. BTW]]*Tariefsopbouw!$I$37+InvulRegie[[#This Row],[Prijs excl. BTW]]</f>
        <v>#DIV/0!</v>
      </c>
      <c r="F26" s="160" t="e">
        <f>E26*Tariefsopbouw!$K$37+'Regie en afroep'!E26</f>
        <v>#DIV/0!</v>
      </c>
      <c r="G26" s="160" t="e">
        <f>F26*Tariefsopbouw!$M$37+'Regie en afroep'!F26</f>
        <v>#DIV/0!</v>
      </c>
      <c r="H26" s="160" t="e">
        <f>G26*Tariefsopbouw!$O$37+'Regie en afroep'!G26</f>
        <v>#DIV/0!</v>
      </c>
      <c r="I26" s="160" t="e">
        <f>H26*Tariefsopbouw!$Q$37+H26</f>
        <v>#DIV/0!</v>
      </c>
    </row>
    <row r="27" spans="1:9" ht="18.75" customHeight="1">
      <c r="A27" s="359"/>
      <c r="B27" s="102" t="s">
        <v>47</v>
      </c>
      <c r="C27" s="102" t="s">
        <v>1610</v>
      </c>
      <c r="D27" s="499">
        <v>0</v>
      </c>
      <c r="E27" s="160" t="e">
        <f>InvulRegie[[#This Row],[Prijs excl. BTW]]*Tariefsopbouw!$I$37+InvulRegie[[#This Row],[Prijs excl. BTW]]</f>
        <v>#DIV/0!</v>
      </c>
      <c r="F27" s="160" t="e">
        <f>E27*Tariefsopbouw!$K$37+'Regie en afroep'!E27</f>
        <v>#DIV/0!</v>
      </c>
      <c r="G27" s="160" t="e">
        <f>F27*Tariefsopbouw!$M$37+'Regie en afroep'!F27</f>
        <v>#DIV/0!</v>
      </c>
      <c r="H27" s="160" t="e">
        <f>G27*Tariefsopbouw!$O$37+'Regie en afroep'!G27</f>
        <v>#DIV/0!</v>
      </c>
      <c r="I27" s="160" t="e">
        <f>H27*Tariefsopbouw!$Q$37+H27</f>
        <v>#DIV/0!</v>
      </c>
    </row>
    <row r="28" spans="1:9" ht="18.75" customHeight="1">
      <c r="A28" s="357" t="s">
        <v>187</v>
      </c>
      <c r="B28" s="102" t="s">
        <v>49</v>
      </c>
      <c r="C28" s="102" t="s">
        <v>48</v>
      </c>
      <c r="D28" s="499">
        <v>0</v>
      </c>
      <c r="E28" s="160" t="e">
        <f>InvulRegie[[#This Row],[Prijs excl. BTW]]*Tariefsopbouw!$I$37+InvulRegie[[#This Row],[Prijs excl. BTW]]</f>
        <v>#DIV/0!</v>
      </c>
      <c r="F28" s="160" t="e">
        <f>E28*Tariefsopbouw!$K$37+'Regie en afroep'!E28</f>
        <v>#DIV/0!</v>
      </c>
      <c r="G28" s="160" t="e">
        <f>F28*Tariefsopbouw!$M$37+'Regie en afroep'!F28</f>
        <v>#DIV/0!</v>
      </c>
      <c r="H28" s="160" t="e">
        <f>G28*Tariefsopbouw!$O$37+'Regie en afroep'!G28</f>
        <v>#DIV/0!</v>
      </c>
      <c r="I28" s="160" t="e">
        <f>H28*Tariefsopbouw!$Q$37+H28</f>
        <v>#DIV/0!</v>
      </c>
    </row>
    <row r="29" spans="1:9" ht="18.75" customHeight="1">
      <c r="A29" s="358"/>
      <c r="B29" s="102" t="s">
        <v>50</v>
      </c>
      <c r="C29" s="102" t="s">
        <v>48</v>
      </c>
      <c r="D29" s="499">
        <v>0</v>
      </c>
      <c r="E29" s="160" t="e">
        <f>InvulRegie[[#This Row],[Prijs excl. BTW]]*Tariefsopbouw!$I$37+InvulRegie[[#This Row],[Prijs excl. BTW]]</f>
        <v>#DIV/0!</v>
      </c>
      <c r="F29" s="160" t="e">
        <f>E29*Tariefsopbouw!$K$37+'Regie en afroep'!E29</f>
        <v>#DIV/0!</v>
      </c>
      <c r="G29" s="160" t="e">
        <f>F29*Tariefsopbouw!$M$37+'Regie en afroep'!F29</f>
        <v>#DIV/0!</v>
      </c>
      <c r="H29" s="160" t="e">
        <f>G29*Tariefsopbouw!$O$37+'Regie en afroep'!G29</f>
        <v>#DIV/0!</v>
      </c>
      <c r="I29" s="160" t="e">
        <f>H29*Tariefsopbouw!$Q$37+H29</f>
        <v>#DIV/0!</v>
      </c>
    </row>
    <row r="30" spans="1:9" ht="18.75" customHeight="1">
      <c r="A30" s="358"/>
      <c r="B30" s="102" t="s">
        <v>51</v>
      </c>
      <c r="C30" s="102" t="s">
        <v>48</v>
      </c>
      <c r="D30" s="499">
        <v>0</v>
      </c>
      <c r="E30" s="160" t="e">
        <f>InvulRegie[[#This Row],[Prijs excl. BTW]]*Tariefsopbouw!$I$37+InvulRegie[[#This Row],[Prijs excl. BTW]]</f>
        <v>#DIV/0!</v>
      </c>
      <c r="F30" s="160" t="e">
        <f>E30*Tariefsopbouw!$K$37+'Regie en afroep'!E30</f>
        <v>#DIV/0!</v>
      </c>
      <c r="G30" s="160" t="e">
        <f>F30*Tariefsopbouw!$M$37+'Regie en afroep'!F30</f>
        <v>#DIV/0!</v>
      </c>
      <c r="H30" s="160" t="e">
        <f>G30*Tariefsopbouw!$O$37+'Regie en afroep'!G30</f>
        <v>#DIV/0!</v>
      </c>
      <c r="I30" s="160" t="e">
        <f>H30*Tariefsopbouw!$Q$37+H30</f>
        <v>#DIV/0!</v>
      </c>
    </row>
    <row r="31" spans="1:9" ht="18.75" customHeight="1">
      <c r="A31" s="358"/>
      <c r="B31" s="102" t="s">
        <v>52</v>
      </c>
      <c r="C31" s="102" t="s">
        <v>48</v>
      </c>
      <c r="D31" s="499">
        <v>0</v>
      </c>
      <c r="E31" s="160" t="e">
        <f>InvulRegie[[#This Row],[Prijs excl. BTW]]*Tariefsopbouw!$I$37+InvulRegie[[#This Row],[Prijs excl. BTW]]</f>
        <v>#DIV/0!</v>
      </c>
      <c r="F31" s="160" t="e">
        <f>E31*Tariefsopbouw!$K$37+'Regie en afroep'!E31</f>
        <v>#DIV/0!</v>
      </c>
      <c r="G31" s="160" t="e">
        <f>F31*Tariefsopbouw!$M$37+'Regie en afroep'!F31</f>
        <v>#DIV/0!</v>
      </c>
      <c r="H31" s="160" t="e">
        <f>G31*Tariefsopbouw!$O$37+'Regie en afroep'!G31</f>
        <v>#DIV/0!</v>
      </c>
      <c r="I31" s="160" t="e">
        <f>H31*Tariefsopbouw!$Q$37+H31</f>
        <v>#DIV/0!</v>
      </c>
    </row>
    <row r="32" spans="1:9" ht="18.75" customHeight="1">
      <c r="A32" s="359"/>
      <c r="B32" s="102" t="s">
        <v>45</v>
      </c>
      <c r="C32" s="102" t="s">
        <v>46</v>
      </c>
      <c r="D32" s="499">
        <v>0</v>
      </c>
      <c r="E32" s="160" t="e">
        <f>InvulRegie[[#This Row],[Prijs excl. BTW]]*Tariefsopbouw!$I$37+InvulRegie[[#This Row],[Prijs excl. BTW]]</f>
        <v>#DIV/0!</v>
      </c>
      <c r="F32" s="160" t="e">
        <f>E32*Tariefsopbouw!$K$37+'Regie en afroep'!E32</f>
        <v>#DIV/0!</v>
      </c>
      <c r="G32" s="160" t="e">
        <f>F32*Tariefsopbouw!$M$37+'Regie en afroep'!F32</f>
        <v>#DIV/0!</v>
      </c>
      <c r="H32" s="160" t="e">
        <f>G32*Tariefsopbouw!$O$37+'Regie en afroep'!G32</f>
        <v>#DIV/0!</v>
      </c>
      <c r="I32" s="160" t="e">
        <f>H32*Tariefsopbouw!$Q$37+H32</f>
        <v>#DIV/0!</v>
      </c>
    </row>
    <row r="33" spans="1:9" ht="18.75" customHeight="1">
      <c r="A33" s="362" t="s">
        <v>188</v>
      </c>
      <c r="B33" s="102" t="s">
        <v>53</v>
      </c>
      <c r="C33" s="102" t="s">
        <v>210</v>
      </c>
      <c r="D33" s="499">
        <v>0</v>
      </c>
      <c r="E33" s="160" t="e">
        <f>InvulRegie[[#This Row],[Prijs excl. BTW]]*Tariefsopbouw!$I$37+InvulRegie[[#This Row],[Prijs excl. BTW]]</f>
        <v>#DIV/0!</v>
      </c>
      <c r="F33" s="160" t="e">
        <f>E33*Tariefsopbouw!$K$37+'Regie en afroep'!E33</f>
        <v>#DIV/0!</v>
      </c>
      <c r="G33" s="160" t="e">
        <f>F33*Tariefsopbouw!$M$37+'Regie en afroep'!F33</f>
        <v>#DIV/0!</v>
      </c>
      <c r="H33" s="160" t="e">
        <f>G33*Tariefsopbouw!$O$37+'Regie en afroep'!G33</f>
        <v>#DIV/0!</v>
      </c>
      <c r="I33" s="160" t="e">
        <f>H33*Tariefsopbouw!$Q$37+H33</f>
        <v>#DIV/0!</v>
      </c>
    </row>
    <row r="34" spans="1:9" ht="18.75" customHeight="1">
      <c r="A34" s="363"/>
      <c r="B34" s="102" t="s">
        <v>54</v>
      </c>
      <c r="C34" s="102" t="s">
        <v>55</v>
      </c>
      <c r="D34" s="499">
        <v>0</v>
      </c>
      <c r="E34" s="160" t="e">
        <f>InvulRegie[[#This Row],[Prijs excl. BTW]]*Tariefsopbouw!$I$37+InvulRegie[[#This Row],[Prijs excl. BTW]]</f>
        <v>#DIV/0!</v>
      </c>
      <c r="F34" s="160" t="e">
        <f>E34*Tariefsopbouw!$K$37+'Regie en afroep'!E34</f>
        <v>#DIV/0!</v>
      </c>
      <c r="G34" s="160" t="e">
        <f>F34*Tariefsopbouw!$M$37+'Regie en afroep'!F34</f>
        <v>#DIV/0!</v>
      </c>
      <c r="H34" s="160" t="e">
        <f>G34*Tariefsopbouw!$O$37+'Regie en afroep'!G34</f>
        <v>#DIV/0!</v>
      </c>
      <c r="I34" s="160" t="e">
        <f>H34*Tariefsopbouw!$Q$37+H34</f>
        <v>#DIV/0!</v>
      </c>
    </row>
    <row r="35" spans="1:9" ht="18.75" customHeight="1">
      <c r="A35" s="363"/>
      <c r="B35" s="102" t="s">
        <v>189</v>
      </c>
      <c r="C35" s="102" t="s">
        <v>55</v>
      </c>
      <c r="D35" s="499">
        <v>0</v>
      </c>
      <c r="E35" s="160" t="e">
        <f>InvulRegie[[#This Row],[Prijs excl. BTW]]*Tariefsopbouw!$I$37+InvulRegie[[#This Row],[Prijs excl. BTW]]</f>
        <v>#DIV/0!</v>
      </c>
      <c r="F35" s="160" t="e">
        <f>E35*Tariefsopbouw!$K$37+'Regie en afroep'!E35</f>
        <v>#DIV/0!</v>
      </c>
      <c r="G35" s="160" t="e">
        <f>F35*Tariefsopbouw!$M$37+'Regie en afroep'!F35</f>
        <v>#DIV/0!</v>
      </c>
      <c r="H35" s="160" t="e">
        <f>G35*Tariefsopbouw!$O$37+'Regie en afroep'!G35</f>
        <v>#DIV/0!</v>
      </c>
      <c r="I35" s="160" t="e">
        <f>H35*Tariefsopbouw!$Q$37+H35</f>
        <v>#DIV/0!</v>
      </c>
    </row>
    <row r="36" spans="1:9" ht="18.75" customHeight="1">
      <c r="A36" s="364"/>
      <c r="B36" s="102" t="s">
        <v>190</v>
      </c>
      <c r="C36" s="102" t="s">
        <v>55</v>
      </c>
      <c r="D36" s="499">
        <v>0</v>
      </c>
      <c r="E36" s="160" t="e">
        <f>InvulRegie[[#This Row],[Prijs excl. BTW]]*Tariefsopbouw!$I$37+InvulRegie[[#This Row],[Prijs excl. BTW]]</f>
        <v>#DIV/0!</v>
      </c>
      <c r="F36" s="160" t="e">
        <f>E36*Tariefsopbouw!$K$37+'Regie en afroep'!E36</f>
        <v>#DIV/0!</v>
      </c>
      <c r="G36" s="160" t="e">
        <f>F36*Tariefsopbouw!$M$37+'Regie en afroep'!F36</f>
        <v>#DIV/0!</v>
      </c>
      <c r="H36" s="160" t="e">
        <f>G36*Tariefsopbouw!$O$37+'Regie en afroep'!G36</f>
        <v>#DIV/0!</v>
      </c>
      <c r="I36" s="160" t="e">
        <f>H36*Tariefsopbouw!$Q$37+H36</f>
        <v>#DIV/0!</v>
      </c>
    </row>
    <row r="37" spans="1:9" s="9" customFormat="1" ht="26.25" customHeight="1">
      <c r="A37" s="161"/>
      <c r="B37" s="162" t="s">
        <v>32</v>
      </c>
      <c r="C37" s="162"/>
      <c r="D37" s="162"/>
      <c r="E37" s="162"/>
      <c r="F37" s="162"/>
      <c r="G37" s="162"/>
      <c r="H37" s="162"/>
      <c r="I37" s="162"/>
    </row>
    <row r="39" spans="1:9" ht="18.75" customHeight="1" thickBot="1"/>
    <row r="40" spans="1:9" ht="15.75">
      <c r="A40" s="164"/>
      <c r="B40" s="165" t="s">
        <v>1575</v>
      </c>
      <c r="C40" s="165"/>
      <c r="D40" s="166"/>
    </row>
    <row r="41" spans="1:9" ht="13.5">
      <c r="A41" s="167"/>
      <c r="B41" s="8"/>
      <c r="C41" s="8"/>
      <c r="D41" s="168"/>
    </row>
    <row r="42" spans="1:9" ht="13.5">
      <c r="A42" s="167"/>
      <c r="B42" s="169" t="s">
        <v>1611</v>
      </c>
      <c r="C42" s="8"/>
      <c r="D42" s="168"/>
    </row>
    <row r="43" spans="1:9" ht="13.5">
      <c r="A43" s="167"/>
      <c r="B43" s="8"/>
      <c r="C43" s="8"/>
      <c r="D43" s="168"/>
    </row>
    <row r="44" spans="1:9" ht="13.5">
      <c r="A44" s="167"/>
      <c r="B44" s="170" t="s">
        <v>1544</v>
      </c>
      <c r="C44" s="8"/>
      <c r="D44" s="168"/>
    </row>
    <row r="45" spans="1:9" ht="13.5">
      <c r="A45" s="167"/>
      <c r="B45" s="8"/>
      <c r="C45" s="8"/>
      <c r="D45" s="168"/>
    </row>
    <row r="46" spans="1:9" ht="13.5">
      <c r="A46" s="171" t="s">
        <v>1545</v>
      </c>
      <c r="B46" s="365" t="s">
        <v>1546</v>
      </c>
      <c r="C46" s="365"/>
      <c r="D46" s="366"/>
    </row>
    <row r="47" spans="1:9" ht="13.5">
      <c r="A47" s="171" t="s">
        <v>1545</v>
      </c>
      <c r="B47" s="365" t="s">
        <v>1547</v>
      </c>
      <c r="C47" s="365" t="s">
        <v>1547</v>
      </c>
      <c r="D47" s="366" t="s">
        <v>1547</v>
      </c>
    </row>
    <row r="48" spans="1:9" ht="13.5">
      <c r="A48" s="171" t="s">
        <v>1545</v>
      </c>
      <c r="B48" s="365" t="s">
        <v>1548</v>
      </c>
      <c r="C48" s="365" t="s">
        <v>1548</v>
      </c>
      <c r="D48" s="366" t="s">
        <v>1548</v>
      </c>
    </row>
    <row r="49" spans="1:4" ht="13.5">
      <c r="A49" s="171" t="s">
        <v>1545</v>
      </c>
      <c r="B49" s="365" t="s">
        <v>1549</v>
      </c>
      <c r="C49" s="365" t="s">
        <v>1549</v>
      </c>
      <c r="D49" s="366" t="s">
        <v>1549</v>
      </c>
    </row>
    <row r="50" spans="1:4" ht="13.5">
      <c r="A50" s="171" t="s">
        <v>1545</v>
      </c>
      <c r="B50" s="365" t="s">
        <v>1550</v>
      </c>
      <c r="C50" s="365" t="s">
        <v>1550</v>
      </c>
      <c r="D50" s="366" t="s">
        <v>1550</v>
      </c>
    </row>
    <row r="51" spans="1:4" ht="13.5">
      <c r="A51" s="171" t="s">
        <v>1545</v>
      </c>
      <c r="B51" s="365" t="s">
        <v>1551</v>
      </c>
      <c r="C51" s="365" t="s">
        <v>1551</v>
      </c>
      <c r="D51" s="366" t="s">
        <v>1551</v>
      </c>
    </row>
    <row r="52" spans="1:4" ht="13.5">
      <c r="A52" s="171" t="s">
        <v>1545</v>
      </c>
      <c r="B52" s="365" t="s">
        <v>1552</v>
      </c>
      <c r="C52" s="365" t="s">
        <v>1552</v>
      </c>
      <c r="D52" s="366" t="s">
        <v>1552</v>
      </c>
    </row>
    <row r="53" spans="1:4" ht="13.5">
      <c r="A53" s="171" t="s">
        <v>1545</v>
      </c>
      <c r="B53" s="365" t="s">
        <v>1553</v>
      </c>
      <c r="C53" s="365" t="s">
        <v>1553</v>
      </c>
      <c r="D53" s="366" t="s">
        <v>1553</v>
      </c>
    </row>
    <row r="54" spans="1:4" ht="13.5">
      <c r="A54" s="171" t="s">
        <v>1545</v>
      </c>
      <c r="B54" s="365" t="s">
        <v>1554</v>
      </c>
      <c r="C54" s="365" t="s">
        <v>1554</v>
      </c>
      <c r="D54" s="366" t="s">
        <v>1554</v>
      </c>
    </row>
    <row r="55" spans="1:4" ht="13.5">
      <c r="A55" s="171" t="s">
        <v>1545</v>
      </c>
      <c r="B55" s="365" t="s">
        <v>1555</v>
      </c>
      <c r="C55" s="365" t="s">
        <v>1555</v>
      </c>
      <c r="D55" s="366" t="s">
        <v>1555</v>
      </c>
    </row>
    <row r="56" spans="1:4" ht="13.5">
      <c r="A56" s="171" t="s">
        <v>1545</v>
      </c>
      <c r="B56" s="365" t="s">
        <v>1556</v>
      </c>
      <c r="C56" s="365" t="s">
        <v>1556</v>
      </c>
      <c r="D56" s="366" t="s">
        <v>1556</v>
      </c>
    </row>
    <row r="57" spans="1:4" ht="13.5">
      <c r="A57" s="171" t="s">
        <v>1545</v>
      </c>
      <c r="B57" s="365" t="s">
        <v>1557</v>
      </c>
      <c r="C57" s="365" t="s">
        <v>1557</v>
      </c>
      <c r="D57" s="366" t="s">
        <v>1557</v>
      </c>
    </row>
    <row r="58" spans="1:4" ht="13.5">
      <c r="A58" s="167"/>
      <c r="B58" s="172"/>
      <c r="C58" s="8"/>
      <c r="D58" s="168"/>
    </row>
    <row r="59" spans="1:4" ht="13.5">
      <c r="A59" s="167"/>
      <c r="B59" s="173" t="s">
        <v>1558</v>
      </c>
      <c r="C59" s="8"/>
      <c r="D59" s="168"/>
    </row>
    <row r="60" spans="1:4" ht="13.5">
      <c r="A60" s="167"/>
      <c r="B60" s="172"/>
      <c r="C60" s="8"/>
      <c r="D60" s="168"/>
    </row>
    <row r="61" spans="1:4" ht="24" customHeight="1">
      <c r="A61" s="171" t="s">
        <v>1545</v>
      </c>
      <c r="B61" s="365" t="s">
        <v>1559</v>
      </c>
      <c r="C61" s="365" t="s">
        <v>1559</v>
      </c>
      <c r="D61" s="366" t="s">
        <v>1559</v>
      </c>
    </row>
    <row r="62" spans="1:4" ht="13.5">
      <c r="A62" s="171" t="s">
        <v>1545</v>
      </c>
      <c r="B62" s="365" t="s">
        <v>1560</v>
      </c>
      <c r="C62" s="365" t="s">
        <v>1560</v>
      </c>
      <c r="D62" s="366" t="s">
        <v>1560</v>
      </c>
    </row>
    <row r="63" spans="1:4" ht="13.5">
      <c r="A63" s="171" t="s">
        <v>1545</v>
      </c>
      <c r="B63" s="365" t="s">
        <v>1561</v>
      </c>
      <c r="C63" s="365" t="s">
        <v>1561</v>
      </c>
      <c r="D63" s="366" t="s">
        <v>1561</v>
      </c>
    </row>
    <row r="64" spans="1:4" ht="13.5">
      <c r="A64" s="171" t="s">
        <v>1545</v>
      </c>
      <c r="B64" s="365" t="s">
        <v>1555</v>
      </c>
      <c r="C64" s="365" t="s">
        <v>1555</v>
      </c>
      <c r="D64" s="366" t="s">
        <v>1555</v>
      </c>
    </row>
    <row r="65" spans="1:4" ht="13.5">
      <c r="A65" s="171" t="s">
        <v>1545</v>
      </c>
      <c r="B65" s="365" t="s">
        <v>1562</v>
      </c>
      <c r="C65" s="365" t="s">
        <v>1562</v>
      </c>
      <c r="D65" s="366" t="s">
        <v>1562</v>
      </c>
    </row>
    <row r="66" spans="1:4" ht="13.5">
      <c r="A66" s="171" t="s">
        <v>1545</v>
      </c>
      <c r="B66" s="365" t="s">
        <v>1563</v>
      </c>
      <c r="C66" s="365" t="s">
        <v>1563</v>
      </c>
      <c r="D66" s="366" t="s">
        <v>1563</v>
      </c>
    </row>
    <row r="67" spans="1:4" ht="13.5">
      <c r="A67" s="171" t="s">
        <v>1545</v>
      </c>
      <c r="B67" s="365" t="s">
        <v>1564</v>
      </c>
      <c r="C67" s="365" t="s">
        <v>1564</v>
      </c>
      <c r="D67" s="366" t="s">
        <v>1564</v>
      </c>
    </row>
    <row r="68" spans="1:4" ht="13.5">
      <c r="A68" s="171" t="s">
        <v>1545</v>
      </c>
      <c r="B68" s="365" t="s">
        <v>1565</v>
      </c>
      <c r="C68" s="365" t="s">
        <v>1565</v>
      </c>
      <c r="D68" s="366" t="s">
        <v>1565</v>
      </c>
    </row>
    <row r="69" spans="1:4" ht="13.5">
      <c r="A69" s="171" t="s">
        <v>1545</v>
      </c>
      <c r="B69" s="365" t="s">
        <v>1566</v>
      </c>
      <c r="C69" s="365" t="s">
        <v>1566</v>
      </c>
      <c r="D69" s="366" t="s">
        <v>1566</v>
      </c>
    </row>
    <row r="70" spans="1:4" ht="13.5">
      <c r="A70" s="167"/>
      <c r="B70" s="8"/>
      <c r="C70" s="8"/>
      <c r="D70" s="168"/>
    </row>
    <row r="71" spans="1:4" ht="13.5">
      <c r="A71" s="167"/>
      <c r="B71" s="173" t="s">
        <v>1567</v>
      </c>
      <c r="C71" s="8"/>
      <c r="D71" s="168"/>
    </row>
    <row r="72" spans="1:4" ht="13.5">
      <c r="A72" s="167"/>
      <c r="B72" s="172"/>
      <c r="C72" s="8"/>
      <c r="D72" s="168"/>
    </row>
    <row r="73" spans="1:4" ht="13.5">
      <c r="A73" s="171" t="s">
        <v>1545</v>
      </c>
      <c r="B73" s="367" t="s">
        <v>1568</v>
      </c>
      <c r="C73" s="367" t="s">
        <v>1568</v>
      </c>
      <c r="D73" s="368" t="s">
        <v>1568</v>
      </c>
    </row>
    <row r="74" spans="1:4" ht="13.5">
      <c r="A74" s="171" t="s">
        <v>1545</v>
      </c>
      <c r="B74" s="367" t="s">
        <v>1569</v>
      </c>
      <c r="C74" s="367" t="s">
        <v>1569</v>
      </c>
      <c r="D74" s="368" t="s">
        <v>1569</v>
      </c>
    </row>
    <row r="75" spans="1:4" ht="13.5">
      <c r="A75" s="171" t="s">
        <v>1545</v>
      </c>
      <c r="B75" s="367" t="s">
        <v>1570</v>
      </c>
      <c r="C75" s="367" t="s">
        <v>1570</v>
      </c>
      <c r="D75" s="368" t="s">
        <v>1570</v>
      </c>
    </row>
    <row r="76" spans="1:4" ht="13.5">
      <c r="A76" s="171" t="s">
        <v>1545</v>
      </c>
      <c r="B76" s="367" t="s">
        <v>1571</v>
      </c>
      <c r="C76" s="367" t="s">
        <v>1571</v>
      </c>
      <c r="D76" s="368" t="s">
        <v>1571</v>
      </c>
    </row>
    <row r="77" spans="1:4" ht="13.5">
      <c r="A77" s="171" t="s">
        <v>1545</v>
      </c>
      <c r="B77" s="367" t="s">
        <v>1572</v>
      </c>
      <c r="C77" s="367" t="s">
        <v>1572</v>
      </c>
      <c r="D77" s="368" t="s">
        <v>1572</v>
      </c>
    </row>
    <row r="78" spans="1:4" ht="13.5">
      <c r="A78" s="171" t="s">
        <v>1545</v>
      </c>
      <c r="B78" s="367" t="s">
        <v>1573</v>
      </c>
      <c r="C78" s="367" t="s">
        <v>1573</v>
      </c>
      <c r="D78" s="368" t="s">
        <v>1573</v>
      </c>
    </row>
    <row r="79" spans="1:4" ht="14.25" thickBot="1">
      <c r="A79" s="174" t="s">
        <v>1545</v>
      </c>
      <c r="B79" s="369" t="s">
        <v>1574</v>
      </c>
      <c r="C79" s="369" t="s">
        <v>1574</v>
      </c>
      <c r="D79" s="370" t="s">
        <v>1574</v>
      </c>
    </row>
  </sheetData>
  <sheetProtection algorithmName="SHA-512" hashValue="buSiuuON/Ohjacu6MifsVrHUetzv7zrS6HLdSHzhVxsGT6fY6GxMJkDKKEqdKCATdXUUd8/54GB5bYYTETblrA==" saltValue="P7tQjnu9prXSDqPfFIJqYA==" spinCount="100000" sheet="1" objects="1" scenarios="1"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B91" sqref="B91"/>
    </sheetView>
  </sheetViews>
  <sheetFormatPr defaultColWidth="9" defaultRowHeight="13.5"/>
  <cols>
    <col min="1" max="1" width="19.42578125" style="25" customWidth="1"/>
    <col min="2" max="2" width="103.7109375" style="25" bestFit="1" customWidth="1"/>
    <col min="3" max="16384" width="9" style="12"/>
  </cols>
  <sheetData>
    <row r="1" spans="1:2" ht="26.25">
      <c r="A1" s="234" t="s">
        <v>1246</v>
      </c>
      <c r="B1" s="11"/>
    </row>
    <row r="2" spans="1:2">
      <c r="A2" s="11"/>
      <c r="B2" s="13"/>
    </row>
    <row r="3" spans="1:2">
      <c r="A3" s="214" t="s">
        <v>1247</v>
      </c>
      <c r="B3" s="214" t="s">
        <v>1203</v>
      </c>
    </row>
    <row r="4" spans="1:2">
      <c r="A4" s="215" t="s">
        <v>259</v>
      </c>
      <c r="B4" s="216"/>
    </row>
    <row r="5" spans="1:2">
      <c r="A5" s="217"/>
      <c r="B5" s="218" t="s">
        <v>1305</v>
      </c>
    </row>
    <row r="6" spans="1:2">
      <c r="A6" s="217"/>
      <c r="B6" s="218" t="s">
        <v>1204</v>
      </c>
    </row>
    <row r="7" spans="1:2">
      <c r="A7" s="217"/>
      <c r="B7" s="218" t="s">
        <v>1306</v>
      </c>
    </row>
    <row r="8" spans="1:2">
      <c r="A8" s="217"/>
      <c r="B8" s="218" t="s">
        <v>1307</v>
      </c>
    </row>
    <row r="9" spans="1:2">
      <c r="A9" s="219" t="s">
        <v>260</v>
      </c>
      <c r="B9" s="220"/>
    </row>
    <row r="10" spans="1:2">
      <c r="A10" s="217"/>
      <c r="B10" s="218" t="s">
        <v>1497</v>
      </c>
    </row>
    <row r="11" spans="1:2">
      <c r="A11" s="217"/>
      <c r="B11" s="218" t="s">
        <v>1308</v>
      </c>
    </row>
    <row r="12" spans="1:2">
      <c r="A12" s="219" t="s">
        <v>261</v>
      </c>
      <c r="B12" s="220"/>
    </row>
    <row r="13" spans="1:2">
      <c r="A13" s="217"/>
      <c r="B13" s="218" t="s">
        <v>1309</v>
      </c>
    </row>
    <row r="14" spans="1:2">
      <c r="A14" s="217"/>
      <c r="B14" s="218" t="s">
        <v>1310</v>
      </c>
    </row>
    <row r="15" spans="1:2">
      <c r="A15" s="219" t="s">
        <v>262</v>
      </c>
      <c r="B15" s="220"/>
    </row>
    <row r="16" spans="1:2">
      <c r="A16" s="217"/>
      <c r="B16" s="218" t="s">
        <v>1311</v>
      </c>
    </row>
    <row r="17" spans="1:2">
      <c r="A17" s="217"/>
      <c r="B17" s="218" t="s">
        <v>1310</v>
      </c>
    </row>
    <row r="18" spans="1:2">
      <c r="A18" s="219" t="s">
        <v>263</v>
      </c>
      <c r="B18" s="220"/>
    </row>
    <row r="19" spans="1:2">
      <c r="A19" s="217"/>
      <c r="B19" s="218" t="s">
        <v>1498</v>
      </c>
    </row>
    <row r="20" spans="1:2">
      <c r="A20" s="219" t="s">
        <v>264</v>
      </c>
      <c r="B20" s="221" t="s">
        <v>1259</v>
      </c>
    </row>
    <row r="21" spans="1:2">
      <c r="A21" s="217"/>
      <c r="B21" s="218" t="s">
        <v>1499</v>
      </c>
    </row>
    <row r="22" spans="1:2">
      <c r="A22" s="217"/>
      <c r="B22" s="218" t="s">
        <v>1500</v>
      </c>
    </row>
    <row r="23" spans="1:2">
      <c r="A23" s="217"/>
      <c r="B23" s="218" t="s">
        <v>1501</v>
      </c>
    </row>
    <row r="24" spans="1:2">
      <c r="A24" s="219" t="s">
        <v>265</v>
      </c>
      <c r="B24" s="220" t="s">
        <v>1259</v>
      </c>
    </row>
    <row r="25" spans="1:2">
      <c r="A25" s="217"/>
      <c r="B25" s="217" t="s">
        <v>1502</v>
      </c>
    </row>
    <row r="26" spans="1:2">
      <c r="A26" s="217"/>
      <c r="B26" s="217" t="s">
        <v>1503</v>
      </c>
    </row>
    <row r="27" spans="1:2">
      <c r="A27" s="217"/>
      <c r="B27" s="217"/>
    </row>
    <row r="28" spans="1:2">
      <c r="A28" s="217"/>
      <c r="B28" s="217" t="s">
        <v>1205</v>
      </c>
    </row>
    <row r="29" spans="1:2">
      <c r="A29" s="217"/>
      <c r="B29" s="217" t="s">
        <v>1248</v>
      </c>
    </row>
    <row r="30" spans="1:2">
      <c r="A30" s="219" t="s">
        <v>266</v>
      </c>
      <c r="B30" s="221" t="s">
        <v>1206</v>
      </c>
    </row>
    <row r="31" spans="1:2">
      <c r="A31" s="222"/>
      <c r="B31" s="223" t="s">
        <v>1249</v>
      </c>
    </row>
    <row r="32" spans="1:2">
      <c r="A32" s="224"/>
      <c r="B32" s="225"/>
    </row>
    <row r="33" spans="1:2">
      <c r="A33" s="226" t="s">
        <v>1207</v>
      </c>
      <c r="B33" s="227"/>
    </row>
    <row r="34" spans="1:2">
      <c r="A34" s="228" t="s">
        <v>267</v>
      </c>
      <c r="B34" s="229"/>
    </row>
    <row r="35" spans="1:2">
      <c r="A35" s="217"/>
      <c r="B35" s="230" t="s">
        <v>1251</v>
      </c>
    </row>
    <row r="36" spans="1:2">
      <c r="A36" s="217" t="s">
        <v>1252</v>
      </c>
      <c r="B36" s="230"/>
    </row>
    <row r="37" spans="1:2">
      <c r="A37" s="217"/>
      <c r="B37" s="218" t="s">
        <v>1504</v>
      </c>
    </row>
    <row r="38" spans="1:2">
      <c r="A38" s="217"/>
      <c r="B38" s="218" t="s">
        <v>1505</v>
      </c>
    </row>
    <row r="39" spans="1:2">
      <c r="A39" s="217"/>
      <c r="B39" s="218" t="s">
        <v>1619</v>
      </c>
    </row>
    <row r="40" spans="1:2">
      <c r="A40" s="217"/>
      <c r="B40" s="218" t="s">
        <v>1506</v>
      </c>
    </row>
    <row r="41" spans="1:2">
      <c r="A41" s="217"/>
      <c r="B41" s="218" t="s">
        <v>1507</v>
      </c>
    </row>
    <row r="42" spans="1:2">
      <c r="A42" s="217"/>
      <c r="B42" s="218" t="s">
        <v>1508</v>
      </c>
    </row>
    <row r="43" spans="1:2">
      <c r="A43" s="217"/>
      <c r="B43" s="218" t="s">
        <v>1509</v>
      </c>
    </row>
    <row r="44" spans="1:2">
      <c r="A44" s="217"/>
      <c r="B44" s="218" t="s">
        <v>1510</v>
      </c>
    </row>
    <row r="45" spans="1:2">
      <c r="A45" s="217"/>
      <c r="B45" s="218" t="s">
        <v>1511</v>
      </c>
    </row>
    <row r="46" spans="1:2">
      <c r="A46" s="217"/>
      <c r="B46" s="217" t="s">
        <v>1512</v>
      </c>
    </row>
    <row r="47" spans="1:2">
      <c r="A47" s="217"/>
      <c r="B47" s="218" t="s">
        <v>1513</v>
      </c>
    </row>
    <row r="48" spans="1:2">
      <c r="A48" s="217"/>
      <c r="B48" s="218" t="s">
        <v>1514</v>
      </c>
    </row>
    <row r="49" spans="1:2">
      <c r="A49" s="228" t="s">
        <v>268</v>
      </c>
      <c r="B49" s="231"/>
    </row>
    <row r="50" spans="1:2">
      <c r="A50" s="217" t="s">
        <v>1253</v>
      </c>
      <c r="B50" s="218" t="s">
        <v>1515</v>
      </c>
    </row>
    <row r="51" spans="1:2">
      <c r="A51" s="217"/>
      <c r="B51" s="218" t="s">
        <v>1208</v>
      </c>
    </row>
    <row r="52" spans="1:2">
      <c r="A52" s="228" t="s">
        <v>269</v>
      </c>
      <c r="B52" s="231"/>
    </row>
    <row r="53" spans="1:2">
      <c r="A53" s="217"/>
      <c r="B53" s="217" t="s">
        <v>1516</v>
      </c>
    </row>
    <row r="54" spans="1:2" ht="24.75">
      <c r="A54" s="217"/>
      <c r="B54" s="230" t="s">
        <v>1517</v>
      </c>
    </row>
    <row r="55" spans="1:2">
      <c r="A55" s="217"/>
      <c r="B55" s="230" t="s">
        <v>1518</v>
      </c>
    </row>
    <row r="56" spans="1:2">
      <c r="A56" s="217"/>
      <c r="B56" s="217" t="s">
        <v>1519</v>
      </c>
    </row>
    <row r="57" spans="1:2">
      <c r="A57" s="228" t="s">
        <v>270</v>
      </c>
      <c r="B57" s="231"/>
    </row>
    <row r="58" spans="1:2">
      <c r="A58" s="217"/>
      <c r="B58" s="217" t="s">
        <v>1209</v>
      </c>
    </row>
    <row r="59" spans="1:2">
      <c r="A59" s="217"/>
      <c r="B59" s="217" t="s">
        <v>1210</v>
      </c>
    </row>
    <row r="60" spans="1:2" ht="24.75">
      <c r="A60" s="217"/>
      <c r="B60" s="230" t="s">
        <v>1211</v>
      </c>
    </row>
    <row r="61" spans="1:2">
      <c r="A61" s="228" t="s">
        <v>271</v>
      </c>
      <c r="B61" s="231"/>
    </row>
    <row r="62" spans="1:2">
      <c r="A62" s="217"/>
      <c r="B62" s="230" t="s">
        <v>1520</v>
      </c>
    </row>
    <row r="63" spans="1:2">
      <c r="A63" s="217"/>
      <c r="B63" s="230" t="s">
        <v>1521</v>
      </c>
    </row>
    <row r="64" spans="1:2">
      <c r="A64" s="217"/>
      <c r="B64" s="218" t="s">
        <v>1522</v>
      </c>
    </row>
    <row r="65" spans="1:2">
      <c r="A65" s="228" t="s">
        <v>272</v>
      </c>
      <c r="B65" s="231"/>
    </row>
    <row r="66" spans="1:2">
      <c r="A66" s="217"/>
      <c r="B66" s="217" t="s">
        <v>1523</v>
      </c>
    </row>
    <row r="67" spans="1:2">
      <c r="A67" s="217"/>
      <c r="B67" s="230" t="s">
        <v>1524</v>
      </c>
    </row>
    <row r="68" spans="1:2">
      <c r="A68" s="228" t="s">
        <v>273</v>
      </c>
      <c r="B68" s="231"/>
    </row>
    <row r="69" spans="1:2">
      <c r="A69" s="217"/>
      <c r="B69" s="230" t="s">
        <v>1525</v>
      </c>
    </row>
    <row r="70" spans="1:2">
      <c r="A70" s="217"/>
      <c r="B70" s="230" t="s">
        <v>1526</v>
      </c>
    </row>
    <row r="71" spans="1:2">
      <c r="A71" s="228" t="s">
        <v>274</v>
      </c>
      <c r="B71" s="232" t="s">
        <v>1212</v>
      </c>
    </row>
    <row r="72" spans="1:2">
      <c r="A72" s="222"/>
      <c r="B72" s="233" t="s">
        <v>1527</v>
      </c>
    </row>
    <row r="73" spans="1:2">
      <c r="A73" s="224"/>
      <c r="B73" s="225"/>
    </row>
    <row r="74" spans="1:2">
      <c r="A74" s="224"/>
      <c r="B74" s="225"/>
    </row>
    <row r="75" spans="1:2">
      <c r="A75" s="226" t="s">
        <v>1254</v>
      </c>
      <c r="B75" s="225"/>
    </row>
    <row r="76" spans="1:2">
      <c r="A76" s="235" t="s">
        <v>1250</v>
      </c>
      <c r="B76" s="236"/>
    </row>
    <row r="77" spans="1:2">
      <c r="A77" s="237" t="s">
        <v>275</v>
      </c>
      <c r="B77" s="238"/>
    </row>
    <row r="78" spans="1:2">
      <c r="A78" s="239"/>
      <c r="B78" s="230" t="s">
        <v>1213</v>
      </c>
    </row>
    <row r="79" spans="1:2">
      <c r="A79" s="239"/>
      <c r="B79" s="217" t="s">
        <v>1528</v>
      </c>
    </row>
    <row r="80" spans="1:2">
      <c r="A80" s="239"/>
      <c r="B80" s="217" t="s">
        <v>1529</v>
      </c>
    </row>
    <row r="81" spans="1:2">
      <c r="A81" s="239"/>
      <c r="B81" s="217" t="s">
        <v>1214</v>
      </c>
    </row>
    <row r="82" spans="1:2">
      <c r="A82" s="239"/>
      <c r="B82" s="230" t="s">
        <v>1530</v>
      </c>
    </row>
    <row r="83" spans="1:2">
      <c r="A83" s="239"/>
      <c r="B83" s="230" t="s">
        <v>1531</v>
      </c>
    </row>
    <row r="84" spans="1:2">
      <c r="A84" s="240" t="s">
        <v>276</v>
      </c>
      <c r="B84" s="241"/>
    </row>
    <row r="85" spans="1:2">
      <c r="A85" s="239"/>
      <c r="B85" s="217" t="s">
        <v>1216</v>
      </c>
    </row>
    <row r="86" spans="1:2">
      <c r="A86" s="239"/>
      <c r="B86" s="230" t="s">
        <v>1532</v>
      </c>
    </row>
    <row r="87" spans="1:2">
      <c r="A87" s="240" t="s">
        <v>277</v>
      </c>
      <c r="B87" s="240" t="s">
        <v>1533</v>
      </c>
    </row>
    <row r="88" spans="1:2">
      <c r="A88" s="217"/>
      <c r="B88" s="217" t="s">
        <v>1217</v>
      </c>
    </row>
    <row r="89" spans="1:2">
      <c r="A89" s="217"/>
      <c r="B89" s="230" t="s">
        <v>1213</v>
      </c>
    </row>
    <row r="90" spans="1:2">
      <c r="A90" s="217"/>
      <c r="B90" s="217" t="s">
        <v>1214</v>
      </c>
    </row>
    <row r="91" spans="1:2">
      <c r="A91" s="217"/>
      <c r="B91" s="230" t="s">
        <v>1215</v>
      </c>
    </row>
    <row r="92" spans="1:2">
      <c r="A92" s="222"/>
      <c r="B92" s="233"/>
    </row>
    <row r="93" spans="1:2">
      <c r="A93" s="242"/>
      <c r="B93" s="243"/>
    </row>
    <row r="94" spans="1:2" ht="15.75">
      <c r="A94" s="244" t="s">
        <v>1231</v>
      </c>
      <c r="B94" s="245"/>
    </row>
    <row r="95" spans="1:2" ht="15.75">
      <c r="A95" s="246" t="s">
        <v>1255</v>
      </c>
      <c r="B95" s="247"/>
    </row>
    <row r="96" spans="1:2">
      <c r="A96" s="316"/>
      <c r="B96" s="316"/>
    </row>
    <row r="97" spans="1:2" ht="24">
      <c r="A97" s="14" t="s">
        <v>1256</v>
      </c>
      <c r="B97" s="15" t="s">
        <v>1218</v>
      </c>
    </row>
    <row r="98" spans="1:2">
      <c r="A98" s="16"/>
      <c r="B98" s="227"/>
    </row>
    <row r="99" spans="1:2" ht="24">
      <c r="A99" s="14" t="s">
        <v>1232</v>
      </c>
      <c r="B99" s="15" t="s">
        <v>1219</v>
      </c>
    </row>
    <row r="100" spans="1:2">
      <c r="A100" s="16"/>
      <c r="B100" s="17"/>
    </row>
    <row r="101" spans="1:2" ht="51.75" customHeight="1">
      <c r="A101" s="317" t="s">
        <v>1534</v>
      </c>
      <c r="B101" s="18" t="s">
        <v>1535</v>
      </c>
    </row>
    <row r="102" spans="1:2" ht="36">
      <c r="A102" s="318"/>
      <c r="B102" s="19" t="s">
        <v>1220</v>
      </c>
    </row>
    <row r="103" spans="1:2" ht="36">
      <c r="A103" s="319"/>
      <c r="B103" s="20" t="s">
        <v>1536</v>
      </c>
    </row>
    <row r="104" spans="1:2">
      <c r="A104" s="16"/>
      <c r="B104" s="17"/>
    </row>
    <row r="105" spans="1:2">
      <c r="A105" s="21" t="s">
        <v>1233</v>
      </c>
      <c r="B105" s="15" t="s">
        <v>1301</v>
      </c>
    </row>
    <row r="106" spans="1:2">
      <c r="A106" s="16"/>
      <c r="B106" s="17"/>
    </row>
    <row r="107" spans="1:2" ht="48">
      <c r="A107" s="21" t="s">
        <v>1234</v>
      </c>
      <c r="B107" s="15" t="s">
        <v>1537</v>
      </c>
    </row>
    <row r="108" spans="1:2">
      <c r="A108" s="16"/>
      <c r="B108" s="17"/>
    </row>
    <row r="109" spans="1:2" ht="24">
      <c r="A109" s="22" t="s">
        <v>1235</v>
      </c>
      <c r="B109" s="23" t="s">
        <v>1221</v>
      </c>
    </row>
    <row r="110" spans="1:2">
      <c r="A110" s="16"/>
      <c r="B110" s="17"/>
    </row>
    <row r="111" spans="1:2">
      <c r="A111" s="21" t="s">
        <v>214</v>
      </c>
      <c r="B111" s="15" t="s">
        <v>1222</v>
      </c>
    </row>
    <row r="112" spans="1:2">
      <c r="A112" s="16"/>
      <c r="B112" s="17"/>
    </row>
    <row r="113" spans="1:2" ht="24">
      <c r="A113" s="21" t="s">
        <v>1236</v>
      </c>
      <c r="B113" s="15" t="s">
        <v>1538</v>
      </c>
    </row>
    <row r="114" spans="1:2">
      <c r="A114" s="16"/>
      <c r="B114" s="17"/>
    </row>
    <row r="115" spans="1:2" ht="36">
      <c r="A115" s="21" t="s">
        <v>1237</v>
      </c>
      <c r="B115" s="15" t="s">
        <v>1539</v>
      </c>
    </row>
    <row r="116" spans="1:2">
      <c r="A116" s="16"/>
      <c r="B116" s="17"/>
    </row>
    <row r="117" spans="1:2" ht="24">
      <c r="A117" s="21" t="s">
        <v>1238</v>
      </c>
      <c r="B117" s="15" t="s">
        <v>1223</v>
      </c>
    </row>
    <row r="118" spans="1:2">
      <c r="A118" s="16"/>
      <c r="B118" s="17"/>
    </row>
    <row r="119" spans="1:2">
      <c r="A119" s="21" t="s">
        <v>1239</v>
      </c>
      <c r="B119" s="15" t="s">
        <v>1224</v>
      </c>
    </row>
    <row r="120" spans="1:2">
      <c r="A120" s="16"/>
      <c r="B120" s="17"/>
    </row>
    <row r="121" spans="1:2">
      <c r="A121" s="21" t="s">
        <v>1240</v>
      </c>
      <c r="B121" s="15" t="s">
        <v>1225</v>
      </c>
    </row>
    <row r="122" spans="1:2">
      <c r="A122" s="16"/>
      <c r="B122" s="17"/>
    </row>
    <row r="123" spans="1:2">
      <c r="A123" s="320" t="s">
        <v>1241</v>
      </c>
      <c r="B123" s="24" t="s">
        <v>1226</v>
      </c>
    </row>
    <row r="124" spans="1:2">
      <c r="A124" s="321"/>
      <c r="B124" s="19" t="s">
        <v>1227</v>
      </c>
    </row>
    <row r="125" spans="1:2">
      <c r="A125" s="321"/>
      <c r="B125" s="19" t="s">
        <v>1228</v>
      </c>
    </row>
    <row r="126" spans="1:2">
      <c r="A126" s="322"/>
      <c r="B126" s="20" t="s">
        <v>1540</v>
      </c>
    </row>
    <row r="127" spans="1:2">
      <c r="A127" s="16"/>
      <c r="B127" s="17"/>
    </row>
    <row r="128" spans="1:2" ht="24">
      <c r="A128" s="21" t="s">
        <v>36</v>
      </c>
      <c r="B128" s="15" t="s">
        <v>1541</v>
      </c>
    </row>
    <row r="129" spans="1:2">
      <c r="A129" s="16"/>
      <c r="B129" s="17"/>
    </row>
    <row r="130" spans="1:2">
      <c r="A130" s="21" t="s">
        <v>1242</v>
      </c>
      <c r="B130" s="15" t="s">
        <v>1229</v>
      </c>
    </row>
    <row r="131" spans="1:2">
      <c r="A131" s="16"/>
      <c r="B131" s="17"/>
    </row>
    <row r="132" spans="1:2" ht="36">
      <c r="A132" s="21" t="s">
        <v>1243</v>
      </c>
      <c r="B132" s="15" t="s">
        <v>1230</v>
      </c>
    </row>
    <row r="133" spans="1:2">
      <c r="A133" s="16"/>
      <c r="B133" s="17"/>
    </row>
    <row r="134" spans="1:2" ht="36">
      <c r="A134" s="21" t="s">
        <v>1542</v>
      </c>
      <c r="B134" s="15" t="s">
        <v>1543</v>
      </c>
    </row>
    <row r="136" spans="1:2" ht="24">
      <c r="A136" s="21" t="s">
        <v>1617</v>
      </c>
      <c r="B136" s="268" t="s">
        <v>1618</v>
      </c>
    </row>
  </sheetData>
  <sheetProtection algorithmName="SHA-512" hashValue="egJMxZD/m0CBChXpZ1HGqnyl3NuRW8xVIy14Vf7+QjeK45l0Co3wjfvbVtViCgY3mQWmyu+M/YgO6vrlHwhEKQ==" saltValue="lKH91/VLypKoCwU07NTLIA=="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activeCell="C35" sqref="C35"/>
    </sheetView>
  </sheetViews>
  <sheetFormatPr defaultColWidth="9.140625" defaultRowHeight="15" customHeight="1"/>
  <cols>
    <col min="1" max="1" width="4.5703125" style="202" customWidth="1"/>
    <col min="2" max="2" width="148.140625" style="202" customWidth="1"/>
    <col min="3" max="3" width="125.42578125" style="202" customWidth="1"/>
    <col min="4" max="4" width="7.5703125" style="202" customWidth="1"/>
    <col min="5" max="5" width="29" style="202" bestFit="1" customWidth="1"/>
    <col min="6" max="6" width="5.7109375" style="202" customWidth="1"/>
    <col min="7" max="7" width="9.140625" style="202"/>
    <col min="8" max="8" width="17.85546875" style="202" bestFit="1" customWidth="1"/>
    <col min="9" max="11" width="9.140625" style="202"/>
    <col min="12" max="12" width="19.7109375" style="202" customWidth="1"/>
    <col min="13" max="16384" width="9.140625" style="202"/>
  </cols>
  <sheetData>
    <row r="1" spans="1:4" ht="15" customHeight="1">
      <c r="A1" s="324" t="s">
        <v>1616</v>
      </c>
      <c r="B1" s="325"/>
    </row>
    <row r="2" spans="1:4" ht="15" customHeight="1">
      <c r="A2" s="326"/>
      <c r="B2" s="327"/>
    </row>
    <row r="3" spans="1:4" ht="15" customHeight="1">
      <c r="B3" s="203" t="s">
        <v>1544</v>
      </c>
      <c r="C3" s="204"/>
      <c r="D3" s="204"/>
    </row>
    <row r="4" spans="1:4" ht="15" customHeight="1">
      <c r="A4" s="205" t="s">
        <v>1545</v>
      </c>
      <c r="B4" s="323" t="s">
        <v>1546</v>
      </c>
      <c r="C4" s="323"/>
      <c r="D4" s="323"/>
    </row>
    <row r="5" spans="1:4" ht="15" customHeight="1">
      <c r="A5" s="205" t="s">
        <v>1545</v>
      </c>
      <c r="B5" s="323" t="s">
        <v>1547</v>
      </c>
      <c r="C5" s="323" t="s">
        <v>1547</v>
      </c>
      <c r="D5" s="323" t="s">
        <v>1547</v>
      </c>
    </row>
    <row r="6" spans="1:4" ht="15" customHeight="1">
      <c r="A6" s="205" t="s">
        <v>1545</v>
      </c>
      <c r="B6" s="323" t="s">
        <v>1548</v>
      </c>
      <c r="C6" s="323" t="s">
        <v>1548</v>
      </c>
      <c r="D6" s="323" t="s">
        <v>1548</v>
      </c>
    </row>
    <row r="7" spans="1:4" ht="15" customHeight="1">
      <c r="A7" s="205" t="s">
        <v>1545</v>
      </c>
      <c r="B7" s="323" t="s">
        <v>1549</v>
      </c>
      <c r="C7" s="323" t="s">
        <v>1549</v>
      </c>
      <c r="D7" s="323" t="s">
        <v>1549</v>
      </c>
    </row>
    <row r="8" spans="1:4" ht="15" customHeight="1">
      <c r="A8" s="205" t="s">
        <v>1545</v>
      </c>
      <c r="B8" s="323" t="s">
        <v>1550</v>
      </c>
      <c r="C8" s="323" t="s">
        <v>1550</v>
      </c>
      <c r="D8" s="323" t="s">
        <v>1550</v>
      </c>
    </row>
    <row r="9" spans="1:4" ht="15" customHeight="1">
      <c r="A9" s="205" t="s">
        <v>1545</v>
      </c>
      <c r="B9" s="323" t="s">
        <v>1551</v>
      </c>
      <c r="C9" s="323" t="s">
        <v>1551</v>
      </c>
      <c r="D9" s="323" t="s">
        <v>1551</v>
      </c>
    </row>
    <row r="10" spans="1:4" ht="15" customHeight="1">
      <c r="A10" s="205" t="s">
        <v>1545</v>
      </c>
      <c r="B10" s="323" t="s">
        <v>1552</v>
      </c>
      <c r="C10" s="323" t="s">
        <v>1552</v>
      </c>
      <c r="D10" s="323" t="s">
        <v>1552</v>
      </c>
    </row>
    <row r="11" spans="1:4" ht="15" customHeight="1">
      <c r="A11" s="205" t="s">
        <v>1545</v>
      </c>
      <c r="B11" s="323" t="s">
        <v>1553</v>
      </c>
      <c r="C11" s="323" t="s">
        <v>1553</v>
      </c>
      <c r="D11" s="323" t="s">
        <v>1553</v>
      </c>
    </row>
    <row r="12" spans="1:4" ht="15" customHeight="1">
      <c r="A12" s="205" t="s">
        <v>1545</v>
      </c>
      <c r="B12" s="323" t="s">
        <v>1554</v>
      </c>
      <c r="C12" s="323" t="s">
        <v>1554</v>
      </c>
      <c r="D12" s="323" t="s">
        <v>1554</v>
      </c>
    </row>
    <row r="13" spans="1:4" ht="15" customHeight="1">
      <c r="A13" s="205" t="s">
        <v>1545</v>
      </c>
      <c r="B13" s="323" t="s">
        <v>1555</v>
      </c>
      <c r="C13" s="323" t="s">
        <v>1555</v>
      </c>
      <c r="D13" s="323" t="s">
        <v>1555</v>
      </c>
    </row>
    <row r="14" spans="1:4" ht="15" customHeight="1">
      <c r="A14" s="205" t="s">
        <v>1545</v>
      </c>
      <c r="B14" s="323" t="s">
        <v>1556</v>
      </c>
      <c r="C14" s="323" t="s">
        <v>1556</v>
      </c>
      <c r="D14" s="323" t="s">
        <v>1556</v>
      </c>
    </row>
    <row r="15" spans="1:4" ht="15" customHeight="1">
      <c r="A15" s="206"/>
      <c r="B15" s="207"/>
      <c r="C15" s="204"/>
      <c r="D15" s="204"/>
    </row>
    <row r="16" spans="1:4" ht="15" customHeight="1">
      <c r="A16" s="206"/>
      <c r="B16" s="208" t="s">
        <v>1558</v>
      </c>
      <c r="C16" s="204"/>
      <c r="D16" s="204"/>
    </row>
    <row r="17" spans="1:4" ht="15" customHeight="1">
      <c r="A17" s="205" t="s">
        <v>1545</v>
      </c>
      <c r="B17" s="323" t="s">
        <v>1559</v>
      </c>
      <c r="C17" s="323" t="s">
        <v>1559</v>
      </c>
      <c r="D17" s="323" t="s">
        <v>1559</v>
      </c>
    </row>
    <row r="18" spans="1:4" ht="15" customHeight="1">
      <c r="A18" s="205" t="s">
        <v>1545</v>
      </c>
      <c r="B18" s="323" t="s">
        <v>1560</v>
      </c>
      <c r="C18" s="323" t="s">
        <v>1560</v>
      </c>
      <c r="D18" s="323" t="s">
        <v>1560</v>
      </c>
    </row>
    <row r="19" spans="1:4" ht="15" customHeight="1">
      <c r="A19" s="205" t="s">
        <v>1545</v>
      </c>
      <c r="B19" s="323" t="s">
        <v>1561</v>
      </c>
      <c r="C19" s="323" t="s">
        <v>1561</v>
      </c>
      <c r="D19" s="323" t="s">
        <v>1561</v>
      </c>
    </row>
    <row r="20" spans="1:4" ht="15" customHeight="1">
      <c r="A20" s="205" t="s">
        <v>1545</v>
      </c>
      <c r="B20" s="323" t="s">
        <v>1555</v>
      </c>
      <c r="C20" s="323" t="s">
        <v>1555</v>
      </c>
      <c r="D20" s="323" t="s">
        <v>1555</v>
      </c>
    </row>
    <row r="21" spans="1:4" ht="15" customHeight="1">
      <c r="A21" s="205" t="s">
        <v>1545</v>
      </c>
      <c r="B21" s="323" t="s">
        <v>1562</v>
      </c>
      <c r="C21" s="323" t="s">
        <v>1562</v>
      </c>
      <c r="D21" s="323" t="s">
        <v>1562</v>
      </c>
    </row>
    <row r="22" spans="1:4" ht="15" customHeight="1">
      <c r="A22" s="205" t="s">
        <v>1545</v>
      </c>
      <c r="B22" s="323" t="s">
        <v>1563</v>
      </c>
      <c r="C22" s="323" t="s">
        <v>1563</v>
      </c>
      <c r="D22" s="323" t="s">
        <v>1563</v>
      </c>
    </row>
    <row r="23" spans="1:4" ht="15" customHeight="1">
      <c r="A23" s="205" t="s">
        <v>1545</v>
      </c>
      <c r="B23" s="323" t="s">
        <v>1564</v>
      </c>
      <c r="C23" s="323" t="s">
        <v>1564</v>
      </c>
      <c r="D23" s="323" t="s">
        <v>1564</v>
      </c>
    </row>
    <row r="24" spans="1:4" ht="15" customHeight="1">
      <c r="A24" s="206"/>
      <c r="B24" s="204"/>
      <c r="C24" s="204"/>
      <c r="D24" s="204"/>
    </row>
    <row r="25" spans="1:4" ht="15" customHeight="1">
      <c r="A25" s="206"/>
      <c r="B25" s="208" t="s">
        <v>1567</v>
      </c>
      <c r="C25" s="204"/>
      <c r="D25" s="204"/>
    </row>
    <row r="26" spans="1:4" ht="15" customHeight="1">
      <c r="A26" s="205" t="s">
        <v>1545</v>
      </c>
      <c r="B26" s="328" t="s">
        <v>1568</v>
      </c>
      <c r="C26" s="328" t="s">
        <v>1568</v>
      </c>
      <c r="D26" s="328" t="s">
        <v>1568</v>
      </c>
    </row>
    <row r="27" spans="1:4" ht="15" customHeight="1">
      <c r="A27" s="205" t="s">
        <v>1545</v>
      </c>
      <c r="B27" s="328" t="s">
        <v>1569</v>
      </c>
      <c r="C27" s="328" t="s">
        <v>1569</v>
      </c>
      <c r="D27" s="328" t="s">
        <v>1569</v>
      </c>
    </row>
    <row r="28" spans="1:4" ht="15" customHeight="1">
      <c r="A28" s="205" t="s">
        <v>1545</v>
      </c>
      <c r="B28" s="328" t="s">
        <v>1570</v>
      </c>
      <c r="C28" s="328" t="s">
        <v>1570</v>
      </c>
      <c r="D28" s="328" t="s">
        <v>1570</v>
      </c>
    </row>
    <row r="29" spans="1:4" ht="15" customHeight="1">
      <c r="A29" s="205" t="s">
        <v>1545</v>
      </c>
      <c r="B29" s="328" t="s">
        <v>1571</v>
      </c>
      <c r="C29" s="328" t="s">
        <v>1571</v>
      </c>
      <c r="D29" s="328" t="s">
        <v>1571</v>
      </c>
    </row>
    <row r="30" spans="1:4" ht="15" customHeight="1">
      <c r="A30" s="205" t="s">
        <v>1545</v>
      </c>
      <c r="B30" s="328" t="s">
        <v>1572</v>
      </c>
      <c r="C30" s="328" t="s">
        <v>1572</v>
      </c>
      <c r="D30" s="328" t="s">
        <v>1572</v>
      </c>
    </row>
    <row r="32" spans="1:4" ht="15" customHeight="1">
      <c r="A32" s="206"/>
      <c r="B32" s="208" t="s">
        <v>1615</v>
      </c>
      <c r="C32" s="204"/>
      <c r="D32" s="204"/>
    </row>
    <row r="33" spans="1:4" ht="15" customHeight="1">
      <c r="A33" s="205" t="s">
        <v>1545</v>
      </c>
      <c r="B33" s="323" t="s">
        <v>193</v>
      </c>
      <c r="C33" s="323" t="s">
        <v>1557</v>
      </c>
      <c r="D33" s="323" t="s">
        <v>1557</v>
      </c>
    </row>
    <row r="34" spans="1:4" ht="15" customHeight="1">
      <c r="A34" s="205" t="s">
        <v>1545</v>
      </c>
      <c r="B34" s="202" t="s">
        <v>1257</v>
      </c>
    </row>
  </sheetData>
  <sheetProtection algorithmName="SHA-512" hashValue="bt3oYSb7qGD5jaG0TKvnA4YVJpqBXxlf1u8RB5QLsl6fBPvN8Qc9a9I7K3Au+sjSV5Mz74bWNgz8cDGceaPNvQ==" saltValue="QVZ2SITdt3GTo8y7jyuy3w=="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D12" sqref="D12"/>
    </sheetView>
  </sheetViews>
  <sheetFormatPr defaultColWidth="9.140625" defaultRowHeight="13.5"/>
  <cols>
    <col min="1" max="1" width="14.42578125" style="26" customWidth="1"/>
    <col min="2" max="2" width="26" style="8" bestFit="1" customWidth="1"/>
    <col min="3" max="3" width="16.140625" style="26" customWidth="1"/>
    <col min="4" max="4" width="25.85546875" style="8" bestFit="1" customWidth="1"/>
    <col min="5" max="5" width="14.85546875" style="26" bestFit="1" customWidth="1"/>
    <col min="6" max="6" width="16.42578125" style="26" customWidth="1"/>
    <col min="7" max="25" width="5.5703125" style="26" bestFit="1" customWidth="1"/>
    <col min="26" max="16384" width="9.140625" style="8"/>
  </cols>
  <sheetData>
    <row r="1" spans="1:25" ht="28.5">
      <c r="A1" s="248" t="s">
        <v>1258</v>
      </c>
    </row>
    <row r="2" spans="1:25" ht="15.75">
      <c r="G2" s="329" t="s">
        <v>256</v>
      </c>
      <c r="H2" s="329"/>
      <c r="I2" s="329"/>
      <c r="J2" s="329"/>
      <c r="K2" s="329"/>
      <c r="L2" s="329"/>
      <c r="M2" s="329"/>
      <c r="N2" s="329"/>
      <c r="O2" s="330" t="s">
        <v>257</v>
      </c>
      <c r="P2" s="330"/>
      <c r="Q2" s="330"/>
      <c r="R2" s="330"/>
      <c r="S2" s="330"/>
      <c r="T2" s="330"/>
      <c r="U2" s="330"/>
      <c r="V2" s="330"/>
      <c r="W2" s="331" t="s">
        <v>258</v>
      </c>
      <c r="X2" s="331"/>
      <c r="Y2" s="331"/>
    </row>
    <row r="3" spans="1:25" ht="30" customHeight="1">
      <c r="A3" s="249" t="s">
        <v>33</v>
      </c>
      <c r="B3" s="267" t="s">
        <v>135</v>
      </c>
      <c r="C3" s="249" t="s">
        <v>117</v>
      </c>
      <c r="D3" s="249" t="s">
        <v>279</v>
      </c>
      <c r="E3" s="249" t="s">
        <v>280</v>
      </c>
      <c r="F3" s="249" t="s">
        <v>1578</v>
      </c>
      <c r="G3" s="250" t="s">
        <v>259</v>
      </c>
      <c r="H3" s="250" t="s">
        <v>260</v>
      </c>
      <c r="I3" s="250" t="s">
        <v>261</v>
      </c>
      <c r="J3" s="250" t="s">
        <v>262</v>
      </c>
      <c r="K3" s="250" t="s">
        <v>263</v>
      </c>
      <c r="L3" s="250" t="s">
        <v>264</v>
      </c>
      <c r="M3" s="250" t="s">
        <v>265</v>
      </c>
      <c r="N3" s="250" t="s">
        <v>266</v>
      </c>
      <c r="O3" s="251" t="s">
        <v>267</v>
      </c>
      <c r="P3" s="251" t="s">
        <v>268</v>
      </c>
      <c r="Q3" s="251" t="s">
        <v>269</v>
      </c>
      <c r="R3" s="251" t="s">
        <v>270</v>
      </c>
      <c r="S3" s="251" t="s">
        <v>271</v>
      </c>
      <c r="T3" s="251" t="s">
        <v>272</v>
      </c>
      <c r="U3" s="251" t="s">
        <v>273</v>
      </c>
      <c r="V3" s="251" t="s">
        <v>274</v>
      </c>
      <c r="W3" s="252" t="s">
        <v>275</v>
      </c>
      <c r="X3" s="252" t="s">
        <v>276</v>
      </c>
      <c r="Y3" s="252" t="s">
        <v>277</v>
      </c>
    </row>
    <row r="4" spans="1:25">
      <c r="A4" s="253">
        <v>1</v>
      </c>
      <c r="B4" s="254" t="str">
        <f>VLOOKUP(Tabel10[[#This Row],[Code]],Ruimtegroepen[[Code]:[Ruimte omschrijving]],2,FALSE)</f>
        <v>Magazijnen/bergingen</v>
      </c>
      <c r="C4" s="255" t="s">
        <v>281</v>
      </c>
      <c r="D4" s="254" t="s">
        <v>29</v>
      </c>
      <c r="E4" s="255" t="s">
        <v>100</v>
      </c>
      <c r="F4" s="255" t="s">
        <v>282</v>
      </c>
      <c r="G4" s="256" t="s">
        <v>283</v>
      </c>
      <c r="H4" s="256" t="s">
        <v>283</v>
      </c>
      <c r="I4" s="256" t="s">
        <v>20</v>
      </c>
      <c r="J4" s="256" t="s">
        <v>15</v>
      </c>
      <c r="K4" s="256" t="s">
        <v>283</v>
      </c>
      <c r="L4" s="256" t="s">
        <v>283</v>
      </c>
      <c r="M4" s="256" t="s">
        <v>283</v>
      </c>
      <c r="N4" s="256" t="s">
        <v>2</v>
      </c>
      <c r="O4" s="257" t="s">
        <v>283</v>
      </c>
      <c r="P4" s="257" t="s">
        <v>283</v>
      </c>
      <c r="Q4" s="257" t="s">
        <v>283</v>
      </c>
      <c r="R4" s="257" t="s">
        <v>283</v>
      </c>
      <c r="S4" s="257" t="s">
        <v>2</v>
      </c>
      <c r="T4" s="257" t="s">
        <v>284</v>
      </c>
      <c r="U4" s="257" t="s">
        <v>284</v>
      </c>
      <c r="V4" s="257" t="s">
        <v>2</v>
      </c>
      <c r="W4" s="258" t="s">
        <v>283</v>
      </c>
      <c r="X4" s="258" t="s">
        <v>283</v>
      </c>
      <c r="Y4" s="259" t="s">
        <v>283</v>
      </c>
    </row>
    <row r="5" spans="1:25">
      <c r="A5" s="253">
        <v>1</v>
      </c>
      <c r="B5" s="254" t="str">
        <f>VLOOKUP(Tabel10[[#This Row],[Code]],Ruimtegroepen[[Code]:[Ruimte omschrijving]],2,FALSE)</f>
        <v>Magazijnen/bergingen</v>
      </c>
      <c r="C5" s="255" t="s">
        <v>281</v>
      </c>
      <c r="D5" s="254" t="s">
        <v>29</v>
      </c>
      <c r="E5" s="255" t="s">
        <v>99</v>
      </c>
      <c r="F5" s="255" t="s">
        <v>285</v>
      </c>
      <c r="G5" s="256" t="s">
        <v>20</v>
      </c>
      <c r="H5" s="256" t="s">
        <v>15</v>
      </c>
      <c r="I5" s="256" t="s">
        <v>283</v>
      </c>
      <c r="J5" s="256" t="s">
        <v>283</v>
      </c>
      <c r="K5" s="256" t="s">
        <v>283</v>
      </c>
      <c r="L5" s="256" t="s">
        <v>283</v>
      </c>
      <c r="M5" s="256" t="s">
        <v>283</v>
      </c>
      <c r="N5" s="256" t="s">
        <v>2</v>
      </c>
      <c r="O5" s="257" t="s">
        <v>283</v>
      </c>
      <c r="P5" s="257" t="s">
        <v>283</v>
      </c>
      <c r="Q5" s="257" t="s">
        <v>283</v>
      </c>
      <c r="R5" s="257" t="s">
        <v>283</v>
      </c>
      <c r="S5" s="257" t="s">
        <v>2</v>
      </c>
      <c r="T5" s="257" t="s">
        <v>284</v>
      </c>
      <c r="U5" s="257" t="s">
        <v>284</v>
      </c>
      <c r="V5" s="257" t="s">
        <v>2</v>
      </c>
      <c r="W5" s="258" t="s">
        <v>283</v>
      </c>
      <c r="X5" s="258" t="s">
        <v>283</v>
      </c>
      <c r="Y5" s="259" t="s">
        <v>283</v>
      </c>
    </row>
    <row r="6" spans="1:25">
      <c r="A6" s="253">
        <v>1</v>
      </c>
      <c r="B6" s="254" t="str">
        <f>VLOOKUP(Tabel10[[#This Row],[Code]],Ruimtegroepen[[Code]:[Ruimte omschrijving]],2,FALSE)</f>
        <v>Magazijnen/bergingen</v>
      </c>
      <c r="C6" s="255" t="s">
        <v>281</v>
      </c>
      <c r="D6" s="254" t="s">
        <v>29</v>
      </c>
      <c r="E6" s="255" t="s">
        <v>101</v>
      </c>
      <c r="F6" s="255" t="s">
        <v>286</v>
      </c>
      <c r="G6" s="260" t="s">
        <v>283</v>
      </c>
      <c r="H6" s="256" t="s">
        <v>283</v>
      </c>
      <c r="I6" s="256" t="s">
        <v>20</v>
      </c>
      <c r="J6" s="256" t="s">
        <v>15</v>
      </c>
      <c r="K6" s="256" t="s">
        <v>250</v>
      </c>
      <c r="L6" s="256" t="s">
        <v>283</v>
      </c>
      <c r="M6" s="256" t="s">
        <v>283</v>
      </c>
      <c r="N6" s="256" t="s">
        <v>2</v>
      </c>
      <c r="O6" s="257" t="s">
        <v>283</v>
      </c>
      <c r="P6" s="257" t="s">
        <v>283</v>
      </c>
      <c r="Q6" s="257" t="s">
        <v>283</v>
      </c>
      <c r="R6" s="257" t="s">
        <v>283</v>
      </c>
      <c r="S6" s="257" t="s">
        <v>2</v>
      </c>
      <c r="T6" s="257" t="s">
        <v>284</v>
      </c>
      <c r="U6" s="257" t="s">
        <v>284</v>
      </c>
      <c r="V6" s="257" t="s">
        <v>2</v>
      </c>
      <c r="W6" s="258" t="s">
        <v>283</v>
      </c>
      <c r="X6" s="258" t="s">
        <v>283</v>
      </c>
      <c r="Y6" s="259" t="s">
        <v>283</v>
      </c>
    </row>
    <row r="7" spans="1:25">
      <c r="A7" s="253">
        <v>1</v>
      </c>
      <c r="B7" s="254" t="str">
        <f>VLOOKUP(Tabel10[[#This Row],[Code]],Ruimtegroepen[[Code]:[Ruimte omschrijving]],2,FALSE)</f>
        <v>Magazijnen/bergingen</v>
      </c>
      <c r="C7" s="255" t="s">
        <v>281</v>
      </c>
      <c r="D7" s="254" t="s">
        <v>29</v>
      </c>
      <c r="E7" s="255" t="s">
        <v>102</v>
      </c>
      <c r="F7" s="255" t="s">
        <v>287</v>
      </c>
      <c r="G7" s="260" t="s">
        <v>283</v>
      </c>
      <c r="H7" s="256" t="s">
        <v>283</v>
      </c>
      <c r="I7" s="256" t="s">
        <v>20</v>
      </c>
      <c r="J7" s="256" t="s">
        <v>15</v>
      </c>
      <c r="K7" s="256" t="s">
        <v>250</v>
      </c>
      <c r="L7" s="256" t="s">
        <v>283</v>
      </c>
      <c r="M7" s="256" t="s">
        <v>283</v>
      </c>
      <c r="N7" s="256" t="s">
        <v>2</v>
      </c>
      <c r="O7" s="257" t="s">
        <v>283</v>
      </c>
      <c r="P7" s="257" t="s">
        <v>283</v>
      </c>
      <c r="Q7" s="257" t="s">
        <v>283</v>
      </c>
      <c r="R7" s="257" t="s">
        <v>283</v>
      </c>
      <c r="S7" s="257" t="s">
        <v>2</v>
      </c>
      <c r="T7" s="257" t="s">
        <v>284</v>
      </c>
      <c r="U7" s="257" t="s">
        <v>284</v>
      </c>
      <c r="V7" s="257" t="s">
        <v>2</v>
      </c>
      <c r="W7" s="258" t="s">
        <v>283</v>
      </c>
      <c r="X7" s="258" t="s">
        <v>283</v>
      </c>
      <c r="Y7" s="259" t="s">
        <v>283</v>
      </c>
    </row>
    <row r="8" spans="1:25">
      <c r="A8" s="261">
        <v>1</v>
      </c>
      <c r="B8" s="254" t="str">
        <f>VLOOKUP(Tabel10[[#This Row],[Code]],Ruimtegroepen[[Code]:[Ruimte omschrijving]],2,FALSE)</f>
        <v>Magazijnen/bergingen</v>
      </c>
      <c r="C8" s="255" t="s">
        <v>281</v>
      </c>
      <c r="D8" s="254" t="s">
        <v>29</v>
      </c>
      <c r="E8" s="255" t="s">
        <v>99</v>
      </c>
      <c r="F8" s="255" t="s">
        <v>285</v>
      </c>
      <c r="G8" s="262" t="s">
        <v>20</v>
      </c>
      <c r="H8" s="262" t="s">
        <v>15</v>
      </c>
      <c r="I8" s="256" t="s">
        <v>283</v>
      </c>
      <c r="J8" s="256" t="s">
        <v>283</v>
      </c>
      <c r="K8" s="256" t="s">
        <v>283</v>
      </c>
      <c r="L8" s="256" t="s">
        <v>283</v>
      </c>
      <c r="M8" s="256" t="s">
        <v>283</v>
      </c>
      <c r="N8" s="262" t="s">
        <v>2</v>
      </c>
      <c r="O8" s="263" t="s">
        <v>283</v>
      </c>
      <c r="P8" s="263" t="s">
        <v>283</v>
      </c>
      <c r="Q8" s="263" t="s">
        <v>283</v>
      </c>
      <c r="R8" s="263" t="s">
        <v>283</v>
      </c>
      <c r="S8" s="263" t="s">
        <v>2</v>
      </c>
      <c r="T8" s="263" t="s">
        <v>284</v>
      </c>
      <c r="U8" s="263" t="s">
        <v>284</v>
      </c>
      <c r="V8" s="263" t="s">
        <v>2</v>
      </c>
      <c r="W8" s="264" t="s">
        <v>283</v>
      </c>
      <c r="X8" s="264" t="s">
        <v>283</v>
      </c>
      <c r="Y8" s="265" t="s">
        <v>283</v>
      </c>
    </row>
    <row r="9" spans="1:25">
      <c r="A9" s="253">
        <v>1</v>
      </c>
      <c r="B9" s="254" t="str">
        <f>VLOOKUP(Tabel10[[#This Row],[Code]],Ruimtegroepen[[Code]:[Ruimte omschrijving]],2,FALSE)</f>
        <v>Magazijnen/bergingen</v>
      </c>
      <c r="C9" s="255" t="s">
        <v>281</v>
      </c>
      <c r="D9" s="254" t="s">
        <v>29</v>
      </c>
      <c r="E9" s="255" t="s">
        <v>1312</v>
      </c>
      <c r="F9" s="255" t="s">
        <v>1313</v>
      </c>
      <c r="G9" s="256" t="s">
        <v>283</v>
      </c>
      <c r="H9" s="256" t="s">
        <v>283</v>
      </c>
      <c r="I9" s="256" t="s">
        <v>20</v>
      </c>
      <c r="J9" s="256" t="s">
        <v>15</v>
      </c>
      <c r="K9" s="256" t="s">
        <v>250</v>
      </c>
      <c r="L9" s="256" t="s">
        <v>283</v>
      </c>
      <c r="M9" s="256" t="s">
        <v>283</v>
      </c>
      <c r="N9" s="256" t="s">
        <v>2</v>
      </c>
      <c r="O9" s="263" t="s">
        <v>283</v>
      </c>
      <c r="P9" s="263" t="s">
        <v>283</v>
      </c>
      <c r="Q9" s="263" t="s">
        <v>283</v>
      </c>
      <c r="R9" s="263" t="s">
        <v>283</v>
      </c>
      <c r="S9" s="263" t="s">
        <v>2</v>
      </c>
      <c r="T9" s="263" t="s">
        <v>284</v>
      </c>
      <c r="U9" s="263" t="s">
        <v>284</v>
      </c>
      <c r="V9" s="263" t="s">
        <v>2</v>
      </c>
      <c r="W9" s="264" t="s">
        <v>283</v>
      </c>
      <c r="X9" s="264" t="s">
        <v>283</v>
      </c>
      <c r="Y9" s="264" t="s">
        <v>283</v>
      </c>
    </row>
    <row r="10" spans="1:25">
      <c r="A10" s="253">
        <v>1</v>
      </c>
      <c r="B10" s="254" t="str">
        <f>VLOOKUP(Tabel10[[#This Row],[Code]],Ruimtegroepen[[Code]:[Ruimte omschrijving]],2,FALSE)</f>
        <v>Magazijnen/bergingen</v>
      </c>
      <c r="C10" s="255" t="s">
        <v>288</v>
      </c>
      <c r="D10" s="254" t="s">
        <v>1</v>
      </c>
      <c r="E10" s="255" t="s">
        <v>100</v>
      </c>
      <c r="F10" s="255" t="s">
        <v>289</v>
      </c>
      <c r="G10" s="260" t="s">
        <v>283</v>
      </c>
      <c r="H10" s="256" t="s">
        <v>283</v>
      </c>
      <c r="I10" s="256" t="s">
        <v>20</v>
      </c>
      <c r="J10" s="256" t="s">
        <v>15</v>
      </c>
      <c r="K10" s="256" t="s">
        <v>283</v>
      </c>
      <c r="L10" s="256" t="s">
        <v>283</v>
      </c>
      <c r="M10" s="256" t="s">
        <v>283</v>
      </c>
      <c r="N10" s="256" t="s">
        <v>283</v>
      </c>
      <c r="O10" s="257" t="s">
        <v>283</v>
      </c>
      <c r="P10" s="257" t="s">
        <v>283</v>
      </c>
      <c r="Q10" s="257" t="s">
        <v>283</v>
      </c>
      <c r="R10" s="257" t="s">
        <v>283</v>
      </c>
      <c r="S10" s="257" t="s">
        <v>2</v>
      </c>
      <c r="T10" s="257" t="s">
        <v>284</v>
      </c>
      <c r="U10" s="257" t="s">
        <v>284</v>
      </c>
      <c r="V10" s="257" t="s">
        <v>283</v>
      </c>
      <c r="W10" s="258" t="s">
        <v>283</v>
      </c>
      <c r="X10" s="258" t="s">
        <v>283</v>
      </c>
      <c r="Y10" s="259" t="s">
        <v>283</v>
      </c>
    </row>
    <row r="11" spans="1:25">
      <c r="A11" s="253">
        <v>1</v>
      </c>
      <c r="B11" s="254" t="str">
        <f>VLOOKUP(Tabel10[[#This Row],[Code]],Ruimtegroepen[[Code]:[Ruimte omschrijving]],2,FALSE)</f>
        <v>Magazijnen/bergingen</v>
      </c>
      <c r="C11" s="255" t="s">
        <v>288</v>
      </c>
      <c r="D11" s="254" t="s">
        <v>1</v>
      </c>
      <c r="E11" s="255" t="s">
        <v>99</v>
      </c>
      <c r="F11" s="255" t="s">
        <v>290</v>
      </c>
      <c r="G11" s="256" t="s">
        <v>20</v>
      </c>
      <c r="H11" s="256" t="s">
        <v>15</v>
      </c>
      <c r="I11" s="256" t="s">
        <v>283</v>
      </c>
      <c r="J11" s="256" t="s">
        <v>283</v>
      </c>
      <c r="K11" s="256" t="s">
        <v>283</v>
      </c>
      <c r="L11" s="256" t="s">
        <v>283</v>
      </c>
      <c r="M11" s="256" t="s">
        <v>283</v>
      </c>
      <c r="N11" s="256" t="s">
        <v>283</v>
      </c>
      <c r="O11" s="257" t="s">
        <v>283</v>
      </c>
      <c r="P11" s="257" t="s">
        <v>283</v>
      </c>
      <c r="Q11" s="257" t="s">
        <v>283</v>
      </c>
      <c r="R11" s="257" t="s">
        <v>283</v>
      </c>
      <c r="S11" s="257" t="s">
        <v>2</v>
      </c>
      <c r="T11" s="257" t="s">
        <v>284</v>
      </c>
      <c r="U11" s="257" t="s">
        <v>284</v>
      </c>
      <c r="V11" s="257" t="s">
        <v>283</v>
      </c>
      <c r="W11" s="258" t="s">
        <v>283</v>
      </c>
      <c r="X11" s="258" t="s">
        <v>283</v>
      </c>
      <c r="Y11" s="259" t="s">
        <v>283</v>
      </c>
    </row>
    <row r="12" spans="1:25">
      <c r="A12" s="253">
        <v>1</v>
      </c>
      <c r="B12" s="254" t="str">
        <f>VLOOKUP(Tabel10[[#This Row],[Code]],Ruimtegroepen[[Code]:[Ruimte omschrijving]],2,FALSE)</f>
        <v>Magazijnen/bergingen</v>
      </c>
      <c r="C12" s="255" t="s">
        <v>288</v>
      </c>
      <c r="D12" s="254" t="s">
        <v>1</v>
      </c>
      <c r="E12" s="255" t="s">
        <v>101</v>
      </c>
      <c r="F12" s="255" t="s">
        <v>291</v>
      </c>
      <c r="G12" s="260" t="s">
        <v>283</v>
      </c>
      <c r="H12" s="256" t="s">
        <v>283</v>
      </c>
      <c r="I12" s="256" t="s">
        <v>20</v>
      </c>
      <c r="J12" s="256" t="s">
        <v>15</v>
      </c>
      <c r="K12" s="256" t="s">
        <v>250</v>
      </c>
      <c r="L12" s="256" t="s">
        <v>283</v>
      </c>
      <c r="M12" s="256" t="s">
        <v>283</v>
      </c>
      <c r="N12" s="256" t="s">
        <v>283</v>
      </c>
      <c r="O12" s="257" t="s">
        <v>283</v>
      </c>
      <c r="P12" s="257" t="s">
        <v>283</v>
      </c>
      <c r="Q12" s="257" t="s">
        <v>283</v>
      </c>
      <c r="R12" s="257" t="s">
        <v>283</v>
      </c>
      <c r="S12" s="257" t="s">
        <v>2</v>
      </c>
      <c r="T12" s="257" t="s">
        <v>284</v>
      </c>
      <c r="U12" s="257" t="s">
        <v>284</v>
      </c>
      <c r="V12" s="257" t="s">
        <v>283</v>
      </c>
      <c r="W12" s="258" t="s">
        <v>283</v>
      </c>
      <c r="X12" s="258" t="s">
        <v>283</v>
      </c>
      <c r="Y12" s="259" t="s">
        <v>283</v>
      </c>
    </row>
    <row r="13" spans="1:25">
      <c r="A13" s="253">
        <v>1</v>
      </c>
      <c r="B13" s="254" t="str">
        <f>VLOOKUP(Tabel10[[#This Row],[Code]],Ruimtegroepen[[Code]:[Ruimte omschrijving]],2,FALSE)</f>
        <v>Magazijnen/bergingen</v>
      </c>
      <c r="C13" s="255" t="s">
        <v>288</v>
      </c>
      <c r="D13" s="254" t="s">
        <v>1</v>
      </c>
      <c r="E13" s="255" t="s">
        <v>102</v>
      </c>
      <c r="F13" s="255" t="s">
        <v>292</v>
      </c>
      <c r="G13" s="260" t="s">
        <v>283</v>
      </c>
      <c r="H13" s="256" t="s">
        <v>283</v>
      </c>
      <c r="I13" s="256" t="s">
        <v>20</v>
      </c>
      <c r="J13" s="256" t="s">
        <v>15</v>
      </c>
      <c r="K13" s="256" t="s">
        <v>250</v>
      </c>
      <c r="L13" s="256" t="s">
        <v>283</v>
      </c>
      <c r="M13" s="256" t="s">
        <v>283</v>
      </c>
      <c r="N13" s="256" t="s">
        <v>283</v>
      </c>
      <c r="O13" s="257" t="s">
        <v>283</v>
      </c>
      <c r="P13" s="257" t="s">
        <v>283</v>
      </c>
      <c r="Q13" s="257" t="s">
        <v>283</v>
      </c>
      <c r="R13" s="257" t="s">
        <v>283</v>
      </c>
      <c r="S13" s="257" t="s">
        <v>2</v>
      </c>
      <c r="T13" s="257" t="s">
        <v>284</v>
      </c>
      <c r="U13" s="257" t="s">
        <v>284</v>
      </c>
      <c r="V13" s="257" t="s">
        <v>283</v>
      </c>
      <c r="W13" s="258" t="s">
        <v>283</v>
      </c>
      <c r="X13" s="258" t="s">
        <v>283</v>
      </c>
      <c r="Y13" s="259" t="s">
        <v>283</v>
      </c>
    </row>
    <row r="14" spans="1:25">
      <c r="A14" s="253">
        <v>1</v>
      </c>
      <c r="B14" s="254" t="str">
        <f>VLOOKUP(Tabel10[[#This Row],[Code]],Ruimtegroepen[[Code]:[Ruimte omschrijving]],2,FALSE)</f>
        <v>Magazijnen/bergingen</v>
      </c>
      <c r="C14" s="255" t="s">
        <v>288</v>
      </c>
      <c r="D14" s="254" t="s">
        <v>1</v>
      </c>
      <c r="E14" s="255" t="s">
        <v>99</v>
      </c>
      <c r="F14" s="255" t="s">
        <v>290</v>
      </c>
      <c r="G14" s="256" t="s">
        <v>20</v>
      </c>
      <c r="H14" s="256" t="s">
        <v>15</v>
      </c>
      <c r="I14" s="256" t="s">
        <v>283</v>
      </c>
      <c r="J14" s="256" t="s">
        <v>283</v>
      </c>
      <c r="K14" s="256" t="s">
        <v>283</v>
      </c>
      <c r="L14" s="256" t="s">
        <v>283</v>
      </c>
      <c r="M14" s="256" t="s">
        <v>283</v>
      </c>
      <c r="N14" s="256" t="s">
        <v>283</v>
      </c>
      <c r="O14" s="257" t="s">
        <v>283</v>
      </c>
      <c r="P14" s="257" t="s">
        <v>283</v>
      </c>
      <c r="Q14" s="257" t="s">
        <v>283</v>
      </c>
      <c r="R14" s="257" t="s">
        <v>283</v>
      </c>
      <c r="S14" s="257" t="s">
        <v>2</v>
      </c>
      <c r="T14" s="257" t="s">
        <v>284</v>
      </c>
      <c r="U14" s="257" t="s">
        <v>284</v>
      </c>
      <c r="V14" s="257" t="s">
        <v>283</v>
      </c>
      <c r="W14" s="258" t="s">
        <v>283</v>
      </c>
      <c r="X14" s="258" t="s">
        <v>283</v>
      </c>
      <c r="Y14" s="259" t="s">
        <v>283</v>
      </c>
    </row>
    <row r="15" spans="1:25">
      <c r="A15" s="253">
        <v>1</v>
      </c>
      <c r="B15" s="254" t="str">
        <f>VLOOKUP(Tabel10[[#This Row],[Code]],Ruimtegroepen[[Code]:[Ruimte omschrijving]],2,FALSE)</f>
        <v>Magazijnen/bergingen</v>
      </c>
      <c r="C15" s="255" t="s">
        <v>288</v>
      </c>
      <c r="D15" s="254" t="s">
        <v>1</v>
      </c>
      <c r="E15" s="255" t="s">
        <v>1312</v>
      </c>
      <c r="F15" s="255" t="s">
        <v>1314</v>
      </c>
      <c r="G15" s="260" t="s">
        <v>283</v>
      </c>
      <c r="H15" s="256" t="s">
        <v>283</v>
      </c>
      <c r="I15" s="256" t="s">
        <v>20</v>
      </c>
      <c r="J15" s="256" t="s">
        <v>15</v>
      </c>
      <c r="K15" s="256" t="s">
        <v>250</v>
      </c>
      <c r="L15" s="256" t="s">
        <v>283</v>
      </c>
      <c r="M15" s="256" t="s">
        <v>283</v>
      </c>
      <c r="N15" s="256" t="s">
        <v>283</v>
      </c>
      <c r="O15" s="257" t="s">
        <v>283</v>
      </c>
      <c r="P15" s="257" t="s">
        <v>283</v>
      </c>
      <c r="Q15" s="257" t="s">
        <v>283</v>
      </c>
      <c r="R15" s="257" t="s">
        <v>283</v>
      </c>
      <c r="S15" s="257" t="s">
        <v>2</v>
      </c>
      <c r="T15" s="257" t="s">
        <v>284</v>
      </c>
      <c r="U15" s="257" t="s">
        <v>284</v>
      </c>
      <c r="V15" s="257" t="s">
        <v>283</v>
      </c>
      <c r="W15" s="258" t="s">
        <v>283</v>
      </c>
      <c r="X15" s="258" t="s">
        <v>283</v>
      </c>
      <c r="Y15" s="259" t="s">
        <v>283</v>
      </c>
    </row>
    <row r="16" spans="1:25">
      <c r="A16" s="253">
        <v>1</v>
      </c>
      <c r="B16" s="254" t="str">
        <f>VLOOKUP(Tabel10[[#This Row],[Code]],Ruimtegroepen[[Code]:[Ruimte omschrijving]],2,FALSE)</f>
        <v>Magazijnen/bergingen</v>
      </c>
      <c r="C16" s="255" t="s">
        <v>293</v>
      </c>
      <c r="D16" s="254" t="s">
        <v>21</v>
      </c>
      <c r="E16" s="255" t="s">
        <v>100</v>
      </c>
      <c r="F16" s="255" t="s">
        <v>294</v>
      </c>
      <c r="G16" s="260" t="s">
        <v>283</v>
      </c>
      <c r="H16" s="256" t="s">
        <v>283</v>
      </c>
      <c r="I16" s="256" t="s">
        <v>18</v>
      </c>
      <c r="J16" s="256" t="s">
        <v>15</v>
      </c>
      <c r="K16" s="256" t="s">
        <v>283</v>
      </c>
      <c r="L16" s="256" t="s">
        <v>283</v>
      </c>
      <c r="M16" s="256" t="s">
        <v>283</v>
      </c>
      <c r="N16" s="256" t="s">
        <v>283</v>
      </c>
      <c r="O16" s="257" t="s">
        <v>283</v>
      </c>
      <c r="P16" s="257" t="s">
        <v>283</v>
      </c>
      <c r="Q16" s="257" t="s">
        <v>283</v>
      </c>
      <c r="R16" s="257" t="s">
        <v>283</v>
      </c>
      <c r="S16" s="257" t="s">
        <v>20</v>
      </c>
      <c r="T16" s="257" t="s">
        <v>284</v>
      </c>
      <c r="U16" s="257" t="s">
        <v>284</v>
      </c>
      <c r="V16" s="257" t="s">
        <v>283</v>
      </c>
      <c r="W16" s="258" t="s">
        <v>283</v>
      </c>
      <c r="X16" s="258" t="s">
        <v>283</v>
      </c>
      <c r="Y16" s="259" t="s">
        <v>283</v>
      </c>
    </row>
    <row r="17" spans="1:25">
      <c r="A17" s="253">
        <v>1</v>
      </c>
      <c r="B17" s="254" t="str">
        <f>VLOOKUP(Tabel10[[#This Row],[Code]],Ruimtegroepen[[Code]:[Ruimte omschrijving]],2,FALSE)</f>
        <v>Magazijnen/bergingen</v>
      </c>
      <c r="C17" s="255" t="s">
        <v>293</v>
      </c>
      <c r="D17" s="254" t="s">
        <v>21</v>
      </c>
      <c r="E17" s="255" t="s">
        <v>99</v>
      </c>
      <c r="F17" s="255" t="s">
        <v>295</v>
      </c>
      <c r="G17" s="256" t="s">
        <v>18</v>
      </c>
      <c r="H17" s="256" t="s">
        <v>15</v>
      </c>
      <c r="I17" s="256" t="s">
        <v>283</v>
      </c>
      <c r="J17" s="256" t="s">
        <v>283</v>
      </c>
      <c r="K17" s="256" t="s">
        <v>283</v>
      </c>
      <c r="L17" s="256" t="s">
        <v>283</v>
      </c>
      <c r="M17" s="256" t="s">
        <v>283</v>
      </c>
      <c r="N17" s="256" t="s">
        <v>283</v>
      </c>
      <c r="O17" s="257" t="s">
        <v>283</v>
      </c>
      <c r="P17" s="257" t="s">
        <v>283</v>
      </c>
      <c r="Q17" s="257" t="s">
        <v>283</v>
      </c>
      <c r="R17" s="257" t="s">
        <v>283</v>
      </c>
      <c r="S17" s="257" t="s">
        <v>20</v>
      </c>
      <c r="T17" s="257" t="s">
        <v>284</v>
      </c>
      <c r="U17" s="257" t="s">
        <v>284</v>
      </c>
      <c r="V17" s="257" t="s">
        <v>283</v>
      </c>
      <c r="W17" s="258" t="s">
        <v>283</v>
      </c>
      <c r="X17" s="258" t="s">
        <v>283</v>
      </c>
      <c r="Y17" s="259" t="s">
        <v>283</v>
      </c>
    </row>
    <row r="18" spans="1:25">
      <c r="A18" s="253">
        <v>1</v>
      </c>
      <c r="B18" s="254" t="str">
        <f>VLOOKUP(Tabel10[[#This Row],[Code]],Ruimtegroepen[[Code]:[Ruimte omschrijving]],2,FALSE)</f>
        <v>Magazijnen/bergingen</v>
      </c>
      <c r="C18" s="255" t="s">
        <v>293</v>
      </c>
      <c r="D18" s="254" t="s">
        <v>21</v>
      </c>
      <c r="E18" s="255" t="s">
        <v>101</v>
      </c>
      <c r="F18" s="255" t="s">
        <v>296</v>
      </c>
      <c r="G18" s="260" t="s">
        <v>283</v>
      </c>
      <c r="H18" s="256" t="s">
        <v>283</v>
      </c>
      <c r="I18" s="256" t="s">
        <v>18</v>
      </c>
      <c r="J18" s="256" t="s">
        <v>15</v>
      </c>
      <c r="K18" s="256" t="s">
        <v>250</v>
      </c>
      <c r="L18" s="256" t="s">
        <v>283</v>
      </c>
      <c r="M18" s="256" t="s">
        <v>283</v>
      </c>
      <c r="N18" s="256" t="s">
        <v>283</v>
      </c>
      <c r="O18" s="257" t="s">
        <v>283</v>
      </c>
      <c r="P18" s="257" t="s">
        <v>283</v>
      </c>
      <c r="Q18" s="257" t="s">
        <v>283</v>
      </c>
      <c r="R18" s="257" t="s">
        <v>283</v>
      </c>
      <c r="S18" s="257" t="s">
        <v>20</v>
      </c>
      <c r="T18" s="257" t="s">
        <v>284</v>
      </c>
      <c r="U18" s="257" t="s">
        <v>284</v>
      </c>
      <c r="V18" s="257" t="s">
        <v>283</v>
      </c>
      <c r="W18" s="258" t="s">
        <v>283</v>
      </c>
      <c r="X18" s="258" t="s">
        <v>283</v>
      </c>
      <c r="Y18" s="259" t="s">
        <v>283</v>
      </c>
    </row>
    <row r="19" spans="1:25">
      <c r="A19" s="253">
        <v>1</v>
      </c>
      <c r="B19" s="254" t="str">
        <f>VLOOKUP(Tabel10[[#This Row],[Code]],Ruimtegroepen[[Code]:[Ruimte omschrijving]],2,FALSE)</f>
        <v>Magazijnen/bergingen</v>
      </c>
      <c r="C19" s="255" t="s">
        <v>293</v>
      </c>
      <c r="D19" s="254" t="s">
        <v>21</v>
      </c>
      <c r="E19" s="255" t="s">
        <v>102</v>
      </c>
      <c r="F19" s="255" t="s">
        <v>297</v>
      </c>
      <c r="G19" s="260" t="s">
        <v>283</v>
      </c>
      <c r="H19" s="256" t="s">
        <v>283</v>
      </c>
      <c r="I19" s="256" t="s">
        <v>18</v>
      </c>
      <c r="J19" s="256" t="s">
        <v>15</v>
      </c>
      <c r="K19" s="256" t="s">
        <v>250</v>
      </c>
      <c r="L19" s="256" t="s">
        <v>283</v>
      </c>
      <c r="M19" s="256" t="s">
        <v>283</v>
      </c>
      <c r="N19" s="256" t="s">
        <v>283</v>
      </c>
      <c r="O19" s="257" t="s">
        <v>283</v>
      </c>
      <c r="P19" s="257" t="s">
        <v>283</v>
      </c>
      <c r="Q19" s="257" t="s">
        <v>283</v>
      </c>
      <c r="R19" s="257" t="s">
        <v>283</v>
      </c>
      <c r="S19" s="257" t="s">
        <v>20</v>
      </c>
      <c r="T19" s="257" t="s">
        <v>284</v>
      </c>
      <c r="U19" s="257" t="s">
        <v>284</v>
      </c>
      <c r="V19" s="257" t="s">
        <v>283</v>
      </c>
      <c r="W19" s="258" t="s">
        <v>283</v>
      </c>
      <c r="X19" s="258" t="s">
        <v>283</v>
      </c>
      <c r="Y19" s="259" t="s">
        <v>283</v>
      </c>
    </row>
    <row r="20" spans="1:25">
      <c r="A20" s="253">
        <v>1</v>
      </c>
      <c r="B20" s="254" t="str">
        <f>VLOOKUP(Tabel10[[#This Row],[Code]],Ruimtegroepen[[Code]:[Ruimte omschrijving]],2,FALSE)</f>
        <v>Magazijnen/bergingen</v>
      </c>
      <c r="C20" s="255" t="s">
        <v>293</v>
      </c>
      <c r="D20" s="254" t="s">
        <v>21</v>
      </c>
      <c r="E20" s="255" t="s">
        <v>99</v>
      </c>
      <c r="F20" s="255" t="s">
        <v>295</v>
      </c>
      <c r="G20" s="256" t="s">
        <v>18</v>
      </c>
      <c r="H20" s="256" t="s">
        <v>15</v>
      </c>
      <c r="I20" s="256" t="s">
        <v>283</v>
      </c>
      <c r="J20" s="256" t="s">
        <v>283</v>
      </c>
      <c r="K20" s="256" t="s">
        <v>283</v>
      </c>
      <c r="L20" s="256" t="s">
        <v>283</v>
      </c>
      <c r="M20" s="256" t="s">
        <v>283</v>
      </c>
      <c r="N20" s="256" t="s">
        <v>283</v>
      </c>
      <c r="O20" s="257" t="s">
        <v>283</v>
      </c>
      <c r="P20" s="257" t="s">
        <v>283</v>
      </c>
      <c r="Q20" s="257" t="s">
        <v>283</v>
      </c>
      <c r="R20" s="257" t="s">
        <v>283</v>
      </c>
      <c r="S20" s="257" t="s">
        <v>20</v>
      </c>
      <c r="T20" s="257" t="s">
        <v>284</v>
      </c>
      <c r="U20" s="257" t="s">
        <v>284</v>
      </c>
      <c r="V20" s="257" t="s">
        <v>283</v>
      </c>
      <c r="W20" s="258" t="s">
        <v>283</v>
      </c>
      <c r="X20" s="258" t="s">
        <v>283</v>
      </c>
      <c r="Y20" s="259" t="s">
        <v>283</v>
      </c>
    </row>
    <row r="21" spans="1:25">
      <c r="A21" s="253">
        <v>1</v>
      </c>
      <c r="B21" s="254" t="str">
        <f>VLOOKUP(Tabel10[[#This Row],[Code]],Ruimtegroepen[[Code]:[Ruimte omschrijving]],2,FALSE)</f>
        <v>Magazijnen/bergingen</v>
      </c>
      <c r="C21" s="255" t="s">
        <v>293</v>
      </c>
      <c r="D21" s="254" t="s">
        <v>21</v>
      </c>
      <c r="E21" s="255" t="s">
        <v>1312</v>
      </c>
      <c r="F21" s="255" t="s">
        <v>1315</v>
      </c>
      <c r="G21" s="260" t="s">
        <v>283</v>
      </c>
      <c r="H21" s="256" t="s">
        <v>283</v>
      </c>
      <c r="I21" s="256" t="s">
        <v>18</v>
      </c>
      <c r="J21" s="256" t="s">
        <v>15</v>
      </c>
      <c r="K21" s="256" t="s">
        <v>250</v>
      </c>
      <c r="L21" s="256" t="s">
        <v>283</v>
      </c>
      <c r="M21" s="256" t="s">
        <v>283</v>
      </c>
      <c r="N21" s="256" t="s">
        <v>283</v>
      </c>
      <c r="O21" s="257" t="s">
        <v>283</v>
      </c>
      <c r="P21" s="257" t="s">
        <v>283</v>
      </c>
      <c r="Q21" s="257" t="s">
        <v>283</v>
      </c>
      <c r="R21" s="257" t="s">
        <v>283</v>
      </c>
      <c r="S21" s="257" t="s">
        <v>20</v>
      </c>
      <c r="T21" s="257" t="s">
        <v>284</v>
      </c>
      <c r="U21" s="257" t="s">
        <v>284</v>
      </c>
      <c r="V21" s="257" t="s">
        <v>283</v>
      </c>
      <c r="W21" s="258" t="s">
        <v>283</v>
      </c>
      <c r="X21" s="258" t="s">
        <v>283</v>
      </c>
      <c r="Y21" s="259" t="s">
        <v>283</v>
      </c>
    </row>
    <row r="22" spans="1:25">
      <c r="A22" s="253">
        <v>1</v>
      </c>
      <c r="B22" s="254" t="str">
        <f>VLOOKUP(Tabel10[[#This Row],[Code]],Ruimtegroepen[[Code]:[Ruimte omschrijving]],2,FALSE)</f>
        <v>Magazijnen/bergingen</v>
      </c>
      <c r="C22" s="255" t="s">
        <v>298</v>
      </c>
      <c r="D22" s="254" t="s">
        <v>12</v>
      </c>
      <c r="E22" s="255" t="s">
        <v>100</v>
      </c>
      <c r="F22" s="255" t="s">
        <v>299</v>
      </c>
      <c r="G22" s="260" t="s">
        <v>283</v>
      </c>
      <c r="H22" s="256" t="s">
        <v>283</v>
      </c>
      <c r="I22" s="256" t="s">
        <v>17</v>
      </c>
      <c r="J22" s="256" t="s">
        <v>15</v>
      </c>
      <c r="K22" s="256" t="s">
        <v>283</v>
      </c>
      <c r="L22" s="256" t="s">
        <v>283</v>
      </c>
      <c r="M22" s="256" t="s">
        <v>283</v>
      </c>
      <c r="N22" s="256" t="s">
        <v>283</v>
      </c>
      <c r="O22" s="257" t="s">
        <v>283</v>
      </c>
      <c r="P22" s="257" t="s">
        <v>283</v>
      </c>
      <c r="Q22" s="257" t="s">
        <v>283</v>
      </c>
      <c r="R22" s="257" t="s">
        <v>283</v>
      </c>
      <c r="S22" s="257" t="s">
        <v>18</v>
      </c>
      <c r="T22" s="257" t="s">
        <v>284</v>
      </c>
      <c r="U22" s="257" t="s">
        <v>284</v>
      </c>
      <c r="V22" s="257"/>
      <c r="W22" s="258" t="s">
        <v>283</v>
      </c>
      <c r="X22" s="258" t="s">
        <v>283</v>
      </c>
      <c r="Y22" s="259" t="s">
        <v>283</v>
      </c>
    </row>
    <row r="23" spans="1:25">
      <c r="A23" s="253">
        <v>1</v>
      </c>
      <c r="B23" s="254" t="str">
        <f>VLOOKUP(Tabel10[[#This Row],[Code]],Ruimtegroepen[[Code]:[Ruimte omschrijving]],2,FALSE)</f>
        <v>Magazijnen/bergingen</v>
      </c>
      <c r="C23" s="255" t="s">
        <v>298</v>
      </c>
      <c r="D23" s="254" t="s">
        <v>12</v>
      </c>
      <c r="E23" s="255" t="s">
        <v>99</v>
      </c>
      <c r="F23" s="255" t="s">
        <v>300</v>
      </c>
      <c r="G23" s="256" t="s">
        <v>17</v>
      </c>
      <c r="H23" s="256" t="s">
        <v>15</v>
      </c>
      <c r="I23" s="256" t="s">
        <v>283</v>
      </c>
      <c r="J23" s="256" t="s">
        <v>283</v>
      </c>
      <c r="K23" s="256" t="s">
        <v>283</v>
      </c>
      <c r="L23" s="256" t="s">
        <v>283</v>
      </c>
      <c r="M23" s="256" t="s">
        <v>283</v>
      </c>
      <c r="N23" s="256" t="s">
        <v>283</v>
      </c>
      <c r="O23" s="257" t="s">
        <v>283</v>
      </c>
      <c r="P23" s="257" t="s">
        <v>283</v>
      </c>
      <c r="Q23" s="257" t="s">
        <v>283</v>
      </c>
      <c r="R23" s="257" t="s">
        <v>283</v>
      </c>
      <c r="S23" s="257" t="s">
        <v>18</v>
      </c>
      <c r="T23" s="257" t="s">
        <v>284</v>
      </c>
      <c r="U23" s="257" t="s">
        <v>284</v>
      </c>
      <c r="V23" s="257" t="s">
        <v>283</v>
      </c>
      <c r="W23" s="258" t="s">
        <v>283</v>
      </c>
      <c r="X23" s="258" t="s">
        <v>283</v>
      </c>
      <c r="Y23" s="259" t="s">
        <v>283</v>
      </c>
    </row>
    <row r="24" spans="1:25">
      <c r="A24" s="253">
        <v>1</v>
      </c>
      <c r="B24" s="254" t="str">
        <f>VLOOKUP(Tabel10[[#This Row],[Code]],Ruimtegroepen[[Code]:[Ruimte omschrijving]],2,FALSE)</f>
        <v>Magazijnen/bergingen</v>
      </c>
      <c r="C24" s="255" t="s">
        <v>298</v>
      </c>
      <c r="D24" s="254" t="s">
        <v>12</v>
      </c>
      <c r="E24" s="255" t="s">
        <v>101</v>
      </c>
      <c r="F24" s="255" t="s">
        <v>301</v>
      </c>
      <c r="G24" s="260" t="s">
        <v>283</v>
      </c>
      <c r="H24" s="256" t="s">
        <v>283</v>
      </c>
      <c r="I24" s="256" t="s">
        <v>17</v>
      </c>
      <c r="J24" s="256" t="s">
        <v>15</v>
      </c>
      <c r="K24" s="256" t="s">
        <v>250</v>
      </c>
      <c r="L24" s="256" t="s">
        <v>283</v>
      </c>
      <c r="M24" s="256" t="s">
        <v>283</v>
      </c>
      <c r="N24" s="256" t="s">
        <v>283</v>
      </c>
      <c r="O24" s="257" t="s">
        <v>283</v>
      </c>
      <c r="P24" s="257" t="s">
        <v>283</v>
      </c>
      <c r="Q24" s="257" t="s">
        <v>283</v>
      </c>
      <c r="R24" s="257" t="s">
        <v>283</v>
      </c>
      <c r="S24" s="257" t="s">
        <v>18</v>
      </c>
      <c r="T24" s="257" t="s">
        <v>284</v>
      </c>
      <c r="U24" s="257" t="s">
        <v>284</v>
      </c>
      <c r="V24" s="257" t="s">
        <v>283</v>
      </c>
      <c r="W24" s="258" t="s">
        <v>283</v>
      </c>
      <c r="X24" s="258" t="s">
        <v>283</v>
      </c>
      <c r="Y24" s="259" t="s">
        <v>283</v>
      </c>
    </row>
    <row r="25" spans="1:25">
      <c r="A25" s="253">
        <v>1</v>
      </c>
      <c r="B25" s="254" t="str">
        <f>VLOOKUP(Tabel10[[#This Row],[Code]],Ruimtegroepen[[Code]:[Ruimte omschrijving]],2,FALSE)</f>
        <v>Magazijnen/bergingen</v>
      </c>
      <c r="C25" s="255" t="s">
        <v>298</v>
      </c>
      <c r="D25" s="254" t="s">
        <v>12</v>
      </c>
      <c r="E25" s="255" t="s">
        <v>102</v>
      </c>
      <c r="F25" s="255" t="s">
        <v>302</v>
      </c>
      <c r="G25" s="260" t="s">
        <v>283</v>
      </c>
      <c r="H25" s="256" t="s">
        <v>283</v>
      </c>
      <c r="I25" s="256" t="s">
        <v>17</v>
      </c>
      <c r="J25" s="256" t="s">
        <v>15</v>
      </c>
      <c r="K25" s="256" t="s">
        <v>250</v>
      </c>
      <c r="L25" s="256" t="s">
        <v>283</v>
      </c>
      <c r="M25" s="256" t="s">
        <v>283</v>
      </c>
      <c r="N25" s="256" t="s">
        <v>283</v>
      </c>
      <c r="O25" s="257" t="s">
        <v>283</v>
      </c>
      <c r="P25" s="257" t="s">
        <v>283</v>
      </c>
      <c r="Q25" s="257" t="s">
        <v>283</v>
      </c>
      <c r="R25" s="257" t="s">
        <v>283</v>
      </c>
      <c r="S25" s="257" t="s">
        <v>18</v>
      </c>
      <c r="T25" s="257" t="s">
        <v>284</v>
      </c>
      <c r="U25" s="257" t="s">
        <v>284</v>
      </c>
      <c r="V25" s="257" t="s">
        <v>283</v>
      </c>
      <c r="W25" s="258" t="s">
        <v>283</v>
      </c>
      <c r="X25" s="258" t="s">
        <v>283</v>
      </c>
      <c r="Y25" s="259" t="s">
        <v>283</v>
      </c>
    </row>
    <row r="26" spans="1:25">
      <c r="A26" s="253">
        <v>1</v>
      </c>
      <c r="B26" s="254" t="str">
        <f>VLOOKUP(Tabel10[[#This Row],[Code]],Ruimtegroepen[[Code]:[Ruimte omschrijving]],2,FALSE)</f>
        <v>Magazijnen/bergingen</v>
      </c>
      <c r="C26" s="255" t="s">
        <v>298</v>
      </c>
      <c r="D26" s="254" t="s">
        <v>12</v>
      </c>
      <c r="E26" s="255" t="s">
        <v>99</v>
      </c>
      <c r="F26" s="255" t="s">
        <v>300</v>
      </c>
      <c r="G26" s="256" t="s">
        <v>17</v>
      </c>
      <c r="H26" s="256" t="s">
        <v>15</v>
      </c>
      <c r="I26" s="256" t="s">
        <v>283</v>
      </c>
      <c r="J26" s="256" t="s">
        <v>283</v>
      </c>
      <c r="K26" s="256" t="s">
        <v>283</v>
      </c>
      <c r="L26" s="256" t="s">
        <v>283</v>
      </c>
      <c r="M26" s="256" t="s">
        <v>283</v>
      </c>
      <c r="N26" s="256" t="s">
        <v>283</v>
      </c>
      <c r="O26" s="257" t="s">
        <v>283</v>
      </c>
      <c r="P26" s="257" t="s">
        <v>283</v>
      </c>
      <c r="Q26" s="257" t="s">
        <v>283</v>
      </c>
      <c r="R26" s="257" t="s">
        <v>283</v>
      </c>
      <c r="S26" s="257" t="s">
        <v>18</v>
      </c>
      <c r="T26" s="257" t="s">
        <v>284</v>
      </c>
      <c r="U26" s="257" t="s">
        <v>284</v>
      </c>
      <c r="V26" s="257" t="s">
        <v>283</v>
      </c>
      <c r="W26" s="258" t="s">
        <v>283</v>
      </c>
      <c r="X26" s="258" t="s">
        <v>283</v>
      </c>
      <c r="Y26" s="259" t="s">
        <v>283</v>
      </c>
    </row>
    <row r="27" spans="1:25">
      <c r="A27" s="253">
        <v>1</v>
      </c>
      <c r="B27" s="254" t="str">
        <f>VLOOKUP(Tabel10[[#This Row],[Code]],Ruimtegroepen[[Code]:[Ruimte omschrijving]],2,FALSE)</f>
        <v>Magazijnen/bergingen</v>
      </c>
      <c r="C27" s="255" t="s">
        <v>298</v>
      </c>
      <c r="D27" s="254" t="s">
        <v>12</v>
      </c>
      <c r="E27" s="255" t="s">
        <v>1312</v>
      </c>
      <c r="F27" s="255" t="s">
        <v>1316</v>
      </c>
      <c r="G27" s="260" t="s">
        <v>283</v>
      </c>
      <c r="H27" s="256" t="s">
        <v>283</v>
      </c>
      <c r="I27" s="256" t="s">
        <v>17</v>
      </c>
      <c r="J27" s="256" t="s">
        <v>15</v>
      </c>
      <c r="K27" s="256" t="s">
        <v>250</v>
      </c>
      <c r="L27" s="256" t="s">
        <v>283</v>
      </c>
      <c r="M27" s="256" t="s">
        <v>283</v>
      </c>
      <c r="N27" s="256" t="s">
        <v>283</v>
      </c>
      <c r="O27" s="257" t="s">
        <v>283</v>
      </c>
      <c r="P27" s="257" t="s">
        <v>283</v>
      </c>
      <c r="Q27" s="257" t="s">
        <v>283</v>
      </c>
      <c r="R27" s="257" t="s">
        <v>283</v>
      </c>
      <c r="S27" s="257" t="s">
        <v>18</v>
      </c>
      <c r="T27" s="257" t="s">
        <v>284</v>
      </c>
      <c r="U27" s="257" t="s">
        <v>284</v>
      </c>
      <c r="V27" s="257" t="s">
        <v>283</v>
      </c>
      <c r="W27" s="258" t="s">
        <v>283</v>
      </c>
      <c r="X27" s="258" t="s">
        <v>283</v>
      </c>
      <c r="Y27" s="259" t="s">
        <v>283</v>
      </c>
    </row>
    <row r="28" spans="1:25">
      <c r="A28" s="253">
        <v>1</v>
      </c>
      <c r="B28" s="254" t="str">
        <f>VLOOKUP(Tabel10[[#This Row],[Code]],Ruimtegroepen[[Code]:[Ruimte omschrijving]],2,FALSE)</f>
        <v>Magazijnen/bergingen</v>
      </c>
      <c r="C28" s="255" t="s">
        <v>303</v>
      </c>
      <c r="D28" s="254" t="s">
        <v>14</v>
      </c>
      <c r="E28" s="255" t="s">
        <v>100</v>
      </c>
      <c r="F28" s="255" t="s">
        <v>304</v>
      </c>
      <c r="G28" s="260" t="s">
        <v>283</v>
      </c>
      <c r="H28" s="256" t="s">
        <v>283</v>
      </c>
      <c r="I28" s="256" t="s">
        <v>15</v>
      </c>
      <c r="J28" s="256" t="s">
        <v>15</v>
      </c>
      <c r="K28" s="256" t="s">
        <v>283</v>
      </c>
      <c r="L28" s="256" t="s">
        <v>283</v>
      </c>
      <c r="M28" s="256" t="s">
        <v>283</v>
      </c>
      <c r="N28" s="256" t="s">
        <v>283</v>
      </c>
      <c r="O28" s="257" t="s">
        <v>283</v>
      </c>
      <c r="P28" s="257" t="s">
        <v>283</v>
      </c>
      <c r="Q28" s="257" t="s">
        <v>283</v>
      </c>
      <c r="R28" s="257" t="s">
        <v>283</v>
      </c>
      <c r="S28" s="257" t="s">
        <v>17</v>
      </c>
      <c r="T28" s="257" t="s">
        <v>284</v>
      </c>
      <c r="U28" s="257" t="s">
        <v>284</v>
      </c>
      <c r="V28" s="257" t="s">
        <v>283</v>
      </c>
      <c r="W28" s="258" t="s">
        <v>283</v>
      </c>
      <c r="X28" s="258" t="s">
        <v>283</v>
      </c>
      <c r="Y28" s="259" t="s">
        <v>283</v>
      </c>
    </row>
    <row r="29" spans="1:25">
      <c r="A29" s="253">
        <v>1</v>
      </c>
      <c r="B29" s="254" t="str">
        <f>VLOOKUP(Tabel10[[#This Row],[Code]],Ruimtegroepen[[Code]:[Ruimte omschrijving]],2,FALSE)</f>
        <v>Magazijnen/bergingen</v>
      </c>
      <c r="C29" s="255" t="s">
        <v>303</v>
      </c>
      <c r="D29" s="254" t="s">
        <v>14</v>
      </c>
      <c r="E29" s="255" t="s">
        <v>99</v>
      </c>
      <c r="F29" s="255" t="s">
        <v>305</v>
      </c>
      <c r="G29" s="256" t="s">
        <v>15</v>
      </c>
      <c r="H29" s="256" t="s">
        <v>15</v>
      </c>
      <c r="I29" s="256" t="s">
        <v>283</v>
      </c>
      <c r="J29" s="256" t="s">
        <v>283</v>
      </c>
      <c r="K29" s="256" t="s">
        <v>283</v>
      </c>
      <c r="L29" s="256" t="s">
        <v>283</v>
      </c>
      <c r="M29" s="256" t="s">
        <v>283</v>
      </c>
      <c r="N29" s="256" t="s">
        <v>283</v>
      </c>
      <c r="O29" s="257" t="s">
        <v>283</v>
      </c>
      <c r="P29" s="257" t="s">
        <v>283</v>
      </c>
      <c r="Q29" s="257" t="s">
        <v>283</v>
      </c>
      <c r="R29" s="257" t="s">
        <v>283</v>
      </c>
      <c r="S29" s="257" t="s">
        <v>17</v>
      </c>
      <c r="T29" s="257" t="s">
        <v>284</v>
      </c>
      <c r="U29" s="257" t="s">
        <v>284</v>
      </c>
      <c r="V29" s="257" t="s">
        <v>283</v>
      </c>
      <c r="W29" s="258" t="s">
        <v>283</v>
      </c>
      <c r="X29" s="258" t="s">
        <v>283</v>
      </c>
      <c r="Y29" s="259" t="s">
        <v>283</v>
      </c>
    </row>
    <row r="30" spans="1:25">
      <c r="A30" s="253">
        <v>1</v>
      </c>
      <c r="B30" s="254" t="str">
        <f>VLOOKUP(Tabel10[[#This Row],[Code]],Ruimtegroepen[[Code]:[Ruimte omschrijving]],2,FALSE)</f>
        <v>Magazijnen/bergingen</v>
      </c>
      <c r="C30" s="255" t="s">
        <v>303</v>
      </c>
      <c r="D30" s="254" t="s">
        <v>14</v>
      </c>
      <c r="E30" s="255" t="s">
        <v>101</v>
      </c>
      <c r="F30" s="255" t="s">
        <v>306</v>
      </c>
      <c r="G30" s="260" t="s">
        <v>283</v>
      </c>
      <c r="H30" s="256" t="s">
        <v>283</v>
      </c>
      <c r="I30" s="256" t="s">
        <v>15</v>
      </c>
      <c r="J30" s="256" t="s">
        <v>15</v>
      </c>
      <c r="K30" s="256" t="s">
        <v>250</v>
      </c>
      <c r="L30" s="256" t="s">
        <v>283</v>
      </c>
      <c r="M30" s="256" t="s">
        <v>283</v>
      </c>
      <c r="N30" s="256" t="s">
        <v>283</v>
      </c>
      <c r="O30" s="257" t="s">
        <v>283</v>
      </c>
      <c r="P30" s="257" t="s">
        <v>283</v>
      </c>
      <c r="Q30" s="257" t="s">
        <v>283</v>
      </c>
      <c r="R30" s="257" t="s">
        <v>283</v>
      </c>
      <c r="S30" s="257" t="s">
        <v>17</v>
      </c>
      <c r="T30" s="257" t="s">
        <v>284</v>
      </c>
      <c r="U30" s="257" t="s">
        <v>284</v>
      </c>
      <c r="V30" s="257" t="s">
        <v>283</v>
      </c>
      <c r="W30" s="258" t="s">
        <v>283</v>
      </c>
      <c r="X30" s="258" t="s">
        <v>283</v>
      </c>
      <c r="Y30" s="259" t="s">
        <v>283</v>
      </c>
    </row>
    <row r="31" spans="1:25">
      <c r="A31" s="253">
        <v>1</v>
      </c>
      <c r="B31" s="254" t="str">
        <f>VLOOKUP(Tabel10[[#This Row],[Code]],Ruimtegroepen[[Code]:[Ruimte omschrijving]],2,FALSE)</f>
        <v>Magazijnen/bergingen</v>
      </c>
      <c r="C31" s="255" t="s">
        <v>303</v>
      </c>
      <c r="D31" s="254" t="s">
        <v>14</v>
      </c>
      <c r="E31" s="255" t="s">
        <v>102</v>
      </c>
      <c r="F31" s="255" t="s">
        <v>307</v>
      </c>
      <c r="G31" s="260" t="s">
        <v>283</v>
      </c>
      <c r="H31" s="256" t="s">
        <v>283</v>
      </c>
      <c r="I31" s="256" t="s">
        <v>15</v>
      </c>
      <c r="J31" s="256" t="s">
        <v>15</v>
      </c>
      <c r="K31" s="256" t="s">
        <v>250</v>
      </c>
      <c r="L31" s="256" t="s">
        <v>283</v>
      </c>
      <c r="M31" s="256" t="s">
        <v>283</v>
      </c>
      <c r="N31" s="256" t="s">
        <v>283</v>
      </c>
      <c r="O31" s="257" t="s">
        <v>283</v>
      </c>
      <c r="P31" s="257" t="s">
        <v>283</v>
      </c>
      <c r="Q31" s="257" t="s">
        <v>283</v>
      </c>
      <c r="R31" s="257" t="s">
        <v>283</v>
      </c>
      <c r="S31" s="257" t="s">
        <v>17</v>
      </c>
      <c r="T31" s="257" t="s">
        <v>284</v>
      </c>
      <c r="U31" s="257" t="s">
        <v>284</v>
      </c>
      <c r="V31" s="257" t="s">
        <v>283</v>
      </c>
      <c r="W31" s="258" t="s">
        <v>283</v>
      </c>
      <c r="X31" s="258" t="s">
        <v>283</v>
      </c>
      <c r="Y31" s="259" t="s">
        <v>283</v>
      </c>
    </row>
    <row r="32" spans="1:25">
      <c r="A32" s="253">
        <v>1</v>
      </c>
      <c r="B32" s="254" t="str">
        <f>VLOOKUP(Tabel10[[#This Row],[Code]],Ruimtegroepen[[Code]:[Ruimte omschrijving]],2,FALSE)</f>
        <v>Magazijnen/bergingen</v>
      </c>
      <c r="C32" s="255" t="s">
        <v>303</v>
      </c>
      <c r="D32" s="254" t="s">
        <v>14</v>
      </c>
      <c r="E32" s="255" t="s">
        <v>99</v>
      </c>
      <c r="F32" s="255" t="s">
        <v>305</v>
      </c>
      <c r="G32" s="256" t="s">
        <v>15</v>
      </c>
      <c r="H32" s="256" t="s">
        <v>15</v>
      </c>
      <c r="I32" s="256" t="s">
        <v>283</v>
      </c>
      <c r="J32" s="256" t="s">
        <v>283</v>
      </c>
      <c r="K32" s="256" t="s">
        <v>283</v>
      </c>
      <c r="L32" s="256" t="s">
        <v>283</v>
      </c>
      <c r="M32" s="256" t="s">
        <v>283</v>
      </c>
      <c r="N32" s="256" t="s">
        <v>283</v>
      </c>
      <c r="O32" s="257" t="s">
        <v>283</v>
      </c>
      <c r="P32" s="257" t="s">
        <v>283</v>
      </c>
      <c r="Q32" s="257" t="s">
        <v>283</v>
      </c>
      <c r="R32" s="257" t="s">
        <v>283</v>
      </c>
      <c r="S32" s="257" t="s">
        <v>17</v>
      </c>
      <c r="T32" s="257" t="s">
        <v>284</v>
      </c>
      <c r="U32" s="257" t="s">
        <v>284</v>
      </c>
      <c r="V32" s="257" t="s">
        <v>283</v>
      </c>
      <c r="W32" s="258" t="s">
        <v>283</v>
      </c>
      <c r="X32" s="258" t="s">
        <v>283</v>
      </c>
      <c r="Y32" s="259" t="s">
        <v>283</v>
      </c>
    </row>
    <row r="33" spans="1:25">
      <c r="A33" s="253">
        <v>1</v>
      </c>
      <c r="B33" s="254" t="str">
        <f>VLOOKUP(Tabel10[[#This Row],[Code]],Ruimtegroepen[[Code]:[Ruimte omschrijving]],2,FALSE)</f>
        <v>Magazijnen/bergingen</v>
      </c>
      <c r="C33" s="255" t="s">
        <v>303</v>
      </c>
      <c r="D33" s="254" t="s">
        <v>14</v>
      </c>
      <c r="E33" s="255" t="s">
        <v>1312</v>
      </c>
      <c r="F33" s="255" t="s">
        <v>1317</v>
      </c>
      <c r="G33" s="260" t="s">
        <v>283</v>
      </c>
      <c r="H33" s="256" t="s">
        <v>283</v>
      </c>
      <c r="I33" s="256" t="s">
        <v>15</v>
      </c>
      <c r="J33" s="256" t="s">
        <v>15</v>
      </c>
      <c r="K33" s="256" t="s">
        <v>250</v>
      </c>
      <c r="L33" s="256" t="s">
        <v>283</v>
      </c>
      <c r="M33" s="256" t="s">
        <v>283</v>
      </c>
      <c r="N33" s="256" t="s">
        <v>283</v>
      </c>
      <c r="O33" s="257" t="s">
        <v>283</v>
      </c>
      <c r="P33" s="257" t="s">
        <v>283</v>
      </c>
      <c r="Q33" s="257" t="s">
        <v>283</v>
      </c>
      <c r="R33" s="257" t="s">
        <v>283</v>
      </c>
      <c r="S33" s="257" t="s">
        <v>17</v>
      </c>
      <c r="T33" s="257" t="s">
        <v>284</v>
      </c>
      <c r="U33" s="257" t="s">
        <v>284</v>
      </c>
      <c r="V33" s="257" t="s">
        <v>283</v>
      </c>
      <c r="W33" s="258" t="s">
        <v>283</v>
      </c>
      <c r="X33" s="258" t="s">
        <v>283</v>
      </c>
      <c r="Y33" s="259" t="s">
        <v>283</v>
      </c>
    </row>
    <row r="34" spans="1:25">
      <c r="A34" s="253">
        <v>1</v>
      </c>
      <c r="B34" s="254" t="str">
        <f>VLOOKUP(Tabel10[[#This Row],[Code]],Ruimtegroepen[[Code]:[Ruimte omschrijving]],2,FALSE)</f>
        <v>Magazijnen/bergingen</v>
      </c>
      <c r="C34" s="255" t="s">
        <v>308</v>
      </c>
      <c r="D34" s="254" t="s">
        <v>13</v>
      </c>
      <c r="E34" s="255" t="s">
        <v>100</v>
      </c>
      <c r="F34" s="255" t="s">
        <v>309</v>
      </c>
      <c r="G34" s="260" t="s">
        <v>283</v>
      </c>
      <c r="H34" s="256" t="s">
        <v>283</v>
      </c>
      <c r="I34" s="256" t="s">
        <v>15</v>
      </c>
      <c r="J34" s="256" t="s">
        <v>15</v>
      </c>
      <c r="K34" s="256" t="s">
        <v>283</v>
      </c>
      <c r="L34" s="256" t="s">
        <v>283</v>
      </c>
      <c r="M34" s="256" t="s">
        <v>283</v>
      </c>
      <c r="N34" s="256" t="s">
        <v>283</v>
      </c>
      <c r="O34" s="257" t="s">
        <v>283</v>
      </c>
      <c r="P34" s="257" t="s">
        <v>283</v>
      </c>
      <c r="Q34" s="257" t="s">
        <v>283</v>
      </c>
      <c r="R34" s="257" t="s">
        <v>283</v>
      </c>
      <c r="S34" s="257" t="s">
        <v>15</v>
      </c>
      <c r="T34" s="257" t="s">
        <v>284</v>
      </c>
      <c r="U34" s="257" t="s">
        <v>284</v>
      </c>
      <c r="V34" s="257" t="s">
        <v>283</v>
      </c>
      <c r="W34" s="258" t="s">
        <v>283</v>
      </c>
      <c r="X34" s="258" t="s">
        <v>283</v>
      </c>
      <c r="Y34" s="259" t="s">
        <v>283</v>
      </c>
    </row>
    <row r="35" spans="1:25">
      <c r="A35" s="253">
        <v>1</v>
      </c>
      <c r="B35" s="254" t="str">
        <f>VLOOKUP(Tabel10[[#This Row],[Code]],Ruimtegroepen[[Code]:[Ruimte omschrijving]],2,FALSE)</f>
        <v>Magazijnen/bergingen</v>
      </c>
      <c r="C35" s="255" t="s">
        <v>308</v>
      </c>
      <c r="D35" s="254" t="s">
        <v>13</v>
      </c>
      <c r="E35" s="255" t="s">
        <v>99</v>
      </c>
      <c r="F35" s="255" t="s">
        <v>310</v>
      </c>
      <c r="G35" s="260" t="s">
        <v>283</v>
      </c>
      <c r="H35" s="256" t="s">
        <v>15</v>
      </c>
      <c r="I35" s="256" t="s">
        <v>283</v>
      </c>
      <c r="J35" s="256" t="s">
        <v>283</v>
      </c>
      <c r="K35" s="256" t="s">
        <v>283</v>
      </c>
      <c r="L35" s="256" t="s">
        <v>283</v>
      </c>
      <c r="M35" s="256" t="s">
        <v>283</v>
      </c>
      <c r="N35" s="256" t="s">
        <v>283</v>
      </c>
      <c r="O35" s="257" t="s">
        <v>283</v>
      </c>
      <c r="P35" s="257" t="s">
        <v>283</v>
      </c>
      <c r="Q35" s="257" t="s">
        <v>283</v>
      </c>
      <c r="R35" s="257" t="s">
        <v>283</v>
      </c>
      <c r="S35" s="257" t="s">
        <v>15</v>
      </c>
      <c r="T35" s="257" t="s">
        <v>284</v>
      </c>
      <c r="U35" s="257" t="s">
        <v>284</v>
      </c>
      <c r="V35" s="257" t="s">
        <v>283</v>
      </c>
      <c r="W35" s="258" t="s">
        <v>283</v>
      </c>
      <c r="X35" s="258" t="s">
        <v>283</v>
      </c>
      <c r="Y35" s="259" t="s">
        <v>283</v>
      </c>
    </row>
    <row r="36" spans="1:25">
      <c r="A36" s="253">
        <v>1</v>
      </c>
      <c r="B36" s="254" t="str">
        <f>VLOOKUP(Tabel10[[#This Row],[Code]],Ruimtegroepen[[Code]:[Ruimte omschrijving]],2,FALSE)</f>
        <v>Magazijnen/bergingen</v>
      </c>
      <c r="C36" s="255" t="s">
        <v>308</v>
      </c>
      <c r="D36" s="254" t="s">
        <v>13</v>
      </c>
      <c r="E36" s="255" t="s">
        <v>101</v>
      </c>
      <c r="F36" s="255" t="s">
        <v>311</v>
      </c>
      <c r="G36" s="260" t="s">
        <v>283</v>
      </c>
      <c r="H36" s="256" t="s">
        <v>283</v>
      </c>
      <c r="I36" s="256" t="s">
        <v>283</v>
      </c>
      <c r="J36" s="256" t="s">
        <v>15</v>
      </c>
      <c r="K36" s="256" t="s">
        <v>250</v>
      </c>
      <c r="L36" s="256" t="s">
        <v>283</v>
      </c>
      <c r="M36" s="256" t="s">
        <v>283</v>
      </c>
      <c r="N36" s="256" t="s">
        <v>283</v>
      </c>
      <c r="O36" s="257" t="s">
        <v>283</v>
      </c>
      <c r="P36" s="257" t="s">
        <v>283</v>
      </c>
      <c r="Q36" s="257" t="s">
        <v>283</v>
      </c>
      <c r="R36" s="257" t="s">
        <v>283</v>
      </c>
      <c r="S36" s="257" t="s">
        <v>15</v>
      </c>
      <c r="T36" s="257" t="s">
        <v>284</v>
      </c>
      <c r="U36" s="257" t="s">
        <v>284</v>
      </c>
      <c r="V36" s="257" t="s">
        <v>283</v>
      </c>
      <c r="W36" s="258" t="s">
        <v>283</v>
      </c>
      <c r="X36" s="258" t="s">
        <v>283</v>
      </c>
      <c r="Y36" s="259" t="s">
        <v>283</v>
      </c>
    </row>
    <row r="37" spans="1:25">
      <c r="A37" s="253">
        <v>1</v>
      </c>
      <c r="B37" s="254" t="str">
        <f>VLOOKUP(Tabel10[[#This Row],[Code]],Ruimtegroepen[[Code]:[Ruimte omschrijving]],2,FALSE)</f>
        <v>Magazijnen/bergingen</v>
      </c>
      <c r="C37" s="255" t="s">
        <v>308</v>
      </c>
      <c r="D37" s="254" t="s">
        <v>13</v>
      </c>
      <c r="E37" s="255" t="s">
        <v>102</v>
      </c>
      <c r="F37" s="255" t="s">
        <v>312</v>
      </c>
      <c r="G37" s="260" t="s">
        <v>283</v>
      </c>
      <c r="H37" s="256" t="s">
        <v>283</v>
      </c>
      <c r="I37" s="256" t="s">
        <v>15</v>
      </c>
      <c r="J37" s="256" t="s">
        <v>15</v>
      </c>
      <c r="K37" s="256" t="s">
        <v>250</v>
      </c>
      <c r="L37" s="256" t="s">
        <v>283</v>
      </c>
      <c r="M37" s="256" t="s">
        <v>283</v>
      </c>
      <c r="N37" s="256" t="s">
        <v>283</v>
      </c>
      <c r="O37" s="257" t="s">
        <v>283</v>
      </c>
      <c r="P37" s="257" t="s">
        <v>283</v>
      </c>
      <c r="Q37" s="257" t="s">
        <v>283</v>
      </c>
      <c r="R37" s="257" t="s">
        <v>283</v>
      </c>
      <c r="S37" s="257" t="s">
        <v>15</v>
      </c>
      <c r="T37" s="257" t="s">
        <v>284</v>
      </c>
      <c r="U37" s="257" t="s">
        <v>284</v>
      </c>
      <c r="V37" s="257" t="s">
        <v>283</v>
      </c>
      <c r="W37" s="258" t="s">
        <v>283</v>
      </c>
      <c r="X37" s="258" t="s">
        <v>283</v>
      </c>
      <c r="Y37" s="259" t="s">
        <v>283</v>
      </c>
    </row>
    <row r="38" spans="1:25">
      <c r="A38" s="253">
        <v>1</v>
      </c>
      <c r="B38" s="254" t="str">
        <f>VLOOKUP(Tabel10[[#This Row],[Code]],Ruimtegroepen[[Code]:[Ruimte omschrijving]],2,FALSE)</f>
        <v>Magazijnen/bergingen</v>
      </c>
      <c r="C38" s="255" t="s">
        <v>308</v>
      </c>
      <c r="D38" s="254" t="s">
        <v>13</v>
      </c>
      <c r="E38" s="255" t="s">
        <v>99</v>
      </c>
      <c r="F38" s="255" t="s">
        <v>310</v>
      </c>
      <c r="G38" s="260" t="s">
        <v>283</v>
      </c>
      <c r="H38" s="256" t="s">
        <v>15</v>
      </c>
      <c r="I38" s="256" t="s">
        <v>283</v>
      </c>
      <c r="J38" s="256" t="s">
        <v>283</v>
      </c>
      <c r="K38" s="256" t="s">
        <v>283</v>
      </c>
      <c r="L38" s="256" t="s">
        <v>283</v>
      </c>
      <c r="M38" s="256" t="s">
        <v>283</v>
      </c>
      <c r="N38" s="256" t="s">
        <v>283</v>
      </c>
      <c r="O38" s="257" t="s">
        <v>283</v>
      </c>
      <c r="P38" s="257" t="s">
        <v>283</v>
      </c>
      <c r="Q38" s="257" t="s">
        <v>283</v>
      </c>
      <c r="R38" s="257" t="s">
        <v>283</v>
      </c>
      <c r="S38" s="257" t="s">
        <v>15</v>
      </c>
      <c r="T38" s="257" t="s">
        <v>284</v>
      </c>
      <c r="U38" s="257" t="s">
        <v>284</v>
      </c>
      <c r="V38" s="257" t="s">
        <v>283</v>
      </c>
      <c r="W38" s="258" t="s">
        <v>283</v>
      </c>
      <c r="X38" s="258" t="s">
        <v>283</v>
      </c>
      <c r="Y38" s="259" t="s">
        <v>283</v>
      </c>
    </row>
    <row r="39" spans="1:25">
      <c r="A39" s="253">
        <v>1</v>
      </c>
      <c r="B39" s="254" t="str">
        <f>VLOOKUP(Tabel10[[#This Row],[Code]],Ruimtegroepen[[Code]:[Ruimte omschrijving]],2,FALSE)</f>
        <v>Magazijnen/bergingen</v>
      </c>
      <c r="C39" s="255" t="s">
        <v>308</v>
      </c>
      <c r="D39" s="254" t="s">
        <v>13</v>
      </c>
      <c r="E39" s="255" t="s">
        <v>1312</v>
      </c>
      <c r="F39" s="255" t="s">
        <v>1318</v>
      </c>
      <c r="G39" s="260" t="s">
        <v>283</v>
      </c>
      <c r="H39" s="256" t="s">
        <v>283</v>
      </c>
      <c r="I39" s="256" t="s">
        <v>15</v>
      </c>
      <c r="J39" s="256" t="s">
        <v>15</v>
      </c>
      <c r="K39" s="256" t="s">
        <v>250</v>
      </c>
      <c r="L39" s="256" t="s">
        <v>283</v>
      </c>
      <c r="M39" s="256" t="s">
        <v>283</v>
      </c>
      <c r="N39" s="256" t="s">
        <v>283</v>
      </c>
      <c r="O39" s="257" t="s">
        <v>283</v>
      </c>
      <c r="P39" s="257" t="s">
        <v>283</v>
      </c>
      <c r="Q39" s="257" t="s">
        <v>283</v>
      </c>
      <c r="R39" s="257" t="s">
        <v>283</v>
      </c>
      <c r="S39" s="257" t="s">
        <v>15</v>
      </c>
      <c r="T39" s="257" t="s">
        <v>284</v>
      </c>
      <c r="U39" s="257" t="s">
        <v>284</v>
      </c>
      <c r="V39" s="257" t="s">
        <v>283</v>
      </c>
      <c r="W39" s="258" t="s">
        <v>283</v>
      </c>
      <c r="X39" s="258" t="s">
        <v>283</v>
      </c>
      <c r="Y39" s="259" t="s">
        <v>283</v>
      </c>
    </row>
    <row r="40" spans="1:25">
      <c r="A40" s="253">
        <v>1</v>
      </c>
      <c r="B40" s="254" t="str">
        <f>VLOOKUP(Tabel10[[#This Row],[Code]],Ruimtegroepen[[Code]:[Ruimte omschrijving]],2,FALSE)</f>
        <v>Magazijnen/bergingen</v>
      </c>
      <c r="C40" s="255" t="s">
        <v>313</v>
      </c>
      <c r="D40" s="254" t="s">
        <v>0</v>
      </c>
      <c r="E40" s="255" t="s">
        <v>100</v>
      </c>
      <c r="F40" s="255" t="s">
        <v>314</v>
      </c>
      <c r="G40" s="260" t="s">
        <v>283</v>
      </c>
      <c r="H40" s="256" t="s">
        <v>283</v>
      </c>
      <c r="I40" s="256" t="s">
        <v>16</v>
      </c>
      <c r="J40" s="256" t="s">
        <v>16</v>
      </c>
      <c r="K40" s="256" t="s">
        <v>283</v>
      </c>
      <c r="L40" s="256" t="s">
        <v>283</v>
      </c>
      <c r="M40" s="256" t="s">
        <v>283</v>
      </c>
      <c r="N40" s="256" t="s">
        <v>283</v>
      </c>
      <c r="O40" s="257" t="s">
        <v>283</v>
      </c>
      <c r="P40" s="257" t="s">
        <v>283</v>
      </c>
      <c r="Q40" s="257" t="s">
        <v>283</v>
      </c>
      <c r="R40" s="257" t="s">
        <v>283</v>
      </c>
      <c r="S40" s="257" t="s">
        <v>16</v>
      </c>
      <c r="T40" s="257" t="s">
        <v>284</v>
      </c>
      <c r="U40" s="257" t="s">
        <v>284</v>
      </c>
      <c r="V40" s="257" t="s">
        <v>283</v>
      </c>
      <c r="W40" s="258" t="s">
        <v>283</v>
      </c>
      <c r="X40" s="258" t="s">
        <v>283</v>
      </c>
      <c r="Y40" s="259" t="s">
        <v>283</v>
      </c>
    </row>
    <row r="41" spans="1:25">
      <c r="A41" s="253">
        <v>1</v>
      </c>
      <c r="B41" s="254" t="str">
        <f>VLOOKUP(Tabel10[[#This Row],[Code]],Ruimtegroepen[[Code]:[Ruimte omschrijving]],2,FALSE)</f>
        <v>Magazijnen/bergingen</v>
      </c>
      <c r="C41" s="255" t="s">
        <v>313</v>
      </c>
      <c r="D41" s="254" t="s">
        <v>0</v>
      </c>
      <c r="E41" s="255" t="s">
        <v>99</v>
      </c>
      <c r="F41" s="255" t="s">
        <v>315</v>
      </c>
      <c r="G41" s="260" t="s">
        <v>283</v>
      </c>
      <c r="H41" s="256" t="s">
        <v>16</v>
      </c>
      <c r="I41" s="256" t="s">
        <v>283</v>
      </c>
      <c r="J41" s="256" t="s">
        <v>283</v>
      </c>
      <c r="K41" s="256" t="s">
        <v>283</v>
      </c>
      <c r="L41" s="256" t="s">
        <v>283</v>
      </c>
      <c r="M41" s="256" t="s">
        <v>283</v>
      </c>
      <c r="N41" s="256" t="s">
        <v>283</v>
      </c>
      <c r="O41" s="257" t="s">
        <v>283</v>
      </c>
      <c r="P41" s="257" t="s">
        <v>283</v>
      </c>
      <c r="Q41" s="257" t="s">
        <v>283</v>
      </c>
      <c r="R41" s="257" t="s">
        <v>283</v>
      </c>
      <c r="S41" s="257" t="s">
        <v>16</v>
      </c>
      <c r="T41" s="257" t="s">
        <v>284</v>
      </c>
      <c r="U41" s="257" t="s">
        <v>284</v>
      </c>
      <c r="V41" s="257" t="s">
        <v>283</v>
      </c>
      <c r="W41" s="258" t="s">
        <v>283</v>
      </c>
      <c r="X41" s="258" t="s">
        <v>283</v>
      </c>
      <c r="Y41" s="259" t="s">
        <v>283</v>
      </c>
    </row>
    <row r="42" spans="1:25">
      <c r="A42" s="253">
        <v>1</v>
      </c>
      <c r="B42" s="254" t="str">
        <f>VLOOKUP(Tabel10[[#This Row],[Code]],Ruimtegroepen[[Code]:[Ruimte omschrijving]],2,FALSE)</f>
        <v>Magazijnen/bergingen</v>
      </c>
      <c r="C42" s="255" t="s">
        <v>313</v>
      </c>
      <c r="D42" s="254" t="s">
        <v>0</v>
      </c>
      <c r="E42" s="255" t="s">
        <v>101</v>
      </c>
      <c r="F42" s="255" t="s">
        <v>316</v>
      </c>
      <c r="G42" s="260" t="s">
        <v>283</v>
      </c>
      <c r="H42" s="256" t="s">
        <v>283</v>
      </c>
      <c r="I42" s="256" t="s">
        <v>283</v>
      </c>
      <c r="J42" s="256" t="s">
        <v>16</v>
      </c>
      <c r="K42" s="256" t="s">
        <v>250</v>
      </c>
      <c r="L42" s="256" t="s">
        <v>283</v>
      </c>
      <c r="M42" s="256" t="s">
        <v>283</v>
      </c>
      <c r="N42" s="256" t="s">
        <v>283</v>
      </c>
      <c r="O42" s="257" t="s">
        <v>283</v>
      </c>
      <c r="P42" s="257" t="s">
        <v>283</v>
      </c>
      <c r="Q42" s="257" t="s">
        <v>283</v>
      </c>
      <c r="R42" s="257" t="s">
        <v>283</v>
      </c>
      <c r="S42" s="257" t="s">
        <v>16</v>
      </c>
      <c r="T42" s="257" t="s">
        <v>284</v>
      </c>
      <c r="U42" s="257" t="s">
        <v>284</v>
      </c>
      <c r="V42" s="257" t="s">
        <v>283</v>
      </c>
      <c r="W42" s="258" t="s">
        <v>283</v>
      </c>
      <c r="X42" s="258" t="s">
        <v>283</v>
      </c>
      <c r="Y42" s="259" t="s">
        <v>283</v>
      </c>
    </row>
    <row r="43" spans="1:25">
      <c r="A43" s="253">
        <v>1</v>
      </c>
      <c r="B43" s="254" t="str">
        <f>VLOOKUP(Tabel10[[#This Row],[Code]],Ruimtegroepen[[Code]:[Ruimte omschrijving]],2,FALSE)</f>
        <v>Magazijnen/bergingen</v>
      </c>
      <c r="C43" s="255" t="s">
        <v>313</v>
      </c>
      <c r="D43" s="254" t="s">
        <v>0</v>
      </c>
      <c r="E43" s="255" t="s">
        <v>102</v>
      </c>
      <c r="F43" s="255" t="s">
        <v>317</v>
      </c>
      <c r="G43" s="260" t="s">
        <v>283</v>
      </c>
      <c r="H43" s="256" t="s">
        <v>283</v>
      </c>
      <c r="I43" s="256" t="s">
        <v>16</v>
      </c>
      <c r="J43" s="256" t="s">
        <v>16</v>
      </c>
      <c r="K43" s="256" t="s">
        <v>250</v>
      </c>
      <c r="L43" s="256" t="s">
        <v>283</v>
      </c>
      <c r="M43" s="256" t="s">
        <v>283</v>
      </c>
      <c r="N43" s="256" t="s">
        <v>283</v>
      </c>
      <c r="O43" s="257" t="s">
        <v>283</v>
      </c>
      <c r="P43" s="257" t="s">
        <v>283</v>
      </c>
      <c r="Q43" s="257" t="s">
        <v>283</v>
      </c>
      <c r="R43" s="257" t="s">
        <v>283</v>
      </c>
      <c r="S43" s="257" t="s">
        <v>16</v>
      </c>
      <c r="T43" s="257" t="s">
        <v>284</v>
      </c>
      <c r="U43" s="257" t="s">
        <v>284</v>
      </c>
      <c r="V43" s="257" t="s">
        <v>283</v>
      </c>
      <c r="W43" s="258" t="s">
        <v>283</v>
      </c>
      <c r="X43" s="258" t="s">
        <v>283</v>
      </c>
      <c r="Y43" s="259" t="s">
        <v>283</v>
      </c>
    </row>
    <row r="44" spans="1:25">
      <c r="A44" s="253">
        <v>1</v>
      </c>
      <c r="B44" s="254" t="str">
        <f>VLOOKUP(Tabel10[[#This Row],[Code]],Ruimtegroepen[[Code]:[Ruimte omschrijving]],2,FALSE)</f>
        <v>Magazijnen/bergingen</v>
      </c>
      <c r="C44" s="255" t="s">
        <v>313</v>
      </c>
      <c r="D44" s="254" t="s">
        <v>0</v>
      </c>
      <c r="E44" s="255" t="s">
        <v>99</v>
      </c>
      <c r="F44" s="255" t="s">
        <v>315</v>
      </c>
      <c r="G44" s="260" t="s">
        <v>283</v>
      </c>
      <c r="H44" s="256" t="s">
        <v>16</v>
      </c>
      <c r="I44" s="256" t="s">
        <v>283</v>
      </c>
      <c r="J44" s="256" t="s">
        <v>283</v>
      </c>
      <c r="K44" s="256" t="s">
        <v>283</v>
      </c>
      <c r="L44" s="256" t="s">
        <v>283</v>
      </c>
      <c r="M44" s="256" t="s">
        <v>283</v>
      </c>
      <c r="N44" s="256" t="s">
        <v>283</v>
      </c>
      <c r="O44" s="257" t="s">
        <v>283</v>
      </c>
      <c r="P44" s="257" t="s">
        <v>283</v>
      </c>
      <c r="Q44" s="257" t="s">
        <v>283</v>
      </c>
      <c r="R44" s="257" t="s">
        <v>283</v>
      </c>
      <c r="S44" s="257" t="s">
        <v>16</v>
      </c>
      <c r="T44" s="257" t="s">
        <v>284</v>
      </c>
      <c r="U44" s="257" t="s">
        <v>284</v>
      </c>
      <c r="V44" s="257" t="s">
        <v>283</v>
      </c>
      <c r="W44" s="258" t="s">
        <v>283</v>
      </c>
      <c r="X44" s="258" t="s">
        <v>283</v>
      </c>
      <c r="Y44" s="259" t="s">
        <v>283</v>
      </c>
    </row>
    <row r="45" spans="1:25">
      <c r="A45" s="253">
        <v>1</v>
      </c>
      <c r="B45" s="254" t="str">
        <f>VLOOKUP(Tabel10[[#This Row],[Code]],Ruimtegroepen[[Code]:[Ruimte omschrijving]],2,FALSE)</f>
        <v>Magazijnen/bergingen</v>
      </c>
      <c r="C45" s="255" t="s">
        <v>313</v>
      </c>
      <c r="D45" s="254" t="s">
        <v>0</v>
      </c>
      <c r="E45" s="255" t="s">
        <v>1312</v>
      </c>
      <c r="F45" s="255" t="s">
        <v>1319</v>
      </c>
      <c r="G45" s="260" t="s">
        <v>283</v>
      </c>
      <c r="H45" s="256" t="s">
        <v>283</v>
      </c>
      <c r="I45" s="256" t="s">
        <v>16</v>
      </c>
      <c r="J45" s="256" t="s">
        <v>16</v>
      </c>
      <c r="K45" s="256" t="s">
        <v>250</v>
      </c>
      <c r="L45" s="256" t="s">
        <v>283</v>
      </c>
      <c r="M45" s="256" t="s">
        <v>283</v>
      </c>
      <c r="N45" s="256" t="s">
        <v>283</v>
      </c>
      <c r="O45" s="257" t="s">
        <v>283</v>
      </c>
      <c r="P45" s="257" t="s">
        <v>283</v>
      </c>
      <c r="Q45" s="257" t="s">
        <v>283</v>
      </c>
      <c r="R45" s="257" t="s">
        <v>283</v>
      </c>
      <c r="S45" s="257" t="s">
        <v>16</v>
      </c>
      <c r="T45" s="257" t="s">
        <v>284</v>
      </c>
      <c r="U45" s="257" t="s">
        <v>284</v>
      </c>
      <c r="V45" s="257" t="s">
        <v>283</v>
      </c>
      <c r="W45" s="258" t="s">
        <v>283</v>
      </c>
      <c r="X45" s="258" t="s">
        <v>283</v>
      </c>
      <c r="Y45" s="259" t="s">
        <v>283</v>
      </c>
    </row>
    <row r="46" spans="1:25">
      <c r="A46" s="253">
        <v>1</v>
      </c>
      <c r="B46" s="254" t="str">
        <f>VLOOKUP(Tabel10[[#This Row],[Code]],Ruimtegroepen[[Code]:[Ruimte omschrijving]],2,FALSE)</f>
        <v>Magazijnen/bergingen</v>
      </c>
      <c r="C46" s="255" t="s">
        <v>318</v>
      </c>
      <c r="D46" s="254" t="s">
        <v>27</v>
      </c>
      <c r="E46" s="255" t="s">
        <v>100</v>
      </c>
      <c r="F46" s="255" t="s">
        <v>319</v>
      </c>
      <c r="G46" s="260" t="s">
        <v>283</v>
      </c>
      <c r="H46" s="256" t="s">
        <v>283</v>
      </c>
      <c r="I46" s="256" t="s">
        <v>15</v>
      </c>
      <c r="J46" s="256" t="s">
        <v>15</v>
      </c>
      <c r="K46" s="256" t="s">
        <v>283</v>
      </c>
      <c r="L46" s="256" t="s">
        <v>283</v>
      </c>
      <c r="M46" s="256" t="s">
        <v>283</v>
      </c>
      <c r="N46" s="256" t="s">
        <v>283</v>
      </c>
      <c r="O46" s="257" t="s">
        <v>283</v>
      </c>
      <c r="P46" s="257" t="s">
        <v>283</v>
      </c>
      <c r="Q46" s="257" t="s">
        <v>283</v>
      </c>
      <c r="R46" s="257" t="s">
        <v>283</v>
      </c>
      <c r="S46" s="257" t="s">
        <v>15</v>
      </c>
      <c r="T46" s="257" t="s">
        <v>283</v>
      </c>
      <c r="U46" s="257" t="s">
        <v>283</v>
      </c>
      <c r="V46" s="257" t="s">
        <v>283</v>
      </c>
      <c r="W46" s="258" t="s">
        <v>283</v>
      </c>
      <c r="X46" s="258" t="s">
        <v>283</v>
      </c>
      <c r="Y46" s="259" t="s">
        <v>283</v>
      </c>
    </row>
    <row r="47" spans="1:25">
      <c r="A47" s="253">
        <v>1</v>
      </c>
      <c r="B47" s="254" t="str">
        <f>VLOOKUP(Tabel10[[#This Row],[Code]],Ruimtegroepen[[Code]:[Ruimte omschrijving]],2,FALSE)</f>
        <v>Magazijnen/bergingen</v>
      </c>
      <c r="C47" s="255" t="s">
        <v>318</v>
      </c>
      <c r="D47" s="254" t="s">
        <v>27</v>
      </c>
      <c r="E47" s="255" t="s">
        <v>99</v>
      </c>
      <c r="F47" s="255" t="s">
        <v>320</v>
      </c>
      <c r="G47" s="260" t="s">
        <v>283</v>
      </c>
      <c r="H47" s="256" t="s">
        <v>15</v>
      </c>
      <c r="I47" s="256" t="s">
        <v>283</v>
      </c>
      <c r="J47" s="256" t="s">
        <v>283</v>
      </c>
      <c r="K47" s="256" t="s">
        <v>283</v>
      </c>
      <c r="L47" s="256" t="s">
        <v>283</v>
      </c>
      <c r="M47" s="256" t="s">
        <v>283</v>
      </c>
      <c r="N47" s="256" t="s">
        <v>283</v>
      </c>
      <c r="O47" s="257" t="s">
        <v>283</v>
      </c>
      <c r="P47" s="257" t="s">
        <v>283</v>
      </c>
      <c r="Q47" s="257" t="s">
        <v>283</v>
      </c>
      <c r="R47" s="257" t="s">
        <v>283</v>
      </c>
      <c r="S47" s="257" t="s">
        <v>15</v>
      </c>
      <c r="T47" s="257" t="s">
        <v>283</v>
      </c>
      <c r="U47" s="257" t="s">
        <v>283</v>
      </c>
      <c r="V47" s="257" t="s">
        <v>283</v>
      </c>
      <c r="W47" s="258" t="s">
        <v>283</v>
      </c>
      <c r="X47" s="258" t="s">
        <v>283</v>
      </c>
      <c r="Y47" s="259" t="s">
        <v>283</v>
      </c>
    </row>
    <row r="48" spans="1:25">
      <c r="A48" s="253">
        <v>1</v>
      </c>
      <c r="B48" s="254" t="str">
        <f>VLOOKUP(Tabel10[[#This Row],[Code]],Ruimtegroepen[[Code]:[Ruimte omschrijving]],2,FALSE)</f>
        <v>Magazijnen/bergingen</v>
      </c>
      <c r="C48" s="255" t="s">
        <v>318</v>
      </c>
      <c r="D48" s="254" t="s">
        <v>27</v>
      </c>
      <c r="E48" s="255" t="s">
        <v>101</v>
      </c>
      <c r="F48" s="255" t="s">
        <v>321</v>
      </c>
      <c r="G48" s="260" t="s">
        <v>283</v>
      </c>
      <c r="H48" s="256" t="s">
        <v>283</v>
      </c>
      <c r="I48" s="256" t="s">
        <v>15</v>
      </c>
      <c r="J48" s="256" t="s">
        <v>283</v>
      </c>
      <c r="K48" s="256" t="s">
        <v>283</v>
      </c>
      <c r="L48" s="256" t="s">
        <v>283</v>
      </c>
      <c r="M48" s="256" t="s">
        <v>283</v>
      </c>
      <c r="N48" s="256" t="s">
        <v>283</v>
      </c>
      <c r="O48" s="257" t="s">
        <v>283</v>
      </c>
      <c r="P48" s="257" t="s">
        <v>283</v>
      </c>
      <c r="Q48" s="257" t="s">
        <v>283</v>
      </c>
      <c r="R48" s="257" t="s">
        <v>283</v>
      </c>
      <c r="S48" s="257" t="s">
        <v>15</v>
      </c>
      <c r="T48" s="257" t="s">
        <v>283</v>
      </c>
      <c r="U48" s="257" t="s">
        <v>283</v>
      </c>
      <c r="V48" s="257" t="s">
        <v>283</v>
      </c>
      <c r="W48" s="258" t="s">
        <v>283</v>
      </c>
      <c r="X48" s="258" t="s">
        <v>283</v>
      </c>
      <c r="Y48" s="259" t="s">
        <v>283</v>
      </c>
    </row>
    <row r="49" spans="1:25">
      <c r="A49" s="253">
        <v>1</v>
      </c>
      <c r="B49" s="254" t="str">
        <f>VLOOKUP(Tabel10[[#This Row],[Code]],Ruimtegroepen[[Code]:[Ruimte omschrijving]],2,FALSE)</f>
        <v>Magazijnen/bergingen</v>
      </c>
      <c r="C49" s="255" t="s">
        <v>318</v>
      </c>
      <c r="D49" s="254" t="s">
        <v>27</v>
      </c>
      <c r="E49" s="255" t="s">
        <v>102</v>
      </c>
      <c r="F49" s="255" t="s">
        <v>322</v>
      </c>
      <c r="G49" s="260" t="s">
        <v>283</v>
      </c>
      <c r="H49" s="256" t="s">
        <v>283</v>
      </c>
      <c r="I49" s="256" t="s">
        <v>15</v>
      </c>
      <c r="J49" s="256" t="s">
        <v>283</v>
      </c>
      <c r="K49" s="256" t="s">
        <v>283</v>
      </c>
      <c r="L49" s="256" t="s">
        <v>283</v>
      </c>
      <c r="M49" s="256" t="s">
        <v>283</v>
      </c>
      <c r="N49" s="256" t="s">
        <v>283</v>
      </c>
      <c r="O49" s="257" t="s">
        <v>283</v>
      </c>
      <c r="P49" s="257" t="s">
        <v>283</v>
      </c>
      <c r="Q49" s="257" t="s">
        <v>283</v>
      </c>
      <c r="R49" s="257" t="s">
        <v>283</v>
      </c>
      <c r="S49" s="257" t="s">
        <v>15</v>
      </c>
      <c r="T49" s="257" t="s">
        <v>283</v>
      </c>
      <c r="U49" s="257" t="s">
        <v>283</v>
      </c>
      <c r="V49" s="257" t="s">
        <v>283</v>
      </c>
      <c r="W49" s="258" t="s">
        <v>283</v>
      </c>
      <c r="X49" s="258" t="s">
        <v>283</v>
      </c>
      <c r="Y49" s="259" t="s">
        <v>283</v>
      </c>
    </row>
    <row r="50" spans="1:25">
      <c r="A50" s="253">
        <v>1</v>
      </c>
      <c r="B50" s="254" t="str">
        <f>VLOOKUP(Tabel10[[#This Row],[Code]],Ruimtegroepen[[Code]:[Ruimte omschrijving]],2,FALSE)</f>
        <v>Magazijnen/bergingen</v>
      </c>
      <c r="C50" s="255" t="s">
        <v>318</v>
      </c>
      <c r="D50" s="254" t="s">
        <v>27</v>
      </c>
      <c r="E50" s="255" t="s">
        <v>99</v>
      </c>
      <c r="F50" s="255" t="s">
        <v>320</v>
      </c>
      <c r="G50" s="260" t="s">
        <v>283</v>
      </c>
      <c r="H50" s="256" t="s">
        <v>15</v>
      </c>
      <c r="I50" s="256" t="s">
        <v>283</v>
      </c>
      <c r="J50" s="256" t="s">
        <v>283</v>
      </c>
      <c r="K50" s="256" t="s">
        <v>283</v>
      </c>
      <c r="L50" s="256" t="s">
        <v>283</v>
      </c>
      <c r="M50" s="256" t="s">
        <v>283</v>
      </c>
      <c r="N50" s="256" t="s">
        <v>283</v>
      </c>
      <c r="O50" s="257" t="s">
        <v>283</v>
      </c>
      <c r="P50" s="257" t="s">
        <v>283</v>
      </c>
      <c r="Q50" s="257" t="s">
        <v>283</v>
      </c>
      <c r="R50" s="257" t="s">
        <v>283</v>
      </c>
      <c r="S50" s="257" t="s">
        <v>15</v>
      </c>
      <c r="T50" s="257" t="s">
        <v>283</v>
      </c>
      <c r="U50" s="257" t="s">
        <v>283</v>
      </c>
      <c r="V50" s="257" t="s">
        <v>283</v>
      </c>
      <c r="W50" s="258" t="s">
        <v>283</v>
      </c>
      <c r="X50" s="258" t="s">
        <v>283</v>
      </c>
      <c r="Y50" s="259" t="s">
        <v>283</v>
      </c>
    </row>
    <row r="51" spans="1:25">
      <c r="A51" s="253">
        <v>1</v>
      </c>
      <c r="B51" s="254" t="str">
        <f>VLOOKUP(Tabel10[[#This Row],[Code]],Ruimtegroepen[[Code]:[Ruimte omschrijving]],2,FALSE)</f>
        <v>Magazijnen/bergingen</v>
      </c>
      <c r="C51" s="255" t="s">
        <v>318</v>
      </c>
      <c r="D51" s="254" t="s">
        <v>27</v>
      </c>
      <c r="E51" s="255" t="s">
        <v>1312</v>
      </c>
      <c r="F51" s="255" t="s">
        <v>1320</v>
      </c>
      <c r="G51" s="260" t="s">
        <v>283</v>
      </c>
      <c r="H51" s="256" t="s">
        <v>283</v>
      </c>
      <c r="I51" s="256" t="s">
        <v>15</v>
      </c>
      <c r="J51" s="256" t="s">
        <v>283</v>
      </c>
      <c r="K51" s="256" t="s">
        <v>283</v>
      </c>
      <c r="L51" s="256" t="s">
        <v>283</v>
      </c>
      <c r="M51" s="256" t="s">
        <v>283</v>
      </c>
      <c r="N51" s="256" t="s">
        <v>283</v>
      </c>
      <c r="O51" s="257" t="s">
        <v>283</v>
      </c>
      <c r="P51" s="257" t="s">
        <v>283</v>
      </c>
      <c r="Q51" s="257" t="s">
        <v>283</v>
      </c>
      <c r="R51" s="257" t="s">
        <v>283</v>
      </c>
      <c r="S51" s="257" t="s">
        <v>15</v>
      </c>
      <c r="T51" s="257" t="s">
        <v>283</v>
      </c>
      <c r="U51" s="257" t="s">
        <v>283</v>
      </c>
      <c r="V51" s="257" t="s">
        <v>283</v>
      </c>
      <c r="W51" s="258" t="s">
        <v>283</v>
      </c>
      <c r="X51" s="258" t="s">
        <v>283</v>
      </c>
      <c r="Y51" s="259" t="s">
        <v>283</v>
      </c>
    </row>
    <row r="52" spans="1:25">
      <c r="A52" s="253">
        <v>1</v>
      </c>
      <c r="B52" s="254" t="str">
        <f>VLOOKUP(Tabel10[[#This Row],[Code]],Ruimtegroepen[[Code]:[Ruimte omschrijving]],2,FALSE)</f>
        <v>Magazijnen/bergingen</v>
      </c>
      <c r="C52" s="255" t="s">
        <v>323</v>
      </c>
      <c r="D52" s="254" t="s">
        <v>28</v>
      </c>
      <c r="E52" s="255" t="s">
        <v>100</v>
      </c>
      <c r="F52" s="255" t="s">
        <v>324</v>
      </c>
      <c r="G52" s="260" t="s">
        <v>283</v>
      </c>
      <c r="H52" s="256" t="s">
        <v>283</v>
      </c>
      <c r="I52" s="256" t="s">
        <v>17</v>
      </c>
      <c r="J52" s="256" t="s">
        <v>283</v>
      </c>
      <c r="K52" s="256" t="s">
        <v>283</v>
      </c>
      <c r="L52" s="256" t="s">
        <v>283</v>
      </c>
      <c r="M52" s="256" t="s">
        <v>283</v>
      </c>
      <c r="N52" s="256" t="s">
        <v>283</v>
      </c>
      <c r="O52" s="257" t="s">
        <v>283</v>
      </c>
      <c r="P52" s="257" t="s">
        <v>283</v>
      </c>
      <c r="Q52" s="257" t="s">
        <v>283</v>
      </c>
      <c r="R52" s="257" t="s">
        <v>283</v>
      </c>
      <c r="S52" s="257" t="s">
        <v>15</v>
      </c>
      <c r="T52" s="257" t="s">
        <v>283</v>
      </c>
      <c r="U52" s="257" t="s">
        <v>283</v>
      </c>
      <c r="V52" s="257" t="s">
        <v>283</v>
      </c>
      <c r="W52" s="258" t="s">
        <v>283</v>
      </c>
      <c r="X52" s="258" t="s">
        <v>283</v>
      </c>
      <c r="Y52" s="259" t="s">
        <v>283</v>
      </c>
    </row>
    <row r="53" spans="1:25">
      <c r="A53" s="253">
        <v>1</v>
      </c>
      <c r="B53" s="254" t="str">
        <f>VLOOKUP(Tabel10[[#This Row],[Code]],Ruimtegroepen[[Code]:[Ruimte omschrijving]],2,FALSE)</f>
        <v>Magazijnen/bergingen</v>
      </c>
      <c r="C53" s="255" t="s">
        <v>323</v>
      </c>
      <c r="D53" s="254" t="s">
        <v>28</v>
      </c>
      <c r="E53" s="255" t="s">
        <v>99</v>
      </c>
      <c r="F53" s="255" t="s">
        <v>325</v>
      </c>
      <c r="G53" s="260" t="s">
        <v>283</v>
      </c>
      <c r="H53" s="256" t="s">
        <v>17</v>
      </c>
      <c r="I53" s="256" t="s">
        <v>283</v>
      </c>
      <c r="J53" s="256" t="s">
        <v>283</v>
      </c>
      <c r="K53" s="256" t="s">
        <v>283</v>
      </c>
      <c r="L53" s="256" t="s">
        <v>283</v>
      </c>
      <c r="M53" s="256" t="s">
        <v>283</v>
      </c>
      <c r="N53" s="256" t="s">
        <v>283</v>
      </c>
      <c r="O53" s="257" t="s">
        <v>283</v>
      </c>
      <c r="P53" s="257" t="s">
        <v>283</v>
      </c>
      <c r="Q53" s="257" t="s">
        <v>283</v>
      </c>
      <c r="R53" s="257" t="s">
        <v>283</v>
      </c>
      <c r="S53" s="257" t="s">
        <v>15</v>
      </c>
      <c r="T53" s="257" t="s">
        <v>283</v>
      </c>
      <c r="U53" s="257" t="s">
        <v>283</v>
      </c>
      <c r="V53" s="257" t="s">
        <v>283</v>
      </c>
      <c r="W53" s="258" t="s">
        <v>283</v>
      </c>
      <c r="X53" s="258" t="s">
        <v>283</v>
      </c>
      <c r="Y53" s="259" t="s">
        <v>283</v>
      </c>
    </row>
    <row r="54" spans="1:25">
      <c r="A54" s="253">
        <v>1</v>
      </c>
      <c r="B54" s="254" t="str">
        <f>VLOOKUP(Tabel10[[#This Row],[Code]],Ruimtegroepen[[Code]:[Ruimte omschrijving]],2,FALSE)</f>
        <v>Magazijnen/bergingen</v>
      </c>
      <c r="C54" s="255" t="s">
        <v>323</v>
      </c>
      <c r="D54" s="254" t="s">
        <v>28</v>
      </c>
      <c r="E54" s="255" t="s">
        <v>101</v>
      </c>
      <c r="F54" s="255" t="s">
        <v>326</v>
      </c>
      <c r="G54" s="260" t="s">
        <v>283</v>
      </c>
      <c r="H54" s="256" t="s">
        <v>283</v>
      </c>
      <c r="I54" s="256" t="s">
        <v>17</v>
      </c>
      <c r="J54" s="256" t="s">
        <v>283</v>
      </c>
      <c r="K54" s="256" t="s">
        <v>283</v>
      </c>
      <c r="L54" s="256" t="s">
        <v>283</v>
      </c>
      <c r="M54" s="256" t="s">
        <v>283</v>
      </c>
      <c r="N54" s="256" t="s">
        <v>283</v>
      </c>
      <c r="O54" s="257" t="s">
        <v>283</v>
      </c>
      <c r="P54" s="257" t="s">
        <v>283</v>
      </c>
      <c r="Q54" s="257" t="s">
        <v>283</v>
      </c>
      <c r="R54" s="257" t="s">
        <v>283</v>
      </c>
      <c r="S54" s="257" t="s">
        <v>15</v>
      </c>
      <c r="T54" s="257" t="s">
        <v>283</v>
      </c>
      <c r="U54" s="257" t="s">
        <v>283</v>
      </c>
      <c r="V54" s="257" t="s">
        <v>283</v>
      </c>
      <c r="W54" s="258" t="s">
        <v>283</v>
      </c>
      <c r="X54" s="258" t="s">
        <v>283</v>
      </c>
      <c r="Y54" s="259" t="s">
        <v>283</v>
      </c>
    </row>
    <row r="55" spans="1:25">
      <c r="A55" s="253">
        <v>1</v>
      </c>
      <c r="B55" s="254" t="str">
        <f>VLOOKUP(Tabel10[[#This Row],[Code]],Ruimtegroepen[[Code]:[Ruimte omschrijving]],2,FALSE)</f>
        <v>Magazijnen/bergingen</v>
      </c>
      <c r="C55" s="255" t="s">
        <v>323</v>
      </c>
      <c r="D55" s="254" t="s">
        <v>28</v>
      </c>
      <c r="E55" s="255" t="s">
        <v>102</v>
      </c>
      <c r="F55" s="255" t="s">
        <v>327</v>
      </c>
      <c r="G55" s="260" t="s">
        <v>283</v>
      </c>
      <c r="H55" s="256" t="s">
        <v>283</v>
      </c>
      <c r="I55" s="256" t="s">
        <v>17</v>
      </c>
      <c r="J55" s="256" t="s">
        <v>283</v>
      </c>
      <c r="K55" s="256" t="s">
        <v>283</v>
      </c>
      <c r="L55" s="256" t="s">
        <v>283</v>
      </c>
      <c r="M55" s="256" t="s">
        <v>283</v>
      </c>
      <c r="N55" s="256" t="s">
        <v>283</v>
      </c>
      <c r="O55" s="257" t="s">
        <v>283</v>
      </c>
      <c r="P55" s="257" t="s">
        <v>283</v>
      </c>
      <c r="Q55" s="257" t="s">
        <v>283</v>
      </c>
      <c r="R55" s="257" t="s">
        <v>283</v>
      </c>
      <c r="S55" s="257" t="s">
        <v>15</v>
      </c>
      <c r="T55" s="257" t="s">
        <v>283</v>
      </c>
      <c r="U55" s="257" t="s">
        <v>283</v>
      </c>
      <c r="V55" s="257" t="s">
        <v>283</v>
      </c>
      <c r="W55" s="258" t="s">
        <v>283</v>
      </c>
      <c r="X55" s="258" t="s">
        <v>283</v>
      </c>
      <c r="Y55" s="259" t="s">
        <v>283</v>
      </c>
    </row>
    <row r="56" spans="1:25">
      <c r="A56" s="253">
        <v>1</v>
      </c>
      <c r="B56" s="254" t="str">
        <f>VLOOKUP(Tabel10[[#This Row],[Code]],Ruimtegroepen[[Code]:[Ruimte omschrijving]],2,FALSE)</f>
        <v>Magazijnen/bergingen</v>
      </c>
      <c r="C56" s="255" t="s">
        <v>323</v>
      </c>
      <c r="D56" s="254" t="s">
        <v>28</v>
      </c>
      <c r="E56" s="255" t="s">
        <v>99</v>
      </c>
      <c r="F56" s="255" t="s">
        <v>325</v>
      </c>
      <c r="G56" s="260" t="s">
        <v>283</v>
      </c>
      <c r="H56" s="256" t="s">
        <v>17</v>
      </c>
      <c r="I56" s="256" t="s">
        <v>283</v>
      </c>
      <c r="J56" s="256" t="s">
        <v>283</v>
      </c>
      <c r="K56" s="256" t="s">
        <v>283</v>
      </c>
      <c r="L56" s="256" t="s">
        <v>283</v>
      </c>
      <c r="M56" s="256" t="s">
        <v>283</v>
      </c>
      <c r="N56" s="256" t="s">
        <v>283</v>
      </c>
      <c r="O56" s="257" t="s">
        <v>283</v>
      </c>
      <c r="P56" s="257" t="s">
        <v>283</v>
      </c>
      <c r="Q56" s="257" t="s">
        <v>283</v>
      </c>
      <c r="R56" s="257" t="s">
        <v>283</v>
      </c>
      <c r="S56" s="257" t="s">
        <v>15</v>
      </c>
      <c r="T56" s="257" t="s">
        <v>283</v>
      </c>
      <c r="U56" s="257" t="s">
        <v>283</v>
      </c>
      <c r="V56" s="257" t="s">
        <v>283</v>
      </c>
      <c r="W56" s="258" t="s">
        <v>283</v>
      </c>
      <c r="X56" s="258" t="s">
        <v>283</v>
      </c>
      <c r="Y56" s="259" t="s">
        <v>283</v>
      </c>
    </row>
    <row r="57" spans="1:25">
      <c r="A57" s="253">
        <v>1</v>
      </c>
      <c r="B57" s="254" t="str">
        <f>VLOOKUP(Tabel10[[#This Row],[Code]],Ruimtegroepen[[Code]:[Ruimte omschrijving]],2,FALSE)</f>
        <v>Magazijnen/bergingen</v>
      </c>
      <c r="C57" s="255" t="s">
        <v>323</v>
      </c>
      <c r="D57" s="254" t="s">
        <v>28</v>
      </c>
      <c r="E57" s="255" t="s">
        <v>1312</v>
      </c>
      <c r="F57" s="255" t="s">
        <v>1321</v>
      </c>
      <c r="G57" s="260" t="s">
        <v>283</v>
      </c>
      <c r="H57" s="256" t="s">
        <v>283</v>
      </c>
      <c r="I57" s="256" t="s">
        <v>17</v>
      </c>
      <c r="J57" s="256" t="s">
        <v>283</v>
      </c>
      <c r="K57" s="256" t="s">
        <v>283</v>
      </c>
      <c r="L57" s="256" t="s">
        <v>283</v>
      </c>
      <c r="M57" s="256" t="s">
        <v>283</v>
      </c>
      <c r="N57" s="256" t="s">
        <v>283</v>
      </c>
      <c r="O57" s="257" t="s">
        <v>283</v>
      </c>
      <c r="P57" s="257" t="s">
        <v>283</v>
      </c>
      <c r="Q57" s="257" t="s">
        <v>283</v>
      </c>
      <c r="R57" s="257" t="s">
        <v>283</v>
      </c>
      <c r="S57" s="257" t="s">
        <v>15</v>
      </c>
      <c r="T57" s="257" t="s">
        <v>283</v>
      </c>
      <c r="U57" s="257" t="s">
        <v>283</v>
      </c>
      <c r="V57" s="257" t="s">
        <v>283</v>
      </c>
      <c r="W57" s="258" t="s">
        <v>283</v>
      </c>
      <c r="X57" s="258" t="s">
        <v>283</v>
      </c>
      <c r="Y57" s="259" t="s">
        <v>283</v>
      </c>
    </row>
    <row r="58" spans="1:25">
      <c r="A58" s="253">
        <v>2</v>
      </c>
      <c r="B58" s="254" t="str">
        <f>VLOOKUP(Tabel10[[#This Row],[Code]],Ruimtegroepen[[Code]:[Ruimte omschrijving]],2,FALSE)</f>
        <v>Kantoren</v>
      </c>
      <c r="C58" s="255" t="s">
        <v>328</v>
      </c>
      <c r="D58" s="254" t="s">
        <v>29</v>
      </c>
      <c r="E58" s="255" t="s">
        <v>100</v>
      </c>
      <c r="F58" s="255" t="s">
        <v>329</v>
      </c>
      <c r="G58" s="260" t="s">
        <v>283</v>
      </c>
      <c r="H58" s="256" t="s">
        <v>283</v>
      </c>
      <c r="I58" s="256" t="s">
        <v>20</v>
      </c>
      <c r="J58" s="256" t="s">
        <v>15</v>
      </c>
      <c r="K58" s="256" t="s">
        <v>283</v>
      </c>
      <c r="L58" s="256" t="s">
        <v>283</v>
      </c>
      <c r="M58" s="256" t="s">
        <v>283</v>
      </c>
      <c r="N58" s="256" t="s">
        <v>2</v>
      </c>
      <c r="O58" s="257" t="s">
        <v>2</v>
      </c>
      <c r="P58" s="257" t="s">
        <v>2</v>
      </c>
      <c r="Q58" s="257" t="s">
        <v>15</v>
      </c>
      <c r="R58" s="257" t="s">
        <v>15</v>
      </c>
      <c r="S58" s="257" t="s">
        <v>16</v>
      </c>
      <c r="T58" s="257" t="s">
        <v>330</v>
      </c>
      <c r="U58" s="257" t="s">
        <v>250</v>
      </c>
      <c r="V58" s="257" t="s">
        <v>2</v>
      </c>
      <c r="W58" s="258" t="s">
        <v>283</v>
      </c>
      <c r="X58" s="258" t="s">
        <v>283</v>
      </c>
      <c r="Y58" s="259" t="s">
        <v>283</v>
      </c>
    </row>
    <row r="59" spans="1:25">
      <c r="A59" s="253">
        <v>2</v>
      </c>
      <c r="B59" s="254" t="str">
        <f>VLOOKUP(Tabel10[[#This Row],[Code]],Ruimtegroepen[[Code]:[Ruimte omschrijving]],2,FALSE)</f>
        <v>Kantoren</v>
      </c>
      <c r="C59" s="255" t="s">
        <v>328</v>
      </c>
      <c r="D59" s="254" t="s">
        <v>29</v>
      </c>
      <c r="E59" s="255" t="s">
        <v>99</v>
      </c>
      <c r="F59" s="255" t="s">
        <v>331</v>
      </c>
      <c r="G59" s="256" t="s">
        <v>20</v>
      </c>
      <c r="H59" s="256" t="s">
        <v>15</v>
      </c>
      <c r="I59" s="256" t="s">
        <v>283</v>
      </c>
      <c r="J59" s="256" t="s">
        <v>283</v>
      </c>
      <c r="K59" s="256" t="s">
        <v>283</v>
      </c>
      <c r="L59" s="256" t="s">
        <v>283</v>
      </c>
      <c r="M59" s="256" t="s">
        <v>283</v>
      </c>
      <c r="N59" s="256" t="s">
        <v>2</v>
      </c>
      <c r="O59" s="257" t="s">
        <v>2</v>
      </c>
      <c r="P59" s="257" t="s">
        <v>2</v>
      </c>
      <c r="Q59" s="257" t="s">
        <v>15</v>
      </c>
      <c r="R59" s="257" t="s">
        <v>15</v>
      </c>
      <c r="S59" s="257" t="s">
        <v>16</v>
      </c>
      <c r="T59" s="257" t="s">
        <v>330</v>
      </c>
      <c r="U59" s="257" t="s">
        <v>250</v>
      </c>
      <c r="V59" s="257" t="s">
        <v>2</v>
      </c>
      <c r="W59" s="258" t="s">
        <v>283</v>
      </c>
      <c r="X59" s="258" t="s">
        <v>283</v>
      </c>
      <c r="Y59" s="259" t="s">
        <v>283</v>
      </c>
    </row>
    <row r="60" spans="1:25">
      <c r="A60" s="253">
        <v>2</v>
      </c>
      <c r="B60" s="254" t="str">
        <f>VLOOKUP(Tabel10[[#This Row],[Code]],Ruimtegroepen[[Code]:[Ruimte omschrijving]],2,FALSE)</f>
        <v>Kantoren</v>
      </c>
      <c r="C60" s="255" t="s">
        <v>328</v>
      </c>
      <c r="D60" s="254" t="s">
        <v>29</v>
      </c>
      <c r="E60" s="255" t="s">
        <v>101</v>
      </c>
      <c r="F60" s="255" t="s">
        <v>332</v>
      </c>
      <c r="G60" s="260" t="s">
        <v>283</v>
      </c>
      <c r="H60" s="256" t="s">
        <v>283</v>
      </c>
      <c r="I60" s="256" t="s">
        <v>20</v>
      </c>
      <c r="J60" s="256" t="s">
        <v>15</v>
      </c>
      <c r="K60" s="256" t="s">
        <v>250</v>
      </c>
      <c r="L60" s="256" t="s">
        <v>283</v>
      </c>
      <c r="M60" s="256" t="s">
        <v>283</v>
      </c>
      <c r="N60" s="256" t="s">
        <v>2</v>
      </c>
      <c r="O60" s="257" t="s">
        <v>2</v>
      </c>
      <c r="P60" s="257" t="s">
        <v>2</v>
      </c>
      <c r="Q60" s="257" t="s">
        <v>15</v>
      </c>
      <c r="R60" s="257" t="s">
        <v>15</v>
      </c>
      <c r="S60" s="257" t="s">
        <v>16</v>
      </c>
      <c r="T60" s="257" t="s">
        <v>330</v>
      </c>
      <c r="U60" s="257" t="s">
        <v>250</v>
      </c>
      <c r="V60" s="257" t="s">
        <v>2</v>
      </c>
      <c r="W60" s="258" t="s">
        <v>283</v>
      </c>
      <c r="X60" s="258" t="s">
        <v>283</v>
      </c>
      <c r="Y60" s="259" t="s">
        <v>283</v>
      </c>
    </row>
    <row r="61" spans="1:25">
      <c r="A61" s="253">
        <v>2</v>
      </c>
      <c r="B61" s="254" t="str">
        <f>VLOOKUP(Tabel10[[#This Row],[Code]],Ruimtegroepen[[Code]:[Ruimte omschrijving]],2,FALSE)</f>
        <v>Kantoren</v>
      </c>
      <c r="C61" s="255" t="s">
        <v>328</v>
      </c>
      <c r="D61" s="254" t="s">
        <v>29</v>
      </c>
      <c r="E61" s="255" t="s">
        <v>102</v>
      </c>
      <c r="F61" s="255" t="s">
        <v>333</v>
      </c>
      <c r="G61" s="260" t="s">
        <v>283</v>
      </c>
      <c r="H61" s="256" t="s">
        <v>283</v>
      </c>
      <c r="I61" s="256" t="s">
        <v>20</v>
      </c>
      <c r="J61" s="256" t="s">
        <v>15</v>
      </c>
      <c r="K61" s="256" t="s">
        <v>250</v>
      </c>
      <c r="L61" s="256" t="s">
        <v>283</v>
      </c>
      <c r="M61" s="256" t="s">
        <v>283</v>
      </c>
      <c r="N61" s="256" t="s">
        <v>2</v>
      </c>
      <c r="O61" s="257" t="s">
        <v>2</v>
      </c>
      <c r="P61" s="257" t="s">
        <v>2</v>
      </c>
      <c r="Q61" s="257" t="s">
        <v>15</v>
      </c>
      <c r="R61" s="257" t="s">
        <v>15</v>
      </c>
      <c r="S61" s="257" t="s">
        <v>16</v>
      </c>
      <c r="T61" s="257" t="s">
        <v>330</v>
      </c>
      <c r="U61" s="257" t="s">
        <v>250</v>
      </c>
      <c r="V61" s="257" t="s">
        <v>2</v>
      </c>
      <c r="W61" s="258" t="s">
        <v>283</v>
      </c>
      <c r="X61" s="258" t="s">
        <v>283</v>
      </c>
      <c r="Y61" s="259" t="s">
        <v>283</v>
      </c>
    </row>
    <row r="62" spans="1:25">
      <c r="A62" s="253">
        <v>2</v>
      </c>
      <c r="B62" s="254" t="str">
        <f>VLOOKUP(Tabel10[[#This Row],[Code]],Ruimtegroepen[[Code]:[Ruimte omschrijving]],2,FALSE)</f>
        <v>Kantoren</v>
      </c>
      <c r="C62" s="255" t="s">
        <v>328</v>
      </c>
      <c r="D62" s="254" t="s">
        <v>29</v>
      </c>
      <c r="E62" s="255" t="s">
        <v>99</v>
      </c>
      <c r="F62" s="255" t="s">
        <v>331</v>
      </c>
      <c r="G62" s="256" t="s">
        <v>20</v>
      </c>
      <c r="H62" s="256" t="s">
        <v>15</v>
      </c>
      <c r="I62" s="256" t="s">
        <v>283</v>
      </c>
      <c r="J62" s="256" t="s">
        <v>283</v>
      </c>
      <c r="K62" s="256" t="s">
        <v>283</v>
      </c>
      <c r="L62" s="256" t="s">
        <v>283</v>
      </c>
      <c r="M62" s="256" t="s">
        <v>283</v>
      </c>
      <c r="N62" s="256" t="s">
        <v>2</v>
      </c>
      <c r="O62" s="257" t="s">
        <v>2</v>
      </c>
      <c r="P62" s="257" t="s">
        <v>2</v>
      </c>
      <c r="Q62" s="257" t="s">
        <v>15</v>
      </c>
      <c r="R62" s="257" t="s">
        <v>15</v>
      </c>
      <c r="S62" s="257" t="s">
        <v>16</v>
      </c>
      <c r="T62" s="257" t="s">
        <v>330</v>
      </c>
      <c r="U62" s="257" t="s">
        <v>250</v>
      </c>
      <c r="V62" s="257" t="s">
        <v>2</v>
      </c>
      <c r="W62" s="258" t="s">
        <v>283</v>
      </c>
      <c r="X62" s="258" t="s">
        <v>283</v>
      </c>
      <c r="Y62" s="259" t="s">
        <v>283</v>
      </c>
    </row>
    <row r="63" spans="1:25">
      <c r="A63" s="253">
        <v>2</v>
      </c>
      <c r="B63" s="254" t="str">
        <f>VLOOKUP(Tabel10[[#This Row],[Code]],Ruimtegroepen[[Code]:[Ruimte omschrijving]],2,FALSE)</f>
        <v>Kantoren</v>
      </c>
      <c r="C63" s="255" t="s">
        <v>328</v>
      </c>
      <c r="D63" s="254" t="s">
        <v>29</v>
      </c>
      <c r="E63" s="255" t="s">
        <v>1312</v>
      </c>
      <c r="F63" s="255" t="s">
        <v>1331</v>
      </c>
      <c r="G63" s="260" t="s">
        <v>283</v>
      </c>
      <c r="H63" s="256" t="s">
        <v>283</v>
      </c>
      <c r="I63" s="256" t="s">
        <v>20</v>
      </c>
      <c r="J63" s="256" t="s">
        <v>15</v>
      </c>
      <c r="K63" s="256" t="s">
        <v>250</v>
      </c>
      <c r="L63" s="256" t="s">
        <v>283</v>
      </c>
      <c r="M63" s="256" t="s">
        <v>283</v>
      </c>
      <c r="N63" s="256" t="s">
        <v>2</v>
      </c>
      <c r="O63" s="257" t="s">
        <v>2</v>
      </c>
      <c r="P63" s="257" t="s">
        <v>2</v>
      </c>
      <c r="Q63" s="257" t="s">
        <v>15</v>
      </c>
      <c r="R63" s="257" t="s">
        <v>15</v>
      </c>
      <c r="S63" s="257" t="s">
        <v>16</v>
      </c>
      <c r="T63" s="257" t="s">
        <v>330</v>
      </c>
      <c r="U63" s="257" t="s">
        <v>250</v>
      </c>
      <c r="V63" s="257" t="s">
        <v>2</v>
      </c>
      <c r="W63" s="258" t="s">
        <v>283</v>
      </c>
      <c r="X63" s="258" t="s">
        <v>283</v>
      </c>
      <c r="Y63" s="259" t="s">
        <v>283</v>
      </c>
    </row>
    <row r="64" spans="1:25">
      <c r="A64" s="253">
        <v>2</v>
      </c>
      <c r="B64" s="254" t="str">
        <f>VLOOKUP(Tabel10[[#This Row],[Code]],Ruimtegroepen[[Code]:[Ruimte omschrijving]],2,FALSE)</f>
        <v>Kantoren</v>
      </c>
      <c r="C64" s="255" t="s">
        <v>334</v>
      </c>
      <c r="D64" s="254" t="s">
        <v>1</v>
      </c>
      <c r="E64" s="255" t="s">
        <v>100</v>
      </c>
      <c r="F64" s="255" t="s">
        <v>335</v>
      </c>
      <c r="G64" s="260" t="s">
        <v>283</v>
      </c>
      <c r="H64" s="256" t="s">
        <v>283</v>
      </c>
      <c r="I64" s="256" t="s">
        <v>20</v>
      </c>
      <c r="J64" s="256" t="s">
        <v>15</v>
      </c>
      <c r="K64" s="256" t="s">
        <v>283</v>
      </c>
      <c r="L64" s="256" t="s">
        <v>283</v>
      </c>
      <c r="M64" s="256" t="s">
        <v>283</v>
      </c>
      <c r="N64" s="256" t="s">
        <v>283</v>
      </c>
      <c r="O64" s="257" t="s">
        <v>2</v>
      </c>
      <c r="P64" s="257" t="s">
        <v>2</v>
      </c>
      <c r="Q64" s="257" t="s">
        <v>15</v>
      </c>
      <c r="R64" s="257" t="s">
        <v>15</v>
      </c>
      <c r="S64" s="257" t="s">
        <v>16</v>
      </c>
      <c r="T64" s="257" t="s">
        <v>330</v>
      </c>
      <c r="U64" s="257" t="s">
        <v>250</v>
      </c>
      <c r="V64" s="257" t="s">
        <v>283</v>
      </c>
      <c r="W64" s="258" t="s">
        <v>283</v>
      </c>
      <c r="X64" s="258" t="s">
        <v>283</v>
      </c>
      <c r="Y64" s="259" t="s">
        <v>283</v>
      </c>
    </row>
    <row r="65" spans="1:25">
      <c r="A65" s="253">
        <v>2</v>
      </c>
      <c r="B65" s="254" t="str">
        <f>VLOOKUP(Tabel10[[#This Row],[Code]],Ruimtegroepen[[Code]:[Ruimte omschrijving]],2,FALSE)</f>
        <v>Kantoren</v>
      </c>
      <c r="C65" s="255" t="s">
        <v>334</v>
      </c>
      <c r="D65" s="254" t="s">
        <v>1</v>
      </c>
      <c r="E65" s="255" t="s">
        <v>99</v>
      </c>
      <c r="F65" s="255" t="s">
        <v>336</v>
      </c>
      <c r="G65" s="256" t="s">
        <v>20</v>
      </c>
      <c r="H65" s="256" t="s">
        <v>15</v>
      </c>
      <c r="I65" s="256" t="s">
        <v>283</v>
      </c>
      <c r="J65" s="256" t="s">
        <v>283</v>
      </c>
      <c r="K65" s="256" t="s">
        <v>283</v>
      </c>
      <c r="L65" s="256" t="s">
        <v>283</v>
      </c>
      <c r="M65" s="256" t="s">
        <v>283</v>
      </c>
      <c r="N65" s="256" t="s">
        <v>283</v>
      </c>
      <c r="O65" s="257" t="s">
        <v>2</v>
      </c>
      <c r="P65" s="257" t="s">
        <v>2</v>
      </c>
      <c r="Q65" s="257" t="s">
        <v>15</v>
      </c>
      <c r="R65" s="257" t="s">
        <v>15</v>
      </c>
      <c r="S65" s="257" t="s">
        <v>16</v>
      </c>
      <c r="T65" s="257" t="s">
        <v>330</v>
      </c>
      <c r="U65" s="257" t="s">
        <v>250</v>
      </c>
      <c r="V65" s="257" t="s">
        <v>283</v>
      </c>
      <c r="W65" s="258" t="s">
        <v>283</v>
      </c>
      <c r="X65" s="258" t="s">
        <v>283</v>
      </c>
      <c r="Y65" s="259" t="s">
        <v>283</v>
      </c>
    </row>
    <row r="66" spans="1:25">
      <c r="A66" s="253">
        <v>2</v>
      </c>
      <c r="B66" s="254" t="str">
        <f>VLOOKUP(Tabel10[[#This Row],[Code]],Ruimtegroepen[[Code]:[Ruimte omschrijving]],2,FALSE)</f>
        <v>Kantoren</v>
      </c>
      <c r="C66" s="255" t="s">
        <v>334</v>
      </c>
      <c r="D66" s="254" t="s">
        <v>1</v>
      </c>
      <c r="E66" s="255" t="s">
        <v>101</v>
      </c>
      <c r="F66" s="255" t="s">
        <v>337</v>
      </c>
      <c r="G66" s="260" t="s">
        <v>283</v>
      </c>
      <c r="H66" s="256" t="s">
        <v>283</v>
      </c>
      <c r="I66" s="256" t="s">
        <v>20</v>
      </c>
      <c r="J66" s="256" t="s">
        <v>15</v>
      </c>
      <c r="K66" s="256" t="s">
        <v>250</v>
      </c>
      <c r="L66" s="256" t="s">
        <v>283</v>
      </c>
      <c r="M66" s="256" t="s">
        <v>283</v>
      </c>
      <c r="N66" s="256" t="s">
        <v>283</v>
      </c>
      <c r="O66" s="257" t="s">
        <v>2</v>
      </c>
      <c r="P66" s="257" t="s">
        <v>2</v>
      </c>
      <c r="Q66" s="257" t="s">
        <v>15</v>
      </c>
      <c r="R66" s="257" t="s">
        <v>15</v>
      </c>
      <c r="S66" s="257" t="s">
        <v>16</v>
      </c>
      <c r="T66" s="257" t="s">
        <v>330</v>
      </c>
      <c r="U66" s="257" t="s">
        <v>250</v>
      </c>
      <c r="V66" s="257" t="s">
        <v>283</v>
      </c>
      <c r="W66" s="258" t="s">
        <v>283</v>
      </c>
      <c r="X66" s="258" t="s">
        <v>283</v>
      </c>
      <c r="Y66" s="259" t="s">
        <v>283</v>
      </c>
    </row>
    <row r="67" spans="1:25">
      <c r="A67" s="253">
        <v>2</v>
      </c>
      <c r="B67" s="254" t="str">
        <f>VLOOKUP(Tabel10[[#This Row],[Code]],Ruimtegroepen[[Code]:[Ruimte omschrijving]],2,FALSE)</f>
        <v>Kantoren</v>
      </c>
      <c r="C67" s="255" t="s">
        <v>334</v>
      </c>
      <c r="D67" s="254" t="s">
        <v>1</v>
      </c>
      <c r="E67" s="255" t="s">
        <v>102</v>
      </c>
      <c r="F67" s="255" t="s">
        <v>338</v>
      </c>
      <c r="G67" s="260" t="s">
        <v>283</v>
      </c>
      <c r="H67" s="256" t="s">
        <v>283</v>
      </c>
      <c r="I67" s="256" t="s">
        <v>20</v>
      </c>
      <c r="J67" s="256" t="s">
        <v>15</v>
      </c>
      <c r="K67" s="256" t="s">
        <v>250</v>
      </c>
      <c r="L67" s="256" t="s">
        <v>283</v>
      </c>
      <c r="M67" s="256" t="s">
        <v>283</v>
      </c>
      <c r="N67" s="256" t="s">
        <v>283</v>
      </c>
      <c r="O67" s="257" t="s">
        <v>2</v>
      </c>
      <c r="P67" s="257" t="s">
        <v>2</v>
      </c>
      <c r="Q67" s="257" t="s">
        <v>15</v>
      </c>
      <c r="R67" s="257" t="s">
        <v>15</v>
      </c>
      <c r="S67" s="257" t="s">
        <v>16</v>
      </c>
      <c r="T67" s="257" t="s">
        <v>330</v>
      </c>
      <c r="U67" s="257" t="s">
        <v>250</v>
      </c>
      <c r="V67" s="257" t="s">
        <v>283</v>
      </c>
      <c r="W67" s="258" t="s">
        <v>283</v>
      </c>
      <c r="X67" s="258" t="s">
        <v>283</v>
      </c>
      <c r="Y67" s="259" t="s">
        <v>283</v>
      </c>
    </row>
    <row r="68" spans="1:25">
      <c r="A68" s="253">
        <v>2</v>
      </c>
      <c r="B68" s="254" t="str">
        <f>VLOOKUP(Tabel10[[#This Row],[Code]],Ruimtegroepen[[Code]:[Ruimte omschrijving]],2,FALSE)</f>
        <v>Kantoren</v>
      </c>
      <c r="C68" s="255" t="s">
        <v>334</v>
      </c>
      <c r="D68" s="254" t="s">
        <v>1</v>
      </c>
      <c r="E68" s="255" t="s">
        <v>99</v>
      </c>
      <c r="F68" s="255" t="s">
        <v>336</v>
      </c>
      <c r="G68" s="256" t="s">
        <v>20</v>
      </c>
      <c r="H68" s="256" t="s">
        <v>15</v>
      </c>
      <c r="I68" s="256" t="s">
        <v>283</v>
      </c>
      <c r="J68" s="256" t="s">
        <v>283</v>
      </c>
      <c r="K68" s="256" t="s">
        <v>283</v>
      </c>
      <c r="L68" s="256" t="s">
        <v>283</v>
      </c>
      <c r="M68" s="256" t="s">
        <v>283</v>
      </c>
      <c r="N68" s="256" t="s">
        <v>283</v>
      </c>
      <c r="O68" s="257" t="s">
        <v>2</v>
      </c>
      <c r="P68" s="257" t="s">
        <v>2</v>
      </c>
      <c r="Q68" s="257" t="s">
        <v>15</v>
      </c>
      <c r="R68" s="257" t="s">
        <v>15</v>
      </c>
      <c r="S68" s="257" t="s">
        <v>16</v>
      </c>
      <c r="T68" s="257" t="s">
        <v>330</v>
      </c>
      <c r="U68" s="257" t="s">
        <v>250</v>
      </c>
      <c r="V68" s="257" t="s">
        <v>283</v>
      </c>
      <c r="W68" s="258" t="s">
        <v>283</v>
      </c>
      <c r="X68" s="258" t="s">
        <v>283</v>
      </c>
      <c r="Y68" s="259" t="s">
        <v>283</v>
      </c>
    </row>
    <row r="69" spans="1:25">
      <c r="A69" s="253">
        <v>2</v>
      </c>
      <c r="B69" s="254" t="str">
        <f>VLOOKUP(Tabel10[[#This Row],[Code]],Ruimtegroepen[[Code]:[Ruimte omschrijving]],2,FALSE)</f>
        <v>Kantoren</v>
      </c>
      <c r="C69" s="255" t="s">
        <v>334</v>
      </c>
      <c r="D69" s="254" t="s">
        <v>1</v>
      </c>
      <c r="E69" s="255" t="s">
        <v>1312</v>
      </c>
      <c r="F69" s="255" t="s">
        <v>1332</v>
      </c>
      <c r="G69" s="260" t="s">
        <v>283</v>
      </c>
      <c r="H69" s="256" t="s">
        <v>283</v>
      </c>
      <c r="I69" s="256" t="s">
        <v>20</v>
      </c>
      <c r="J69" s="256" t="s">
        <v>15</v>
      </c>
      <c r="K69" s="256" t="s">
        <v>250</v>
      </c>
      <c r="L69" s="256" t="s">
        <v>283</v>
      </c>
      <c r="M69" s="256" t="s">
        <v>283</v>
      </c>
      <c r="N69" s="256" t="s">
        <v>283</v>
      </c>
      <c r="O69" s="257" t="s">
        <v>2</v>
      </c>
      <c r="P69" s="257" t="s">
        <v>2</v>
      </c>
      <c r="Q69" s="257" t="s">
        <v>15</v>
      </c>
      <c r="R69" s="257" t="s">
        <v>15</v>
      </c>
      <c r="S69" s="257" t="s">
        <v>16</v>
      </c>
      <c r="T69" s="257" t="s">
        <v>330</v>
      </c>
      <c r="U69" s="257" t="s">
        <v>250</v>
      </c>
      <c r="V69" s="257" t="s">
        <v>283</v>
      </c>
      <c r="W69" s="258" t="s">
        <v>283</v>
      </c>
      <c r="X69" s="258" t="s">
        <v>283</v>
      </c>
      <c r="Y69" s="259" t="s">
        <v>283</v>
      </c>
    </row>
    <row r="70" spans="1:25">
      <c r="A70" s="253">
        <v>2</v>
      </c>
      <c r="B70" s="254" t="str">
        <f>VLOOKUP(Tabel10[[#This Row],[Code]],Ruimtegroepen[[Code]:[Ruimte omschrijving]],2,FALSE)</f>
        <v>Kantoren</v>
      </c>
      <c r="C70" s="255" t="s">
        <v>339</v>
      </c>
      <c r="D70" s="254" t="s">
        <v>21</v>
      </c>
      <c r="E70" s="255" t="s">
        <v>100</v>
      </c>
      <c r="F70" s="255" t="s">
        <v>340</v>
      </c>
      <c r="G70" s="260" t="s">
        <v>283</v>
      </c>
      <c r="H70" s="256" t="s">
        <v>283</v>
      </c>
      <c r="I70" s="256" t="s">
        <v>18</v>
      </c>
      <c r="J70" s="256" t="s">
        <v>15</v>
      </c>
      <c r="K70" s="256" t="s">
        <v>283</v>
      </c>
      <c r="L70" s="256" t="s">
        <v>283</v>
      </c>
      <c r="M70" s="256" t="s">
        <v>283</v>
      </c>
      <c r="N70" s="256" t="s">
        <v>283</v>
      </c>
      <c r="O70" s="257" t="s">
        <v>20</v>
      </c>
      <c r="P70" s="257" t="s">
        <v>20</v>
      </c>
      <c r="Q70" s="257" t="s">
        <v>15</v>
      </c>
      <c r="R70" s="257" t="s">
        <v>15</v>
      </c>
      <c r="S70" s="257" t="s">
        <v>16</v>
      </c>
      <c r="T70" s="257" t="s">
        <v>330</v>
      </c>
      <c r="U70" s="257" t="s">
        <v>250</v>
      </c>
      <c r="V70" s="257" t="s">
        <v>283</v>
      </c>
      <c r="W70" s="258" t="s">
        <v>283</v>
      </c>
      <c r="X70" s="258" t="s">
        <v>283</v>
      </c>
      <c r="Y70" s="259" t="s">
        <v>283</v>
      </c>
    </row>
    <row r="71" spans="1:25">
      <c r="A71" s="253">
        <v>2</v>
      </c>
      <c r="B71" s="254" t="str">
        <f>VLOOKUP(Tabel10[[#This Row],[Code]],Ruimtegroepen[[Code]:[Ruimte omschrijving]],2,FALSE)</f>
        <v>Kantoren</v>
      </c>
      <c r="C71" s="255" t="s">
        <v>339</v>
      </c>
      <c r="D71" s="254" t="s">
        <v>21</v>
      </c>
      <c r="E71" s="255" t="s">
        <v>99</v>
      </c>
      <c r="F71" s="255" t="s">
        <v>341</v>
      </c>
      <c r="G71" s="256" t="s">
        <v>18</v>
      </c>
      <c r="H71" s="256" t="s">
        <v>15</v>
      </c>
      <c r="I71" s="256" t="s">
        <v>283</v>
      </c>
      <c r="J71" s="256" t="s">
        <v>283</v>
      </c>
      <c r="K71" s="256" t="s">
        <v>283</v>
      </c>
      <c r="L71" s="256" t="s">
        <v>283</v>
      </c>
      <c r="M71" s="256" t="s">
        <v>283</v>
      </c>
      <c r="N71" s="256" t="s">
        <v>283</v>
      </c>
      <c r="O71" s="257" t="s">
        <v>20</v>
      </c>
      <c r="P71" s="257" t="s">
        <v>20</v>
      </c>
      <c r="Q71" s="257" t="s">
        <v>15</v>
      </c>
      <c r="R71" s="257" t="s">
        <v>15</v>
      </c>
      <c r="S71" s="257" t="s">
        <v>16</v>
      </c>
      <c r="T71" s="257" t="s">
        <v>330</v>
      </c>
      <c r="U71" s="257" t="s">
        <v>250</v>
      </c>
      <c r="V71" s="257" t="s">
        <v>283</v>
      </c>
      <c r="W71" s="258" t="s">
        <v>283</v>
      </c>
      <c r="X71" s="258" t="s">
        <v>283</v>
      </c>
      <c r="Y71" s="259" t="s">
        <v>283</v>
      </c>
    </row>
    <row r="72" spans="1:25">
      <c r="A72" s="253">
        <v>2</v>
      </c>
      <c r="B72" s="254" t="str">
        <f>VLOOKUP(Tabel10[[#This Row],[Code]],Ruimtegroepen[[Code]:[Ruimte omschrijving]],2,FALSE)</f>
        <v>Kantoren</v>
      </c>
      <c r="C72" s="255" t="s">
        <v>339</v>
      </c>
      <c r="D72" s="254" t="s">
        <v>21</v>
      </c>
      <c r="E72" s="255" t="s">
        <v>101</v>
      </c>
      <c r="F72" s="255" t="s">
        <v>342</v>
      </c>
      <c r="G72" s="260" t="s">
        <v>283</v>
      </c>
      <c r="H72" s="256" t="s">
        <v>283</v>
      </c>
      <c r="I72" s="256" t="s">
        <v>18</v>
      </c>
      <c r="J72" s="256" t="s">
        <v>15</v>
      </c>
      <c r="K72" s="256" t="s">
        <v>250</v>
      </c>
      <c r="L72" s="256" t="s">
        <v>283</v>
      </c>
      <c r="M72" s="256" t="s">
        <v>283</v>
      </c>
      <c r="N72" s="256" t="s">
        <v>283</v>
      </c>
      <c r="O72" s="257" t="s">
        <v>20</v>
      </c>
      <c r="P72" s="257" t="s">
        <v>20</v>
      </c>
      <c r="Q72" s="257" t="s">
        <v>15</v>
      </c>
      <c r="R72" s="257" t="s">
        <v>15</v>
      </c>
      <c r="S72" s="257" t="s">
        <v>16</v>
      </c>
      <c r="T72" s="257" t="s">
        <v>330</v>
      </c>
      <c r="U72" s="257" t="s">
        <v>250</v>
      </c>
      <c r="V72" s="257" t="s">
        <v>283</v>
      </c>
      <c r="W72" s="258" t="s">
        <v>283</v>
      </c>
      <c r="X72" s="258" t="s">
        <v>283</v>
      </c>
      <c r="Y72" s="259" t="s">
        <v>283</v>
      </c>
    </row>
    <row r="73" spans="1:25">
      <c r="A73" s="253">
        <v>2</v>
      </c>
      <c r="B73" s="254" t="str">
        <f>VLOOKUP(Tabel10[[#This Row],[Code]],Ruimtegroepen[[Code]:[Ruimte omschrijving]],2,FALSE)</f>
        <v>Kantoren</v>
      </c>
      <c r="C73" s="255" t="s">
        <v>339</v>
      </c>
      <c r="D73" s="254" t="s">
        <v>21</v>
      </c>
      <c r="E73" s="255" t="s">
        <v>102</v>
      </c>
      <c r="F73" s="255" t="s">
        <v>343</v>
      </c>
      <c r="G73" s="260" t="s">
        <v>283</v>
      </c>
      <c r="H73" s="256" t="s">
        <v>283</v>
      </c>
      <c r="I73" s="256" t="s">
        <v>18</v>
      </c>
      <c r="J73" s="256" t="s">
        <v>15</v>
      </c>
      <c r="K73" s="256" t="s">
        <v>250</v>
      </c>
      <c r="L73" s="256" t="s">
        <v>283</v>
      </c>
      <c r="M73" s="256" t="s">
        <v>283</v>
      </c>
      <c r="N73" s="256" t="s">
        <v>283</v>
      </c>
      <c r="O73" s="257" t="s">
        <v>20</v>
      </c>
      <c r="P73" s="257" t="s">
        <v>20</v>
      </c>
      <c r="Q73" s="257" t="s">
        <v>15</v>
      </c>
      <c r="R73" s="257" t="s">
        <v>15</v>
      </c>
      <c r="S73" s="257" t="s">
        <v>16</v>
      </c>
      <c r="T73" s="257" t="s">
        <v>330</v>
      </c>
      <c r="U73" s="257" t="s">
        <v>250</v>
      </c>
      <c r="V73" s="257" t="s">
        <v>283</v>
      </c>
      <c r="W73" s="258" t="s">
        <v>283</v>
      </c>
      <c r="X73" s="258" t="s">
        <v>283</v>
      </c>
      <c r="Y73" s="259" t="s">
        <v>283</v>
      </c>
    </row>
    <row r="74" spans="1:25">
      <c r="A74" s="253">
        <v>2</v>
      </c>
      <c r="B74" s="254" t="str">
        <f>VLOOKUP(Tabel10[[#This Row],[Code]],Ruimtegroepen[[Code]:[Ruimte omschrijving]],2,FALSE)</f>
        <v>Kantoren</v>
      </c>
      <c r="C74" s="255" t="s">
        <v>339</v>
      </c>
      <c r="D74" s="254" t="s">
        <v>21</v>
      </c>
      <c r="E74" s="255" t="s">
        <v>99</v>
      </c>
      <c r="F74" s="255" t="s">
        <v>341</v>
      </c>
      <c r="G74" s="256" t="s">
        <v>18</v>
      </c>
      <c r="H74" s="256" t="s">
        <v>15</v>
      </c>
      <c r="I74" s="256" t="s">
        <v>283</v>
      </c>
      <c r="J74" s="256" t="s">
        <v>283</v>
      </c>
      <c r="K74" s="256" t="s">
        <v>283</v>
      </c>
      <c r="L74" s="256" t="s">
        <v>283</v>
      </c>
      <c r="M74" s="256" t="s">
        <v>283</v>
      </c>
      <c r="N74" s="256" t="s">
        <v>283</v>
      </c>
      <c r="O74" s="257" t="s">
        <v>20</v>
      </c>
      <c r="P74" s="257" t="s">
        <v>20</v>
      </c>
      <c r="Q74" s="257" t="s">
        <v>15</v>
      </c>
      <c r="R74" s="257" t="s">
        <v>15</v>
      </c>
      <c r="S74" s="257" t="s">
        <v>16</v>
      </c>
      <c r="T74" s="257" t="s">
        <v>330</v>
      </c>
      <c r="U74" s="257" t="s">
        <v>250</v>
      </c>
      <c r="V74" s="257" t="s">
        <v>283</v>
      </c>
      <c r="W74" s="258" t="s">
        <v>283</v>
      </c>
      <c r="X74" s="258" t="s">
        <v>283</v>
      </c>
      <c r="Y74" s="259" t="s">
        <v>283</v>
      </c>
    </row>
    <row r="75" spans="1:25">
      <c r="A75" s="253">
        <v>2</v>
      </c>
      <c r="B75" s="254" t="str">
        <f>VLOOKUP(Tabel10[[#This Row],[Code]],Ruimtegroepen[[Code]:[Ruimte omschrijving]],2,FALSE)</f>
        <v>Kantoren</v>
      </c>
      <c r="C75" s="255" t="s">
        <v>344</v>
      </c>
      <c r="D75" s="254" t="s">
        <v>12</v>
      </c>
      <c r="E75" s="255" t="s">
        <v>1312</v>
      </c>
      <c r="F75" s="255" t="s">
        <v>1334</v>
      </c>
      <c r="G75" s="260" t="s">
        <v>283</v>
      </c>
      <c r="H75" s="256" t="s">
        <v>283</v>
      </c>
      <c r="I75" s="256" t="s">
        <v>18</v>
      </c>
      <c r="J75" s="256" t="s">
        <v>15</v>
      </c>
      <c r="K75" s="256" t="s">
        <v>250</v>
      </c>
      <c r="L75" s="256" t="s">
        <v>283</v>
      </c>
      <c r="M75" s="256" t="s">
        <v>283</v>
      </c>
      <c r="N75" s="256" t="s">
        <v>283</v>
      </c>
      <c r="O75" s="257" t="s">
        <v>20</v>
      </c>
      <c r="P75" s="257" t="s">
        <v>20</v>
      </c>
      <c r="Q75" s="257" t="s">
        <v>15</v>
      </c>
      <c r="R75" s="257" t="s">
        <v>15</v>
      </c>
      <c r="S75" s="257" t="s">
        <v>16</v>
      </c>
      <c r="T75" s="257" t="s">
        <v>330</v>
      </c>
      <c r="U75" s="257" t="s">
        <v>250</v>
      </c>
      <c r="V75" s="257" t="s">
        <v>283</v>
      </c>
      <c r="W75" s="258" t="s">
        <v>283</v>
      </c>
      <c r="X75" s="258" t="s">
        <v>283</v>
      </c>
      <c r="Y75" s="259" t="s">
        <v>283</v>
      </c>
    </row>
    <row r="76" spans="1:25">
      <c r="A76" s="253">
        <v>2</v>
      </c>
      <c r="B76" s="254" t="str">
        <f>VLOOKUP(Tabel10[[#This Row],[Code]],Ruimtegroepen[[Code]:[Ruimte omschrijving]],2,FALSE)</f>
        <v>Kantoren</v>
      </c>
      <c r="C76" s="255" t="s">
        <v>344</v>
      </c>
      <c r="D76" s="254" t="s">
        <v>12</v>
      </c>
      <c r="E76" s="255" t="s">
        <v>100</v>
      </c>
      <c r="F76" s="255" t="s">
        <v>345</v>
      </c>
      <c r="G76" s="260" t="s">
        <v>283</v>
      </c>
      <c r="H76" s="256" t="s">
        <v>283</v>
      </c>
      <c r="I76" s="256" t="s">
        <v>17</v>
      </c>
      <c r="J76" s="256" t="s">
        <v>15</v>
      </c>
      <c r="K76" s="256" t="s">
        <v>283</v>
      </c>
      <c r="L76" s="256" t="s">
        <v>283</v>
      </c>
      <c r="M76" s="256" t="s">
        <v>283</v>
      </c>
      <c r="N76" s="256" t="s">
        <v>283</v>
      </c>
      <c r="O76" s="257" t="s">
        <v>18</v>
      </c>
      <c r="P76" s="257" t="s">
        <v>18</v>
      </c>
      <c r="Q76" s="257" t="s">
        <v>15</v>
      </c>
      <c r="R76" s="257" t="s">
        <v>15</v>
      </c>
      <c r="S76" s="257" t="s">
        <v>16</v>
      </c>
      <c r="T76" s="257" t="s">
        <v>330</v>
      </c>
      <c r="U76" s="257" t="s">
        <v>250</v>
      </c>
      <c r="V76" s="257" t="s">
        <v>283</v>
      </c>
      <c r="W76" s="258" t="s">
        <v>283</v>
      </c>
      <c r="X76" s="258" t="s">
        <v>283</v>
      </c>
      <c r="Y76" s="259" t="s">
        <v>283</v>
      </c>
    </row>
    <row r="77" spans="1:25">
      <c r="A77" s="253">
        <v>2</v>
      </c>
      <c r="B77" s="254" t="str">
        <f>VLOOKUP(Tabel10[[#This Row],[Code]],Ruimtegroepen[[Code]:[Ruimte omschrijving]],2,FALSE)</f>
        <v>Kantoren</v>
      </c>
      <c r="C77" s="255" t="s">
        <v>344</v>
      </c>
      <c r="D77" s="254" t="s">
        <v>12</v>
      </c>
      <c r="E77" s="255" t="s">
        <v>99</v>
      </c>
      <c r="F77" s="255" t="s">
        <v>346</v>
      </c>
      <c r="G77" s="256" t="s">
        <v>17</v>
      </c>
      <c r="H77" s="256" t="s">
        <v>15</v>
      </c>
      <c r="I77" s="256" t="s">
        <v>283</v>
      </c>
      <c r="J77" s="256" t="s">
        <v>283</v>
      </c>
      <c r="K77" s="256" t="s">
        <v>283</v>
      </c>
      <c r="L77" s="256" t="s">
        <v>283</v>
      </c>
      <c r="M77" s="256" t="s">
        <v>283</v>
      </c>
      <c r="N77" s="256" t="s">
        <v>283</v>
      </c>
      <c r="O77" s="257" t="s">
        <v>18</v>
      </c>
      <c r="P77" s="257" t="s">
        <v>18</v>
      </c>
      <c r="Q77" s="257" t="s">
        <v>15</v>
      </c>
      <c r="R77" s="257" t="s">
        <v>15</v>
      </c>
      <c r="S77" s="257" t="s">
        <v>16</v>
      </c>
      <c r="T77" s="257" t="s">
        <v>330</v>
      </c>
      <c r="U77" s="257" t="s">
        <v>250</v>
      </c>
      <c r="V77" s="257" t="s">
        <v>283</v>
      </c>
      <c r="W77" s="258" t="s">
        <v>283</v>
      </c>
      <c r="X77" s="258" t="s">
        <v>283</v>
      </c>
      <c r="Y77" s="259" t="s">
        <v>283</v>
      </c>
    </row>
    <row r="78" spans="1:25">
      <c r="A78" s="253">
        <v>2</v>
      </c>
      <c r="B78" s="254" t="str">
        <f>VLOOKUP(Tabel10[[#This Row],[Code]],Ruimtegroepen[[Code]:[Ruimte omschrijving]],2,FALSE)</f>
        <v>Kantoren</v>
      </c>
      <c r="C78" s="255" t="s">
        <v>344</v>
      </c>
      <c r="D78" s="254" t="s">
        <v>12</v>
      </c>
      <c r="E78" s="255" t="s">
        <v>101</v>
      </c>
      <c r="F78" s="255" t="s">
        <v>347</v>
      </c>
      <c r="G78" s="260" t="s">
        <v>283</v>
      </c>
      <c r="H78" s="256" t="s">
        <v>283</v>
      </c>
      <c r="I78" s="256" t="s">
        <v>17</v>
      </c>
      <c r="J78" s="256" t="s">
        <v>15</v>
      </c>
      <c r="K78" s="256" t="s">
        <v>250</v>
      </c>
      <c r="L78" s="256" t="s">
        <v>283</v>
      </c>
      <c r="M78" s="256" t="s">
        <v>283</v>
      </c>
      <c r="N78" s="256" t="s">
        <v>283</v>
      </c>
      <c r="O78" s="257" t="s">
        <v>18</v>
      </c>
      <c r="P78" s="257" t="s">
        <v>18</v>
      </c>
      <c r="Q78" s="257" t="s">
        <v>15</v>
      </c>
      <c r="R78" s="257" t="s">
        <v>15</v>
      </c>
      <c r="S78" s="257" t="s">
        <v>16</v>
      </c>
      <c r="T78" s="257" t="s">
        <v>330</v>
      </c>
      <c r="U78" s="257" t="s">
        <v>250</v>
      </c>
      <c r="V78" s="257" t="s">
        <v>283</v>
      </c>
      <c r="W78" s="258" t="s">
        <v>283</v>
      </c>
      <c r="X78" s="258" t="s">
        <v>283</v>
      </c>
      <c r="Y78" s="259" t="s">
        <v>283</v>
      </c>
    </row>
    <row r="79" spans="1:25">
      <c r="A79" s="253">
        <v>2</v>
      </c>
      <c r="B79" s="254" t="str">
        <f>VLOOKUP(Tabel10[[#This Row],[Code]],Ruimtegroepen[[Code]:[Ruimte omschrijving]],2,FALSE)</f>
        <v>Kantoren</v>
      </c>
      <c r="C79" s="255" t="s">
        <v>344</v>
      </c>
      <c r="D79" s="254" t="s">
        <v>12</v>
      </c>
      <c r="E79" s="255" t="s">
        <v>102</v>
      </c>
      <c r="F79" s="255" t="s">
        <v>348</v>
      </c>
      <c r="G79" s="260" t="s">
        <v>283</v>
      </c>
      <c r="H79" s="256" t="s">
        <v>283</v>
      </c>
      <c r="I79" s="256" t="s">
        <v>17</v>
      </c>
      <c r="J79" s="256" t="s">
        <v>15</v>
      </c>
      <c r="K79" s="256" t="s">
        <v>250</v>
      </c>
      <c r="L79" s="256" t="s">
        <v>283</v>
      </c>
      <c r="M79" s="256" t="s">
        <v>283</v>
      </c>
      <c r="N79" s="256" t="s">
        <v>283</v>
      </c>
      <c r="O79" s="257" t="s">
        <v>18</v>
      </c>
      <c r="P79" s="257" t="s">
        <v>18</v>
      </c>
      <c r="Q79" s="257" t="s">
        <v>15</v>
      </c>
      <c r="R79" s="257" t="s">
        <v>15</v>
      </c>
      <c r="S79" s="257" t="s">
        <v>16</v>
      </c>
      <c r="T79" s="257" t="s">
        <v>330</v>
      </c>
      <c r="U79" s="257" t="s">
        <v>250</v>
      </c>
      <c r="V79" s="257" t="s">
        <v>283</v>
      </c>
      <c r="W79" s="258" t="s">
        <v>283</v>
      </c>
      <c r="X79" s="258" t="s">
        <v>283</v>
      </c>
      <c r="Y79" s="259" t="s">
        <v>283</v>
      </c>
    </row>
    <row r="80" spans="1:25">
      <c r="A80" s="253">
        <v>2</v>
      </c>
      <c r="B80" s="254" t="str">
        <f>VLOOKUP(Tabel10[[#This Row],[Code]],Ruimtegroepen[[Code]:[Ruimte omschrijving]],2,FALSE)</f>
        <v>Kantoren</v>
      </c>
      <c r="C80" s="255" t="s">
        <v>344</v>
      </c>
      <c r="D80" s="254" t="s">
        <v>12</v>
      </c>
      <c r="E80" s="255" t="s">
        <v>99</v>
      </c>
      <c r="F80" s="255" t="s">
        <v>346</v>
      </c>
      <c r="G80" s="256" t="s">
        <v>17</v>
      </c>
      <c r="H80" s="256" t="s">
        <v>15</v>
      </c>
      <c r="I80" s="256" t="s">
        <v>283</v>
      </c>
      <c r="J80" s="256" t="s">
        <v>283</v>
      </c>
      <c r="K80" s="256" t="s">
        <v>283</v>
      </c>
      <c r="L80" s="256" t="s">
        <v>283</v>
      </c>
      <c r="M80" s="256" t="s">
        <v>283</v>
      </c>
      <c r="N80" s="256" t="s">
        <v>283</v>
      </c>
      <c r="O80" s="257" t="s">
        <v>18</v>
      </c>
      <c r="P80" s="257" t="s">
        <v>18</v>
      </c>
      <c r="Q80" s="257" t="s">
        <v>15</v>
      </c>
      <c r="R80" s="257" t="s">
        <v>15</v>
      </c>
      <c r="S80" s="257" t="s">
        <v>16</v>
      </c>
      <c r="T80" s="257" t="s">
        <v>330</v>
      </c>
      <c r="U80" s="257" t="s">
        <v>250</v>
      </c>
      <c r="V80" s="257" t="s">
        <v>283</v>
      </c>
      <c r="W80" s="258" t="s">
        <v>283</v>
      </c>
      <c r="X80" s="258" t="s">
        <v>283</v>
      </c>
      <c r="Y80" s="259" t="s">
        <v>283</v>
      </c>
    </row>
    <row r="81" spans="1:25">
      <c r="A81" s="253">
        <v>2</v>
      </c>
      <c r="B81" s="254" t="str">
        <f>VLOOKUP(Tabel10[[#This Row],[Code]],Ruimtegroepen[[Code]:[Ruimte omschrijving]],2,FALSE)</f>
        <v>Kantoren</v>
      </c>
      <c r="C81" s="255" t="s">
        <v>344</v>
      </c>
      <c r="D81" s="254" t="s">
        <v>12</v>
      </c>
      <c r="E81" s="255" t="s">
        <v>1312</v>
      </c>
      <c r="F81" s="255" t="s">
        <v>1333</v>
      </c>
      <c r="G81" s="260" t="s">
        <v>283</v>
      </c>
      <c r="H81" s="256" t="s">
        <v>283</v>
      </c>
      <c r="I81" s="256" t="s">
        <v>17</v>
      </c>
      <c r="J81" s="256" t="s">
        <v>15</v>
      </c>
      <c r="K81" s="256" t="s">
        <v>250</v>
      </c>
      <c r="L81" s="256" t="s">
        <v>283</v>
      </c>
      <c r="M81" s="256" t="s">
        <v>283</v>
      </c>
      <c r="N81" s="256" t="s">
        <v>283</v>
      </c>
      <c r="O81" s="257" t="s">
        <v>18</v>
      </c>
      <c r="P81" s="257" t="s">
        <v>18</v>
      </c>
      <c r="Q81" s="257" t="s">
        <v>15</v>
      </c>
      <c r="R81" s="257" t="s">
        <v>15</v>
      </c>
      <c r="S81" s="257" t="s">
        <v>16</v>
      </c>
      <c r="T81" s="257" t="s">
        <v>330</v>
      </c>
      <c r="U81" s="257" t="s">
        <v>250</v>
      </c>
      <c r="V81" s="257" t="s">
        <v>283</v>
      </c>
      <c r="W81" s="258" t="s">
        <v>283</v>
      </c>
      <c r="X81" s="258" t="s">
        <v>283</v>
      </c>
      <c r="Y81" s="259" t="s">
        <v>283</v>
      </c>
    </row>
    <row r="82" spans="1:25">
      <c r="A82" s="253">
        <v>2</v>
      </c>
      <c r="B82" s="254" t="str">
        <f>VLOOKUP(Tabel10[[#This Row],[Code]],Ruimtegroepen[[Code]:[Ruimte omschrijving]],2,FALSE)</f>
        <v>Kantoren</v>
      </c>
      <c r="C82" s="255" t="s">
        <v>349</v>
      </c>
      <c r="D82" s="254" t="s">
        <v>14</v>
      </c>
      <c r="E82" s="255" t="s">
        <v>100</v>
      </c>
      <c r="F82" s="255" t="s">
        <v>350</v>
      </c>
      <c r="G82" s="260" t="s">
        <v>283</v>
      </c>
      <c r="H82" s="256" t="s">
        <v>283</v>
      </c>
      <c r="I82" s="256" t="s">
        <v>15</v>
      </c>
      <c r="J82" s="256" t="s">
        <v>15</v>
      </c>
      <c r="K82" s="256" t="s">
        <v>283</v>
      </c>
      <c r="L82" s="256" t="s">
        <v>283</v>
      </c>
      <c r="M82" s="256" t="s">
        <v>283</v>
      </c>
      <c r="N82" s="256" t="s">
        <v>283</v>
      </c>
      <c r="O82" s="257" t="s">
        <v>17</v>
      </c>
      <c r="P82" s="257" t="s">
        <v>17</v>
      </c>
      <c r="Q82" s="257" t="s">
        <v>15</v>
      </c>
      <c r="R82" s="257" t="s">
        <v>15</v>
      </c>
      <c r="S82" s="257" t="s">
        <v>16</v>
      </c>
      <c r="T82" s="257" t="s">
        <v>330</v>
      </c>
      <c r="U82" s="257" t="s">
        <v>250</v>
      </c>
      <c r="V82" s="257" t="s">
        <v>283</v>
      </c>
      <c r="W82" s="258" t="s">
        <v>283</v>
      </c>
      <c r="X82" s="258" t="s">
        <v>283</v>
      </c>
      <c r="Y82" s="259" t="s">
        <v>283</v>
      </c>
    </row>
    <row r="83" spans="1:25">
      <c r="A83" s="253">
        <v>2</v>
      </c>
      <c r="B83" s="254" t="str">
        <f>VLOOKUP(Tabel10[[#This Row],[Code]],Ruimtegroepen[[Code]:[Ruimte omschrijving]],2,FALSE)</f>
        <v>Kantoren</v>
      </c>
      <c r="C83" s="255" t="s">
        <v>349</v>
      </c>
      <c r="D83" s="254" t="s">
        <v>14</v>
      </c>
      <c r="E83" s="255" t="s">
        <v>99</v>
      </c>
      <c r="F83" s="255" t="s">
        <v>351</v>
      </c>
      <c r="G83" s="256" t="s">
        <v>15</v>
      </c>
      <c r="H83" s="256" t="s">
        <v>15</v>
      </c>
      <c r="I83" s="256" t="s">
        <v>283</v>
      </c>
      <c r="J83" s="256" t="s">
        <v>283</v>
      </c>
      <c r="K83" s="256" t="s">
        <v>283</v>
      </c>
      <c r="L83" s="256" t="s">
        <v>283</v>
      </c>
      <c r="M83" s="256" t="s">
        <v>283</v>
      </c>
      <c r="N83" s="256" t="s">
        <v>283</v>
      </c>
      <c r="O83" s="257" t="s">
        <v>17</v>
      </c>
      <c r="P83" s="257" t="s">
        <v>17</v>
      </c>
      <c r="Q83" s="257" t="s">
        <v>15</v>
      </c>
      <c r="R83" s="257" t="s">
        <v>15</v>
      </c>
      <c r="S83" s="257" t="s">
        <v>16</v>
      </c>
      <c r="T83" s="257" t="s">
        <v>330</v>
      </c>
      <c r="U83" s="257" t="s">
        <v>250</v>
      </c>
      <c r="V83" s="257" t="s">
        <v>283</v>
      </c>
      <c r="W83" s="258" t="s">
        <v>283</v>
      </c>
      <c r="X83" s="258" t="s">
        <v>283</v>
      </c>
      <c r="Y83" s="259" t="s">
        <v>283</v>
      </c>
    </row>
    <row r="84" spans="1:25">
      <c r="A84" s="253">
        <v>2</v>
      </c>
      <c r="B84" s="254" t="str">
        <f>VLOOKUP(Tabel10[[#This Row],[Code]],Ruimtegroepen[[Code]:[Ruimte omschrijving]],2,FALSE)</f>
        <v>Kantoren</v>
      </c>
      <c r="C84" s="255" t="s">
        <v>349</v>
      </c>
      <c r="D84" s="254" t="s">
        <v>14</v>
      </c>
      <c r="E84" s="255" t="s">
        <v>101</v>
      </c>
      <c r="F84" s="255" t="s">
        <v>352</v>
      </c>
      <c r="G84" s="260" t="s">
        <v>283</v>
      </c>
      <c r="H84" s="256" t="s">
        <v>283</v>
      </c>
      <c r="I84" s="256" t="s">
        <v>15</v>
      </c>
      <c r="J84" s="256" t="s">
        <v>15</v>
      </c>
      <c r="K84" s="256" t="s">
        <v>250</v>
      </c>
      <c r="L84" s="256" t="s">
        <v>283</v>
      </c>
      <c r="M84" s="256" t="s">
        <v>283</v>
      </c>
      <c r="N84" s="256" t="s">
        <v>283</v>
      </c>
      <c r="O84" s="257" t="s">
        <v>17</v>
      </c>
      <c r="P84" s="257" t="s">
        <v>17</v>
      </c>
      <c r="Q84" s="257" t="s">
        <v>15</v>
      </c>
      <c r="R84" s="257" t="s">
        <v>15</v>
      </c>
      <c r="S84" s="257" t="s">
        <v>16</v>
      </c>
      <c r="T84" s="257" t="s">
        <v>330</v>
      </c>
      <c r="U84" s="257" t="s">
        <v>250</v>
      </c>
      <c r="V84" s="257" t="s">
        <v>283</v>
      </c>
      <c r="W84" s="258" t="s">
        <v>283</v>
      </c>
      <c r="X84" s="258" t="s">
        <v>283</v>
      </c>
      <c r="Y84" s="259" t="s">
        <v>283</v>
      </c>
    </row>
    <row r="85" spans="1:25">
      <c r="A85" s="253">
        <v>2</v>
      </c>
      <c r="B85" s="254" t="str">
        <f>VLOOKUP(Tabel10[[#This Row],[Code]],Ruimtegroepen[[Code]:[Ruimte omschrijving]],2,FALSE)</f>
        <v>Kantoren</v>
      </c>
      <c r="C85" s="255" t="s">
        <v>349</v>
      </c>
      <c r="D85" s="254" t="s">
        <v>14</v>
      </c>
      <c r="E85" s="255" t="s">
        <v>102</v>
      </c>
      <c r="F85" s="255" t="s">
        <v>353</v>
      </c>
      <c r="G85" s="260" t="s">
        <v>283</v>
      </c>
      <c r="H85" s="256" t="s">
        <v>283</v>
      </c>
      <c r="I85" s="256" t="s">
        <v>15</v>
      </c>
      <c r="J85" s="256" t="s">
        <v>15</v>
      </c>
      <c r="K85" s="256" t="s">
        <v>250</v>
      </c>
      <c r="L85" s="256" t="s">
        <v>283</v>
      </c>
      <c r="M85" s="256" t="s">
        <v>283</v>
      </c>
      <c r="N85" s="256" t="s">
        <v>283</v>
      </c>
      <c r="O85" s="257" t="s">
        <v>17</v>
      </c>
      <c r="P85" s="257" t="s">
        <v>17</v>
      </c>
      <c r="Q85" s="257" t="s">
        <v>15</v>
      </c>
      <c r="R85" s="257" t="s">
        <v>15</v>
      </c>
      <c r="S85" s="257" t="s">
        <v>16</v>
      </c>
      <c r="T85" s="257" t="s">
        <v>330</v>
      </c>
      <c r="U85" s="257" t="s">
        <v>250</v>
      </c>
      <c r="V85" s="257" t="s">
        <v>283</v>
      </c>
      <c r="W85" s="258" t="s">
        <v>283</v>
      </c>
      <c r="X85" s="258" t="s">
        <v>283</v>
      </c>
      <c r="Y85" s="259" t="s">
        <v>283</v>
      </c>
    </row>
    <row r="86" spans="1:25">
      <c r="A86" s="253">
        <v>2</v>
      </c>
      <c r="B86" s="254" t="str">
        <f>VLOOKUP(Tabel10[[#This Row],[Code]],Ruimtegroepen[[Code]:[Ruimte omschrijving]],2,FALSE)</f>
        <v>Kantoren</v>
      </c>
      <c r="C86" s="255" t="s">
        <v>349</v>
      </c>
      <c r="D86" s="254" t="s">
        <v>14</v>
      </c>
      <c r="E86" s="255" t="s">
        <v>99</v>
      </c>
      <c r="F86" s="255" t="s">
        <v>351</v>
      </c>
      <c r="G86" s="256" t="s">
        <v>15</v>
      </c>
      <c r="H86" s="256" t="s">
        <v>15</v>
      </c>
      <c r="I86" s="256" t="s">
        <v>283</v>
      </c>
      <c r="J86" s="256" t="s">
        <v>283</v>
      </c>
      <c r="K86" s="256" t="s">
        <v>283</v>
      </c>
      <c r="L86" s="256" t="s">
        <v>283</v>
      </c>
      <c r="M86" s="256" t="s">
        <v>283</v>
      </c>
      <c r="N86" s="256" t="s">
        <v>283</v>
      </c>
      <c r="O86" s="257" t="s">
        <v>17</v>
      </c>
      <c r="P86" s="257" t="s">
        <v>17</v>
      </c>
      <c r="Q86" s="257" t="s">
        <v>15</v>
      </c>
      <c r="R86" s="257" t="s">
        <v>15</v>
      </c>
      <c r="S86" s="257" t="s">
        <v>16</v>
      </c>
      <c r="T86" s="257" t="s">
        <v>330</v>
      </c>
      <c r="U86" s="257" t="s">
        <v>250</v>
      </c>
      <c r="V86" s="257" t="s">
        <v>283</v>
      </c>
      <c r="W86" s="258" t="s">
        <v>283</v>
      </c>
      <c r="X86" s="258" t="s">
        <v>283</v>
      </c>
      <c r="Y86" s="259" t="s">
        <v>283</v>
      </c>
    </row>
    <row r="87" spans="1:25">
      <c r="A87" s="253">
        <v>2</v>
      </c>
      <c r="B87" s="254" t="str">
        <f>VLOOKUP(Tabel10[[#This Row],[Code]],Ruimtegroepen[[Code]:[Ruimte omschrijving]],2,FALSE)</f>
        <v>Kantoren</v>
      </c>
      <c r="C87" s="255" t="s">
        <v>349</v>
      </c>
      <c r="D87" s="254" t="s">
        <v>14</v>
      </c>
      <c r="E87" s="255" t="s">
        <v>1312</v>
      </c>
      <c r="F87" s="255" t="s">
        <v>1335</v>
      </c>
      <c r="G87" s="260" t="s">
        <v>283</v>
      </c>
      <c r="H87" s="256" t="s">
        <v>283</v>
      </c>
      <c r="I87" s="256" t="s">
        <v>15</v>
      </c>
      <c r="J87" s="256" t="s">
        <v>15</v>
      </c>
      <c r="K87" s="256" t="s">
        <v>250</v>
      </c>
      <c r="L87" s="256" t="s">
        <v>283</v>
      </c>
      <c r="M87" s="256" t="s">
        <v>283</v>
      </c>
      <c r="N87" s="256" t="s">
        <v>283</v>
      </c>
      <c r="O87" s="257" t="s">
        <v>17</v>
      </c>
      <c r="P87" s="257" t="s">
        <v>17</v>
      </c>
      <c r="Q87" s="257" t="s">
        <v>15</v>
      </c>
      <c r="R87" s="257" t="s">
        <v>15</v>
      </c>
      <c r="S87" s="257" t="s">
        <v>16</v>
      </c>
      <c r="T87" s="257" t="s">
        <v>330</v>
      </c>
      <c r="U87" s="257" t="s">
        <v>250</v>
      </c>
      <c r="V87" s="257" t="s">
        <v>283</v>
      </c>
      <c r="W87" s="258" t="s">
        <v>283</v>
      </c>
      <c r="X87" s="258" t="s">
        <v>283</v>
      </c>
      <c r="Y87" s="259" t="s">
        <v>283</v>
      </c>
    </row>
    <row r="88" spans="1:25">
      <c r="A88" s="253">
        <v>2</v>
      </c>
      <c r="B88" s="254" t="str">
        <f>VLOOKUP(Tabel10[[#This Row],[Code]],Ruimtegroepen[[Code]:[Ruimte omschrijving]],2,FALSE)</f>
        <v>Kantoren</v>
      </c>
      <c r="C88" s="255" t="s">
        <v>354</v>
      </c>
      <c r="D88" s="254" t="s">
        <v>13</v>
      </c>
      <c r="E88" s="255" t="s">
        <v>100</v>
      </c>
      <c r="F88" s="255" t="s">
        <v>355</v>
      </c>
      <c r="G88" s="260" t="s">
        <v>283</v>
      </c>
      <c r="H88" s="256" t="s">
        <v>283</v>
      </c>
      <c r="I88" s="256" t="s">
        <v>283</v>
      </c>
      <c r="J88" s="256" t="s">
        <v>15</v>
      </c>
      <c r="K88" s="256" t="s">
        <v>283</v>
      </c>
      <c r="L88" s="256" t="s">
        <v>283</v>
      </c>
      <c r="M88" s="256" t="s">
        <v>283</v>
      </c>
      <c r="N88" s="256" t="s">
        <v>283</v>
      </c>
      <c r="O88" s="257" t="s">
        <v>15</v>
      </c>
      <c r="P88" s="257" t="s">
        <v>15</v>
      </c>
      <c r="Q88" s="257" t="s">
        <v>15</v>
      </c>
      <c r="R88" s="257" t="s">
        <v>15</v>
      </c>
      <c r="S88" s="257" t="s">
        <v>16</v>
      </c>
      <c r="T88" s="257" t="s">
        <v>330</v>
      </c>
      <c r="U88" s="257" t="s">
        <v>250</v>
      </c>
      <c r="V88" s="257" t="s">
        <v>283</v>
      </c>
      <c r="W88" s="258" t="s">
        <v>283</v>
      </c>
      <c r="X88" s="258" t="s">
        <v>283</v>
      </c>
      <c r="Y88" s="259" t="s">
        <v>283</v>
      </c>
    </row>
    <row r="89" spans="1:25">
      <c r="A89" s="253">
        <v>2</v>
      </c>
      <c r="B89" s="254" t="str">
        <f>VLOOKUP(Tabel10[[#This Row],[Code]],Ruimtegroepen[[Code]:[Ruimte omschrijving]],2,FALSE)</f>
        <v>Kantoren</v>
      </c>
      <c r="C89" s="255" t="s">
        <v>354</v>
      </c>
      <c r="D89" s="254" t="s">
        <v>13</v>
      </c>
      <c r="E89" s="255" t="s">
        <v>99</v>
      </c>
      <c r="F89" s="255" t="s">
        <v>356</v>
      </c>
      <c r="G89" s="260" t="s">
        <v>283</v>
      </c>
      <c r="H89" s="256" t="s">
        <v>15</v>
      </c>
      <c r="I89" s="256" t="s">
        <v>283</v>
      </c>
      <c r="J89" s="256" t="s">
        <v>283</v>
      </c>
      <c r="K89" s="256" t="s">
        <v>283</v>
      </c>
      <c r="L89" s="256" t="s">
        <v>283</v>
      </c>
      <c r="M89" s="256" t="s">
        <v>283</v>
      </c>
      <c r="N89" s="256" t="s">
        <v>283</v>
      </c>
      <c r="O89" s="257" t="s">
        <v>15</v>
      </c>
      <c r="P89" s="257" t="s">
        <v>15</v>
      </c>
      <c r="Q89" s="257" t="s">
        <v>15</v>
      </c>
      <c r="R89" s="257" t="s">
        <v>15</v>
      </c>
      <c r="S89" s="257" t="s">
        <v>16</v>
      </c>
      <c r="T89" s="257" t="s">
        <v>330</v>
      </c>
      <c r="U89" s="257" t="s">
        <v>250</v>
      </c>
      <c r="V89" s="257" t="s">
        <v>283</v>
      </c>
      <c r="W89" s="258" t="s">
        <v>283</v>
      </c>
      <c r="X89" s="258" t="s">
        <v>283</v>
      </c>
      <c r="Y89" s="259" t="s">
        <v>283</v>
      </c>
    </row>
    <row r="90" spans="1:25">
      <c r="A90" s="253">
        <v>2</v>
      </c>
      <c r="B90" s="254" t="str">
        <f>VLOOKUP(Tabel10[[#This Row],[Code]],Ruimtegroepen[[Code]:[Ruimte omschrijving]],2,FALSE)</f>
        <v>Kantoren</v>
      </c>
      <c r="C90" s="255" t="s">
        <v>354</v>
      </c>
      <c r="D90" s="254" t="s">
        <v>13</v>
      </c>
      <c r="E90" s="255" t="s">
        <v>101</v>
      </c>
      <c r="F90" s="255" t="s">
        <v>357</v>
      </c>
      <c r="G90" s="260" t="s">
        <v>283</v>
      </c>
      <c r="H90" s="256" t="s">
        <v>283</v>
      </c>
      <c r="I90" s="256" t="s">
        <v>283</v>
      </c>
      <c r="J90" s="256" t="s">
        <v>15</v>
      </c>
      <c r="K90" s="256" t="s">
        <v>250</v>
      </c>
      <c r="L90" s="256" t="s">
        <v>283</v>
      </c>
      <c r="M90" s="256" t="s">
        <v>283</v>
      </c>
      <c r="N90" s="256" t="s">
        <v>283</v>
      </c>
      <c r="O90" s="257" t="s">
        <v>15</v>
      </c>
      <c r="P90" s="257" t="s">
        <v>15</v>
      </c>
      <c r="Q90" s="257" t="s">
        <v>15</v>
      </c>
      <c r="R90" s="257" t="s">
        <v>15</v>
      </c>
      <c r="S90" s="257" t="s">
        <v>16</v>
      </c>
      <c r="T90" s="257" t="s">
        <v>330</v>
      </c>
      <c r="U90" s="257" t="s">
        <v>250</v>
      </c>
      <c r="V90" s="257" t="s">
        <v>283</v>
      </c>
      <c r="W90" s="258" t="s">
        <v>283</v>
      </c>
      <c r="X90" s="258" t="s">
        <v>283</v>
      </c>
      <c r="Y90" s="259" t="s">
        <v>283</v>
      </c>
    </row>
    <row r="91" spans="1:25">
      <c r="A91" s="253">
        <v>2</v>
      </c>
      <c r="B91" s="254" t="str">
        <f>VLOOKUP(Tabel10[[#This Row],[Code]],Ruimtegroepen[[Code]:[Ruimte omschrijving]],2,FALSE)</f>
        <v>Kantoren</v>
      </c>
      <c r="C91" s="255" t="s">
        <v>354</v>
      </c>
      <c r="D91" s="254" t="s">
        <v>13</v>
      </c>
      <c r="E91" s="255" t="s">
        <v>102</v>
      </c>
      <c r="F91" s="255" t="s">
        <v>358</v>
      </c>
      <c r="G91" s="260" t="s">
        <v>283</v>
      </c>
      <c r="H91" s="256" t="s">
        <v>283</v>
      </c>
      <c r="I91" s="256" t="s">
        <v>283</v>
      </c>
      <c r="J91" s="256" t="s">
        <v>15</v>
      </c>
      <c r="K91" s="256" t="s">
        <v>250</v>
      </c>
      <c r="L91" s="256" t="s">
        <v>283</v>
      </c>
      <c r="M91" s="256" t="s">
        <v>283</v>
      </c>
      <c r="N91" s="256" t="s">
        <v>283</v>
      </c>
      <c r="O91" s="257" t="s">
        <v>15</v>
      </c>
      <c r="P91" s="257" t="s">
        <v>15</v>
      </c>
      <c r="Q91" s="257" t="s">
        <v>15</v>
      </c>
      <c r="R91" s="257" t="s">
        <v>15</v>
      </c>
      <c r="S91" s="257" t="s">
        <v>16</v>
      </c>
      <c r="T91" s="257" t="s">
        <v>330</v>
      </c>
      <c r="U91" s="257" t="s">
        <v>250</v>
      </c>
      <c r="V91" s="257" t="s">
        <v>283</v>
      </c>
      <c r="W91" s="258" t="s">
        <v>283</v>
      </c>
      <c r="X91" s="258" t="s">
        <v>283</v>
      </c>
      <c r="Y91" s="259" t="s">
        <v>283</v>
      </c>
    </row>
    <row r="92" spans="1:25">
      <c r="A92" s="253">
        <v>2</v>
      </c>
      <c r="B92" s="254" t="str">
        <f>VLOOKUP(Tabel10[[#This Row],[Code]],Ruimtegroepen[[Code]:[Ruimte omschrijving]],2,FALSE)</f>
        <v>Kantoren</v>
      </c>
      <c r="C92" s="255" t="s">
        <v>354</v>
      </c>
      <c r="D92" s="254" t="s">
        <v>13</v>
      </c>
      <c r="E92" s="255" t="s">
        <v>99</v>
      </c>
      <c r="F92" s="255" t="s">
        <v>356</v>
      </c>
      <c r="G92" s="260" t="s">
        <v>283</v>
      </c>
      <c r="H92" s="256" t="s">
        <v>15</v>
      </c>
      <c r="I92" s="256" t="s">
        <v>283</v>
      </c>
      <c r="J92" s="256" t="s">
        <v>283</v>
      </c>
      <c r="K92" s="256" t="s">
        <v>283</v>
      </c>
      <c r="L92" s="256" t="s">
        <v>283</v>
      </c>
      <c r="M92" s="256" t="s">
        <v>283</v>
      </c>
      <c r="N92" s="256" t="s">
        <v>283</v>
      </c>
      <c r="O92" s="257" t="s">
        <v>15</v>
      </c>
      <c r="P92" s="257" t="s">
        <v>15</v>
      </c>
      <c r="Q92" s="257" t="s">
        <v>15</v>
      </c>
      <c r="R92" s="257" t="s">
        <v>15</v>
      </c>
      <c r="S92" s="257" t="s">
        <v>16</v>
      </c>
      <c r="T92" s="257" t="s">
        <v>330</v>
      </c>
      <c r="U92" s="257" t="s">
        <v>250</v>
      </c>
      <c r="V92" s="257" t="s">
        <v>283</v>
      </c>
      <c r="W92" s="258" t="s">
        <v>283</v>
      </c>
      <c r="X92" s="258" t="s">
        <v>283</v>
      </c>
      <c r="Y92" s="259" t="s">
        <v>283</v>
      </c>
    </row>
    <row r="93" spans="1:25">
      <c r="A93" s="253">
        <v>2</v>
      </c>
      <c r="B93" s="254" t="str">
        <f>VLOOKUP(Tabel10[[#This Row],[Code]],Ruimtegroepen[[Code]:[Ruimte omschrijving]],2,FALSE)</f>
        <v>Kantoren</v>
      </c>
      <c r="C93" s="255" t="s">
        <v>354</v>
      </c>
      <c r="D93" s="254" t="s">
        <v>13</v>
      </c>
      <c r="E93" s="255" t="s">
        <v>1312</v>
      </c>
      <c r="F93" s="255" t="s">
        <v>1336</v>
      </c>
      <c r="G93" s="260" t="s">
        <v>283</v>
      </c>
      <c r="H93" s="256" t="s">
        <v>283</v>
      </c>
      <c r="I93" s="256" t="s">
        <v>283</v>
      </c>
      <c r="J93" s="256" t="s">
        <v>15</v>
      </c>
      <c r="K93" s="256" t="s">
        <v>250</v>
      </c>
      <c r="L93" s="256" t="s">
        <v>283</v>
      </c>
      <c r="M93" s="256" t="s">
        <v>283</v>
      </c>
      <c r="N93" s="256" t="s">
        <v>283</v>
      </c>
      <c r="O93" s="257" t="s">
        <v>15</v>
      </c>
      <c r="P93" s="257" t="s">
        <v>15</v>
      </c>
      <c r="Q93" s="257" t="s">
        <v>15</v>
      </c>
      <c r="R93" s="257" t="s">
        <v>15</v>
      </c>
      <c r="S93" s="257" t="s">
        <v>16</v>
      </c>
      <c r="T93" s="257" t="s">
        <v>330</v>
      </c>
      <c r="U93" s="257" t="s">
        <v>250</v>
      </c>
      <c r="V93" s="257" t="s">
        <v>283</v>
      </c>
      <c r="W93" s="258" t="s">
        <v>283</v>
      </c>
      <c r="X93" s="258" t="s">
        <v>283</v>
      </c>
      <c r="Y93" s="259" t="s">
        <v>283</v>
      </c>
    </row>
    <row r="94" spans="1:25">
      <c r="A94" s="253">
        <v>2</v>
      </c>
      <c r="B94" s="254" t="str">
        <f>VLOOKUP(Tabel10[[#This Row],[Code]],Ruimtegroepen[[Code]:[Ruimte omschrijving]],2,FALSE)</f>
        <v>Kantoren</v>
      </c>
      <c r="C94" s="255" t="s">
        <v>359</v>
      </c>
      <c r="D94" s="254" t="s">
        <v>0</v>
      </c>
      <c r="E94" s="255" t="s">
        <v>100</v>
      </c>
      <c r="F94" s="255" t="s">
        <v>360</v>
      </c>
      <c r="G94" s="260" t="s">
        <v>283</v>
      </c>
      <c r="H94" s="256" t="s">
        <v>283</v>
      </c>
      <c r="I94" s="256" t="s">
        <v>16</v>
      </c>
      <c r="J94" s="256" t="s">
        <v>283</v>
      </c>
      <c r="K94" s="256" t="s">
        <v>283</v>
      </c>
      <c r="L94" s="256" t="s">
        <v>283</v>
      </c>
      <c r="M94" s="256" t="s">
        <v>283</v>
      </c>
      <c r="N94" s="256" t="s">
        <v>283</v>
      </c>
      <c r="O94" s="257" t="s">
        <v>16</v>
      </c>
      <c r="P94" s="257" t="s">
        <v>16</v>
      </c>
      <c r="Q94" s="257" t="s">
        <v>16</v>
      </c>
      <c r="R94" s="257" t="s">
        <v>16</v>
      </c>
      <c r="S94" s="257" t="s">
        <v>16</v>
      </c>
      <c r="T94" s="257" t="s">
        <v>330</v>
      </c>
      <c r="U94" s="257" t="s">
        <v>250</v>
      </c>
      <c r="V94" s="257" t="s">
        <v>283</v>
      </c>
      <c r="W94" s="258" t="s">
        <v>283</v>
      </c>
      <c r="X94" s="258" t="s">
        <v>283</v>
      </c>
      <c r="Y94" s="259" t="s">
        <v>283</v>
      </c>
    </row>
    <row r="95" spans="1:25">
      <c r="A95" s="253">
        <v>2</v>
      </c>
      <c r="B95" s="254" t="str">
        <f>VLOOKUP(Tabel10[[#This Row],[Code]],Ruimtegroepen[[Code]:[Ruimte omschrijving]],2,FALSE)</f>
        <v>Kantoren</v>
      </c>
      <c r="C95" s="255" t="s">
        <v>359</v>
      </c>
      <c r="D95" s="254" t="s">
        <v>0</v>
      </c>
      <c r="E95" s="255" t="s">
        <v>99</v>
      </c>
      <c r="F95" s="255" t="s">
        <v>361</v>
      </c>
      <c r="G95" s="260" t="s">
        <v>283</v>
      </c>
      <c r="H95" s="256" t="s">
        <v>16</v>
      </c>
      <c r="I95" s="256" t="s">
        <v>283</v>
      </c>
      <c r="J95" s="256" t="s">
        <v>283</v>
      </c>
      <c r="K95" s="256" t="s">
        <v>283</v>
      </c>
      <c r="L95" s="256" t="s">
        <v>283</v>
      </c>
      <c r="M95" s="256" t="s">
        <v>283</v>
      </c>
      <c r="N95" s="256" t="s">
        <v>283</v>
      </c>
      <c r="O95" s="257" t="s">
        <v>16</v>
      </c>
      <c r="P95" s="257" t="s">
        <v>16</v>
      </c>
      <c r="Q95" s="257" t="s">
        <v>16</v>
      </c>
      <c r="R95" s="257" t="s">
        <v>16</v>
      </c>
      <c r="S95" s="257" t="s">
        <v>16</v>
      </c>
      <c r="T95" s="257" t="s">
        <v>330</v>
      </c>
      <c r="U95" s="257" t="s">
        <v>250</v>
      </c>
      <c r="V95" s="257" t="s">
        <v>283</v>
      </c>
      <c r="W95" s="258" t="s">
        <v>283</v>
      </c>
      <c r="X95" s="258" t="s">
        <v>283</v>
      </c>
      <c r="Y95" s="259" t="s">
        <v>283</v>
      </c>
    </row>
    <row r="96" spans="1:25">
      <c r="A96" s="253">
        <v>2</v>
      </c>
      <c r="B96" s="254" t="str">
        <f>VLOOKUP(Tabel10[[#This Row],[Code]],Ruimtegroepen[[Code]:[Ruimte omschrijving]],2,FALSE)</f>
        <v>Kantoren</v>
      </c>
      <c r="C96" s="255" t="s">
        <v>359</v>
      </c>
      <c r="D96" s="254" t="s">
        <v>0</v>
      </c>
      <c r="E96" s="255" t="s">
        <v>101</v>
      </c>
      <c r="F96" s="255" t="s">
        <v>363</v>
      </c>
      <c r="G96" s="260" t="s">
        <v>283</v>
      </c>
      <c r="H96" s="256" t="s">
        <v>283</v>
      </c>
      <c r="I96" s="256" t="s">
        <v>283</v>
      </c>
      <c r="J96" s="256" t="s">
        <v>16</v>
      </c>
      <c r="K96" s="256" t="s">
        <v>250</v>
      </c>
      <c r="L96" s="256" t="s">
        <v>283</v>
      </c>
      <c r="M96" s="256" t="s">
        <v>283</v>
      </c>
      <c r="N96" s="256" t="s">
        <v>283</v>
      </c>
      <c r="O96" s="257" t="s">
        <v>16</v>
      </c>
      <c r="P96" s="257" t="s">
        <v>16</v>
      </c>
      <c r="Q96" s="257" t="s">
        <v>16</v>
      </c>
      <c r="R96" s="257" t="s">
        <v>16</v>
      </c>
      <c r="S96" s="257" t="s">
        <v>16</v>
      </c>
      <c r="T96" s="257" t="s">
        <v>330</v>
      </c>
      <c r="U96" s="257" t="s">
        <v>250</v>
      </c>
      <c r="V96" s="257" t="s">
        <v>283</v>
      </c>
      <c r="W96" s="258" t="s">
        <v>283</v>
      </c>
      <c r="X96" s="258" t="s">
        <v>283</v>
      </c>
      <c r="Y96" s="259" t="s">
        <v>283</v>
      </c>
    </row>
    <row r="97" spans="1:25">
      <c r="A97" s="253">
        <v>2</v>
      </c>
      <c r="B97" s="254" t="str">
        <f>VLOOKUP(Tabel10[[#This Row],[Code]],Ruimtegroepen[[Code]:[Ruimte omschrijving]],2,FALSE)</f>
        <v>Kantoren</v>
      </c>
      <c r="C97" s="255" t="s">
        <v>359</v>
      </c>
      <c r="D97" s="254" t="s">
        <v>0</v>
      </c>
      <c r="E97" s="255" t="s">
        <v>102</v>
      </c>
      <c r="F97" s="255" t="s">
        <v>364</v>
      </c>
      <c r="G97" s="260" t="s">
        <v>283</v>
      </c>
      <c r="H97" s="256" t="s">
        <v>283</v>
      </c>
      <c r="I97" s="256" t="s">
        <v>16</v>
      </c>
      <c r="J97" s="256" t="s">
        <v>283</v>
      </c>
      <c r="K97" s="256" t="s">
        <v>250</v>
      </c>
      <c r="L97" s="256" t="s">
        <v>283</v>
      </c>
      <c r="M97" s="256" t="s">
        <v>283</v>
      </c>
      <c r="N97" s="256" t="s">
        <v>283</v>
      </c>
      <c r="O97" s="257" t="s">
        <v>16</v>
      </c>
      <c r="P97" s="257" t="s">
        <v>16</v>
      </c>
      <c r="Q97" s="257" t="s">
        <v>16</v>
      </c>
      <c r="R97" s="257" t="s">
        <v>16</v>
      </c>
      <c r="S97" s="257" t="s">
        <v>16</v>
      </c>
      <c r="T97" s="257" t="s">
        <v>330</v>
      </c>
      <c r="U97" s="257" t="s">
        <v>250</v>
      </c>
      <c r="V97" s="257" t="s">
        <v>283</v>
      </c>
      <c r="W97" s="258" t="s">
        <v>283</v>
      </c>
      <c r="X97" s="258" t="s">
        <v>283</v>
      </c>
      <c r="Y97" s="259" t="s">
        <v>283</v>
      </c>
    </row>
    <row r="98" spans="1:25">
      <c r="A98" s="253">
        <v>2</v>
      </c>
      <c r="B98" s="254" t="str">
        <f>VLOOKUP(Tabel10[[#This Row],[Code]],Ruimtegroepen[[Code]:[Ruimte omschrijving]],2,FALSE)</f>
        <v>Kantoren</v>
      </c>
      <c r="C98" s="255" t="s">
        <v>359</v>
      </c>
      <c r="D98" s="254" t="s">
        <v>0</v>
      </c>
      <c r="E98" s="255" t="s">
        <v>99</v>
      </c>
      <c r="F98" s="255" t="s">
        <v>361</v>
      </c>
      <c r="G98" s="260" t="s">
        <v>283</v>
      </c>
      <c r="H98" s="256" t="s">
        <v>16</v>
      </c>
      <c r="I98" s="256" t="s">
        <v>283</v>
      </c>
      <c r="J98" s="256" t="s">
        <v>283</v>
      </c>
      <c r="K98" s="256" t="s">
        <v>283</v>
      </c>
      <c r="L98" s="256" t="s">
        <v>283</v>
      </c>
      <c r="M98" s="256" t="s">
        <v>283</v>
      </c>
      <c r="N98" s="256" t="s">
        <v>283</v>
      </c>
      <c r="O98" s="257" t="s">
        <v>16</v>
      </c>
      <c r="P98" s="257" t="s">
        <v>16</v>
      </c>
      <c r="Q98" s="257" t="s">
        <v>16</v>
      </c>
      <c r="R98" s="257" t="s">
        <v>16</v>
      </c>
      <c r="S98" s="257" t="s">
        <v>16</v>
      </c>
      <c r="T98" s="257" t="s">
        <v>330</v>
      </c>
      <c r="U98" s="257" t="s">
        <v>250</v>
      </c>
      <c r="V98" s="257" t="s">
        <v>283</v>
      </c>
      <c r="W98" s="258" t="s">
        <v>283</v>
      </c>
      <c r="X98" s="258" t="s">
        <v>283</v>
      </c>
      <c r="Y98" s="259" t="s">
        <v>283</v>
      </c>
    </row>
    <row r="99" spans="1:25">
      <c r="A99" s="253">
        <v>2</v>
      </c>
      <c r="B99" s="254" t="str">
        <f>VLOOKUP(Tabel10[[#This Row],[Code]],Ruimtegroepen[[Code]:[Ruimte omschrijving]],2,FALSE)</f>
        <v>Kantoren</v>
      </c>
      <c r="C99" s="255" t="s">
        <v>359</v>
      </c>
      <c r="D99" s="254" t="s">
        <v>0</v>
      </c>
      <c r="E99" s="255" t="s">
        <v>1312</v>
      </c>
      <c r="F99" s="255" t="s">
        <v>1337</v>
      </c>
      <c r="G99" s="260" t="s">
        <v>283</v>
      </c>
      <c r="H99" s="256" t="s">
        <v>283</v>
      </c>
      <c r="I99" s="256" t="s">
        <v>16</v>
      </c>
      <c r="J99" s="256" t="s">
        <v>283</v>
      </c>
      <c r="K99" s="256" t="s">
        <v>250</v>
      </c>
      <c r="L99" s="256" t="s">
        <v>283</v>
      </c>
      <c r="M99" s="256" t="s">
        <v>283</v>
      </c>
      <c r="N99" s="256" t="s">
        <v>283</v>
      </c>
      <c r="O99" s="257" t="s">
        <v>16</v>
      </c>
      <c r="P99" s="257" t="s">
        <v>16</v>
      </c>
      <c r="Q99" s="257" t="s">
        <v>16</v>
      </c>
      <c r="R99" s="257" t="s">
        <v>16</v>
      </c>
      <c r="S99" s="257" t="s">
        <v>16</v>
      </c>
      <c r="T99" s="257" t="s">
        <v>330</v>
      </c>
      <c r="U99" s="257" t="s">
        <v>250</v>
      </c>
      <c r="V99" s="257" t="s">
        <v>283</v>
      </c>
      <c r="W99" s="258" t="s">
        <v>283</v>
      </c>
      <c r="X99" s="258" t="s">
        <v>283</v>
      </c>
      <c r="Y99" s="259" t="s">
        <v>283</v>
      </c>
    </row>
    <row r="100" spans="1:25">
      <c r="A100" s="253">
        <v>2</v>
      </c>
      <c r="B100" s="254" t="str">
        <f>VLOOKUP(Tabel10[[#This Row],[Code]],Ruimtegroepen[[Code]:[Ruimte omschrijving]],2,FALSE)</f>
        <v>Kantoren</v>
      </c>
      <c r="C100" s="255" t="s">
        <v>365</v>
      </c>
      <c r="D100" s="254" t="s">
        <v>27</v>
      </c>
      <c r="E100" s="255" t="s">
        <v>100</v>
      </c>
      <c r="F100" s="255" t="s">
        <v>366</v>
      </c>
      <c r="G100" s="260" t="s">
        <v>283</v>
      </c>
      <c r="H100" s="256" t="s">
        <v>283</v>
      </c>
      <c r="I100" s="256" t="s">
        <v>15</v>
      </c>
      <c r="J100" s="256" t="s">
        <v>283</v>
      </c>
      <c r="K100" s="256" t="s">
        <v>283</v>
      </c>
      <c r="L100" s="256" t="s">
        <v>283</v>
      </c>
      <c r="M100" s="256" t="s">
        <v>283</v>
      </c>
      <c r="N100" s="256" t="s">
        <v>283</v>
      </c>
      <c r="O100" s="257" t="s">
        <v>15</v>
      </c>
      <c r="P100" s="257" t="s">
        <v>15</v>
      </c>
      <c r="Q100" s="257" t="s">
        <v>15</v>
      </c>
      <c r="R100" s="257" t="s">
        <v>283</v>
      </c>
      <c r="S100" s="257" t="s">
        <v>283</v>
      </c>
      <c r="T100" s="257" t="s">
        <v>283</v>
      </c>
      <c r="U100" s="257" t="s">
        <v>283</v>
      </c>
      <c r="V100" s="257" t="s">
        <v>283</v>
      </c>
      <c r="W100" s="258" t="s">
        <v>283</v>
      </c>
      <c r="X100" s="258" t="s">
        <v>283</v>
      </c>
      <c r="Y100" s="259" t="s">
        <v>283</v>
      </c>
    </row>
    <row r="101" spans="1:25">
      <c r="A101" s="253">
        <v>2</v>
      </c>
      <c r="B101" s="254" t="str">
        <f>VLOOKUP(Tabel10[[#This Row],[Code]],Ruimtegroepen[[Code]:[Ruimte omschrijving]],2,FALSE)</f>
        <v>Kantoren</v>
      </c>
      <c r="C101" s="255" t="s">
        <v>365</v>
      </c>
      <c r="D101" s="254" t="s">
        <v>27</v>
      </c>
      <c r="E101" s="255" t="s">
        <v>99</v>
      </c>
      <c r="F101" s="255" t="s">
        <v>367</v>
      </c>
      <c r="G101" s="260" t="s">
        <v>283</v>
      </c>
      <c r="H101" s="256" t="s">
        <v>15</v>
      </c>
      <c r="I101" s="256" t="s">
        <v>283</v>
      </c>
      <c r="J101" s="256" t="s">
        <v>283</v>
      </c>
      <c r="K101" s="256" t="s">
        <v>283</v>
      </c>
      <c r="L101" s="256" t="s">
        <v>283</v>
      </c>
      <c r="M101" s="256" t="s">
        <v>283</v>
      </c>
      <c r="N101" s="256" t="s">
        <v>283</v>
      </c>
      <c r="O101" s="257" t="s">
        <v>15</v>
      </c>
      <c r="P101" s="257" t="s">
        <v>15</v>
      </c>
      <c r="Q101" s="257" t="s">
        <v>15</v>
      </c>
      <c r="R101" s="257" t="s">
        <v>283</v>
      </c>
      <c r="S101" s="257" t="s">
        <v>283</v>
      </c>
      <c r="T101" s="257" t="s">
        <v>283</v>
      </c>
      <c r="U101" s="257" t="s">
        <v>283</v>
      </c>
      <c r="V101" s="257" t="s">
        <v>283</v>
      </c>
      <c r="W101" s="258" t="s">
        <v>283</v>
      </c>
      <c r="X101" s="258" t="s">
        <v>283</v>
      </c>
      <c r="Y101" s="259" t="s">
        <v>283</v>
      </c>
    </row>
    <row r="102" spans="1:25">
      <c r="A102" s="253">
        <v>2</v>
      </c>
      <c r="B102" s="254" t="str">
        <f>VLOOKUP(Tabel10[[#This Row],[Code]],Ruimtegroepen[[Code]:[Ruimte omschrijving]],2,FALSE)</f>
        <v>Kantoren</v>
      </c>
      <c r="C102" s="255" t="s">
        <v>365</v>
      </c>
      <c r="D102" s="254" t="s">
        <v>27</v>
      </c>
      <c r="E102" s="255" t="s">
        <v>101</v>
      </c>
      <c r="F102" s="255" t="s">
        <v>368</v>
      </c>
      <c r="G102" s="260" t="s">
        <v>283</v>
      </c>
      <c r="H102" s="256" t="s">
        <v>283</v>
      </c>
      <c r="I102" s="256" t="s">
        <v>15</v>
      </c>
      <c r="J102" s="256" t="s">
        <v>283</v>
      </c>
      <c r="K102" s="256" t="s">
        <v>283</v>
      </c>
      <c r="L102" s="256" t="s">
        <v>283</v>
      </c>
      <c r="M102" s="256" t="s">
        <v>283</v>
      </c>
      <c r="N102" s="256" t="s">
        <v>283</v>
      </c>
      <c r="O102" s="257" t="s">
        <v>15</v>
      </c>
      <c r="P102" s="257" t="s">
        <v>15</v>
      </c>
      <c r="Q102" s="257" t="s">
        <v>15</v>
      </c>
      <c r="R102" s="257" t="s">
        <v>283</v>
      </c>
      <c r="S102" s="257" t="s">
        <v>283</v>
      </c>
      <c r="T102" s="257" t="s">
        <v>283</v>
      </c>
      <c r="U102" s="257" t="s">
        <v>283</v>
      </c>
      <c r="V102" s="257" t="s">
        <v>283</v>
      </c>
      <c r="W102" s="258" t="s">
        <v>283</v>
      </c>
      <c r="X102" s="258" t="s">
        <v>283</v>
      </c>
      <c r="Y102" s="259" t="s">
        <v>283</v>
      </c>
    </row>
    <row r="103" spans="1:25">
      <c r="A103" s="253">
        <v>2</v>
      </c>
      <c r="B103" s="254" t="str">
        <f>VLOOKUP(Tabel10[[#This Row],[Code]],Ruimtegroepen[[Code]:[Ruimte omschrijving]],2,FALSE)</f>
        <v>Kantoren</v>
      </c>
      <c r="C103" s="255" t="s">
        <v>365</v>
      </c>
      <c r="D103" s="254" t="s">
        <v>27</v>
      </c>
      <c r="E103" s="255" t="s">
        <v>102</v>
      </c>
      <c r="F103" s="255" t="s">
        <v>369</v>
      </c>
      <c r="G103" s="260" t="s">
        <v>283</v>
      </c>
      <c r="H103" s="256" t="s">
        <v>283</v>
      </c>
      <c r="I103" s="256" t="s">
        <v>15</v>
      </c>
      <c r="J103" s="256" t="s">
        <v>283</v>
      </c>
      <c r="K103" s="256" t="s">
        <v>283</v>
      </c>
      <c r="L103" s="256" t="s">
        <v>283</v>
      </c>
      <c r="M103" s="256" t="s">
        <v>283</v>
      </c>
      <c r="N103" s="256" t="s">
        <v>283</v>
      </c>
      <c r="O103" s="257" t="s">
        <v>15</v>
      </c>
      <c r="P103" s="257" t="s">
        <v>15</v>
      </c>
      <c r="Q103" s="257" t="s">
        <v>15</v>
      </c>
      <c r="R103" s="257" t="s">
        <v>283</v>
      </c>
      <c r="S103" s="257" t="s">
        <v>283</v>
      </c>
      <c r="T103" s="257" t="s">
        <v>283</v>
      </c>
      <c r="U103" s="257" t="s">
        <v>283</v>
      </c>
      <c r="V103" s="257" t="s">
        <v>283</v>
      </c>
      <c r="W103" s="258" t="s">
        <v>283</v>
      </c>
      <c r="X103" s="258" t="s">
        <v>283</v>
      </c>
      <c r="Y103" s="259" t="s">
        <v>283</v>
      </c>
    </row>
    <row r="104" spans="1:25">
      <c r="A104" s="253">
        <v>2</v>
      </c>
      <c r="B104" s="254" t="str">
        <f>VLOOKUP(Tabel10[[#This Row],[Code]],Ruimtegroepen[[Code]:[Ruimte omschrijving]],2,FALSE)</f>
        <v>Kantoren</v>
      </c>
      <c r="C104" s="255" t="s">
        <v>365</v>
      </c>
      <c r="D104" s="254" t="s">
        <v>27</v>
      </c>
      <c r="E104" s="255" t="s">
        <v>99</v>
      </c>
      <c r="F104" s="255" t="s">
        <v>367</v>
      </c>
      <c r="G104" s="260" t="s">
        <v>283</v>
      </c>
      <c r="H104" s="256" t="s">
        <v>15</v>
      </c>
      <c r="I104" s="256" t="s">
        <v>283</v>
      </c>
      <c r="J104" s="256" t="s">
        <v>283</v>
      </c>
      <c r="K104" s="256" t="s">
        <v>283</v>
      </c>
      <c r="L104" s="256" t="s">
        <v>283</v>
      </c>
      <c r="M104" s="256" t="s">
        <v>283</v>
      </c>
      <c r="N104" s="256" t="s">
        <v>283</v>
      </c>
      <c r="O104" s="257" t="s">
        <v>15</v>
      </c>
      <c r="P104" s="257" t="s">
        <v>15</v>
      </c>
      <c r="Q104" s="257" t="s">
        <v>15</v>
      </c>
      <c r="R104" s="257" t="s">
        <v>283</v>
      </c>
      <c r="S104" s="257" t="s">
        <v>283</v>
      </c>
      <c r="T104" s="257" t="s">
        <v>283</v>
      </c>
      <c r="U104" s="257" t="s">
        <v>283</v>
      </c>
      <c r="V104" s="257" t="s">
        <v>283</v>
      </c>
      <c r="W104" s="258" t="s">
        <v>283</v>
      </c>
      <c r="X104" s="258" t="s">
        <v>283</v>
      </c>
      <c r="Y104" s="259" t="s">
        <v>283</v>
      </c>
    </row>
    <row r="105" spans="1:25">
      <c r="A105" s="253">
        <v>2</v>
      </c>
      <c r="B105" s="254" t="str">
        <f>VLOOKUP(Tabel10[[#This Row],[Code]],Ruimtegroepen[[Code]:[Ruimte omschrijving]],2,FALSE)</f>
        <v>Kantoren</v>
      </c>
      <c r="C105" s="255" t="s">
        <v>365</v>
      </c>
      <c r="D105" s="254" t="s">
        <v>27</v>
      </c>
      <c r="E105" s="255" t="s">
        <v>1312</v>
      </c>
      <c r="F105" s="255" t="s">
        <v>1338</v>
      </c>
      <c r="G105" s="260" t="s">
        <v>283</v>
      </c>
      <c r="H105" s="256" t="s">
        <v>283</v>
      </c>
      <c r="I105" s="256" t="s">
        <v>15</v>
      </c>
      <c r="J105" s="256" t="s">
        <v>283</v>
      </c>
      <c r="K105" s="256" t="s">
        <v>283</v>
      </c>
      <c r="L105" s="256" t="s">
        <v>283</v>
      </c>
      <c r="M105" s="256" t="s">
        <v>283</v>
      </c>
      <c r="N105" s="256" t="s">
        <v>283</v>
      </c>
      <c r="O105" s="257" t="s">
        <v>15</v>
      </c>
      <c r="P105" s="257" t="s">
        <v>15</v>
      </c>
      <c r="Q105" s="257" t="s">
        <v>15</v>
      </c>
      <c r="R105" s="257" t="s">
        <v>283</v>
      </c>
      <c r="S105" s="257" t="s">
        <v>283</v>
      </c>
      <c r="T105" s="257" t="s">
        <v>283</v>
      </c>
      <c r="U105" s="257" t="s">
        <v>283</v>
      </c>
      <c r="V105" s="257" t="s">
        <v>283</v>
      </c>
      <c r="W105" s="258" t="s">
        <v>283</v>
      </c>
      <c r="X105" s="258" t="s">
        <v>283</v>
      </c>
      <c r="Y105" s="259" t="s">
        <v>283</v>
      </c>
    </row>
    <row r="106" spans="1:25">
      <c r="A106" s="253">
        <v>2</v>
      </c>
      <c r="B106" s="254" t="str">
        <f>VLOOKUP(Tabel10[[#This Row],[Code]],Ruimtegroepen[[Code]:[Ruimte omschrijving]],2,FALSE)</f>
        <v>Kantoren</v>
      </c>
      <c r="C106" s="255" t="s">
        <v>370</v>
      </c>
      <c r="D106" s="254" t="s">
        <v>28</v>
      </c>
      <c r="E106" s="255" t="s">
        <v>100</v>
      </c>
      <c r="F106" s="255" t="s">
        <v>371</v>
      </c>
      <c r="G106" s="260" t="s">
        <v>283</v>
      </c>
      <c r="H106" s="256" t="s">
        <v>283</v>
      </c>
      <c r="I106" s="256" t="s">
        <v>17</v>
      </c>
      <c r="J106" s="256" t="s">
        <v>283</v>
      </c>
      <c r="K106" s="256" t="s">
        <v>283</v>
      </c>
      <c r="L106" s="256" t="s">
        <v>283</v>
      </c>
      <c r="M106" s="256" t="s">
        <v>283</v>
      </c>
      <c r="N106" s="256" t="s">
        <v>283</v>
      </c>
      <c r="O106" s="257" t="s">
        <v>17</v>
      </c>
      <c r="P106" s="257" t="s">
        <v>17</v>
      </c>
      <c r="Q106" s="257" t="s">
        <v>15</v>
      </c>
      <c r="R106" s="257" t="s">
        <v>283</v>
      </c>
      <c r="S106" s="257" t="s">
        <v>283</v>
      </c>
      <c r="T106" s="257" t="s">
        <v>283</v>
      </c>
      <c r="U106" s="257" t="s">
        <v>283</v>
      </c>
      <c r="V106" s="257" t="s">
        <v>283</v>
      </c>
      <c r="W106" s="258" t="s">
        <v>283</v>
      </c>
      <c r="X106" s="258" t="s">
        <v>283</v>
      </c>
      <c r="Y106" s="259" t="s">
        <v>283</v>
      </c>
    </row>
    <row r="107" spans="1:25">
      <c r="A107" s="253">
        <v>2</v>
      </c>
      <c r="B107" s="254" t="str">
        <f>VLOOKUP(Tabel10[[#This Row],[Code]],Ruimtegroepen[[Code]:[Ruimte omschrijving]],2,FALSE)</f>
        <v>Kantoren</v>
      </c>
      <c r="C107" s="255" t="s">
        <v>370</v>
      </c>
      <c r="D107" s="254" t="s">
        <v>28</v>
      </c>
      <c r="E107" s="255" t="s">
        <v>99</v>
      </c>
      <c r="F107" s="255" t="s">
        <v>372</v>
      </c>
      <c r="G107" s="260" t="s">
        <v>283</v>
      </c>
      <c r="H107" s="256" t="s">
        <v>17</v>
      </c>
      <c r="I107" s="256" t="s">
        <v>283</v>
      </c>
      <c r="J107" s="256" t="s">
        <v>283</v>
      </c>
      <c r="K107" s="256" t="s">
        <v>283</v>
      </c>
      <c r="L107" s="256" t="s">
        <v>283</v>
      </c>
      <c r="M107" s="256" t="s">
        <v>283</v>
      </c>
      <c r="N107" s="256" t="s">
        <v>283</v>
      </c>
      <c r="O107" s="257" t="s">
        <v>17</v>
      </c>
      <c r="P107" s="257" t="s">
        <v>17</v>
      </c>
      <c r="Q107" s="257" t="s">
        <v>15</v>
      </c>
      <c r="R107" s="257" t="s">
        <v>283</v>
      </c>
      <c r="S107" s="257" t="s">
        <v>283</v>
      </c>
      <c r="T107" s="257" t="s">
        <v>283</v>
      </c>
      <c r="U107" s="257" t="s">
        <v>283</v>
      </c>
      <c r="V107" s="257" t="s">
        <v>283</v>
      </c>
      <c r="W107" s="258" t="s">
        <v>283</v>
      </c>
      <c r="X107" s="258" t="s">
        <v>283</v>
      </c>
      <c r="Y107" s="259" t="s">
        <v>283</v>
      </c>
    </row>
    <row r="108" spans="1:25">
      <c r="A108" s="253">
        <v>2</v>
      </c>
      <c r="B108" s="254" t="str">
        <f>VLOOKUP(Tabel10[[#This Row],[Code]],Ruimtegroepen[[Code]:[Ruimte omschrijving]],2,FALSE)</f>
        <v>Kantoren</v>
      </c>
      <c r="C108" s="255" t="s">
        <v>370</v>
      </c>
      <c r="D108" s="254" t="s">
        <v>28</v>
      </c>
      <c r="E108" s="255" t="s">
        <v>101</v>
      </c>
      <c r="F108" s="255" t="s">
        <v>373</v>
      </c>
      <c r="G108" s="260" t="s">
        <v>283</v>
      </c>
      <c r="H108" s="256" t="s">
        <v>283</v>
      </c>
      <c r="I108" s="256" t="s">
        <v>17</v>
      </c>
      <c r="J108" s="256" t="s">
        <v>283</v>
      </c>
      <c r="K108" s="256" t="s">
        <v>283</v>
      </c>
      <c r="L108" s="256" t="s">
        <v>283</v>
      </c>
      <c r="M108" s="256" t="s">
        <v>283</v>
      </c>
      <c r="N108" s="256" t="s">
        <v>283</v>
      </c>
      <c r="O108" s="257" t="s">
        <v>17</v>
      </c>
      <c r="P108" s="257" t="s">
        <v>17</v>
      </c>
      <c r="Q108" s="257" t="s">
        <v>15</v>
      </c>
      <c r="R108" s="257" t="s">
        <v>283</v>
      </c>
      <c r="S108" s="257" t="s">
        <v>283</v>
      </c>
      <c r="T108" s="257" t="s">
        <v>283</v>
      </c>
      <c r="U108" s="257" t="s">
        <v>283</v>
      </c>
      <c r="V108" s="257" t="s">
        <v>283</v>
      </c>
      <c r="W108" s="258" t="s">
        <v>283</v>
      </c>
      <c r="X108" s="258" t="s">
        <v>283</v>
      </c>
      <c r="Y108" s="259" t="s">
        <v>283</v>
      </c>
    </row>
    <row r="109" spans="1:25">
      <c r="A109" s="253">
        <v>2</v>
      </c>
      <c r="B109" s="254" t="str">
        <f>VLOOKUP(Tabel10[[#This Row],[Code]],Ruimtegroepen[[Code]:[Ruimte omschrijving]],2,FALSE)</f>
        <v>Kantoren</v>
      </c>
      <c r="C109" s="255" t="s">
        <v>370</v>
      </c>
      <c r="D109" s="254" t="s">
        <v>28</v>
      </c>
      <c r="E109" s="255" t="s">
        <v>102</v>
      </c>
      <c r="F109" s="255" t="s">
        <v>374</v>
      </c>
      <c r="G109" s="260" t="s">
        <v>283</v>
      </c>
      <c r="H109" s="256" t="s">
        <v>283</v>
      </c>
      <c r="I109" s="256" t="s">
        <v>17</v>
      </c>
      <c r="J109" s="256" t="s">
        <v>283</v>
      </c>
      <c r="K109" s="256" t="s">
        <v>283</v>
      </c>
      <c r="L109" s="256" t="s">
        <v>283</v>
      </c>
      <c r="M109" s="256" t="s">
        <v>283</v>
      </c>
      <c r="N109" s="256" t="s">
        <v>283</v>
      </c>
      <c r="O109" s="257" t="s">
        <v>17</v>
      </c>
      <c r="P109" s="257" t="s">
        <v>17</v>
      </c>
      <c r="Q109" s="257" t="s">
        <v>15</v>
      </c>
      <c r="R109" s="257" t="s">
        <v>283</v>
      </c>
      <c r="S109" s="257" t="s">
        <v>283</v>
      </c>
      <c r="T109" s="257" t="s">
        <v>283</v>
      </c>
      <c r="U109" s="257" t="s">
        <v>283</v>
      </c>
      <c r="V109" s="257" t="s">
        <v>283</v>
      </c>
      <c r="W109" s="258" t="s">
        <v>283</v>
      </c>
      <c r="X109" s="258" t="s">
        <v>283</v>
      </c>
      <c r="Y109" s="259" t="s">
        <v>283</v>
      </c>
    </row>
    <row r="110" spans="1:25">
      <c r="A110" s="253">
        <v>2</v>
      </c>
      <c r="B110" s="254" t="str">
        <f>VLOOKUP(Tabel10[[#This Row],[Code]],Ruimtegroepen[[Code]:[Ruimte omschrijving]],2,FALSE)</f>
        <v>Kantoren</v>
      </c>
      <c r="C110" s="255" t="s">
        <v>370</v>
      </c>
      <c r="D110" s="254" t="s">
        <v>28</v>
      </c>
      <c r="E110" s="255" t="s">
        <v>99</v>
      </c>
      <c r="F110" s="255" t="s">
        <v>372</v>
      </c>
      <c r="G110" s="260" t="s">
        <v>283</v>
      </c>
      <c r="H110" s="256" t="s">
        <v>17</v>
      </c>
      <c r="I110" s="256" t="s">
        <v>283</v>
      </c>
      <c r="J110" s="256" t="s">
        <v>283</v>
      </c>
      <c r="K110" s="256" t="s">
        <v>283</v>
      </c>
      <c r="L110" s="256" t="s">
        <v>283</v>
      </c>
      <c r="M110" s="256" t="s">
        <v>283</v>
      </c>
      <c r="N110" s="256" t="s">
        <v>283</v>
      </c>
      <c r="O110" s="257" t="s">
        <v>17</v>
      </c>
      <c r="P110" s="257" t="s">
        <v>17</v>
      </c>
      <c r="Q110" s="257" t="s">
        <v>15</v>
      </c>
      <c r="R110" s="257" t="s">
        <v>283</v>
      </c>
      <c r="S110" s="257" t="s">
        <v>283</v>
      </c>
      <c r="T110" s="257" t="s">
        <v>283</v>
      </c>
      <c r="U110" s="257" t="s">
        <v>283</v>
      </c>
      <c r="V110" s="257" t="s">
        <v>283</v>
      </c>
      <c r="W110" s="258" t="s">
        <v>283</v>
      </c>
      <c r="X110" s="258" t="s">
        <v>283</v>
      </c>
      <c r="Y110" s="259" t="s">
        <v>283</v>
      </c>
    </row>
    <row r="111" spans="1:25">
      <c r="A111" s="253">
        <v>2</v>
      </c>
      <c r="B111" s="254" t="str">
        <f>VLOOKUP(Tabel10[[#This Row],[Code]],Ruimtegroepen[[Code]:[Ruimte omschrijving]],2,FALSE)</f>
        <v>Kantoren</v>
      </c>
      <c r="C111" s="255" t="s">
        <v>370</v>
      </c>
      <c r="D111" s="254" t="s">
        <v>28</v>
      </c>
      <c r="E111" s="255" t="s">
        <v>1312</v>
      </c>
      <c r="F111" s="255" t="s">
        <v>1339</v>
      </c>
      <c r="G111" s="260" t="s">
        <v>283</v>
      </c>
      <c r="H111" s="256" t="s">
        <v>283</v>
      </c>
      <c r="I111" s="256" t="s">
        <v>17</v>
      </c>
      <c r="J111" s="256" t="s">
        <v>283</v>
      </c>
      <c r="K111" s="256" t="s">
        <v>283</v>
      </c>
      <c r="L111" s="256" t="s">
        <v>283</v>
      </c>
      <c r="M111" s="256" t="s">
        <v>283</v>
      </c>
      <c r="N111" s="256" t="s">
        <v>283</v>
      </c>
      <c r="O111" s="257" t="s">
        <v>17</v>
      </c>
      <c r="P111" s="257" t="s">
        <v>17</v>
      </c>
      <c r="Q111" s="257" t="s">
        <v>15</v>
      </c>
      <c r="R111" s="257" t="s">
        <v>283</v>
      </c>
      <c r="S111" s="257" t="s">
        <v>283</v>
      </c>
      <c r="T111" s="257" t="s">
        <v>283</v>
      </c>
      <c r="U111" s="257" t="s">
        <v>283</v>
      </c>
      <c r="V111" s="257" t="s">
        <v>283</v>
      </c>
      <c r="W111" s="258" t="s">
        <v>283</v>
      </c>
      <c r="X111" s="258" t="s">
        <v>283</v>
      </c>
      <c r="Y111" s="259" t="s">
        <v>283</v>
      </c>
    </row>
    <row r="112" spans="1:25">
      <c r="A112" s="253">
        <v>3</v>
      </c>
      <c r="B112" s="254" t="str">
        <f>VLOOKUP(Tabel10[[#This Row],[Code]],Ruimtegroepen[[Code]:[Ruimte omschrijving]],2,FALSE)</f>
        <v>Reproruimte</v>
      </c>
      <c r="C112" s="255" t="s">
        <v>375</v>
      </c>
      <c r="D112" s="254" t="s">
        <v>29</v>
      </c>
      <c r="E112" s="255" t="s">
        <v>100</v>
      </c>
      <c r="F112" s="255" t="s">
        <v>376</v>
      </c>
      <c r="G112" s="260" t="s">
        <v>283</v>
      </c>
      <c r="H112" s="256" t="s">
        <v>283</v>
      </c>
      <c r="I112" s="256" t="s">
        <v>20</v>
      </c>
      <c r="J112" s="256" t="s">
        <v>15</v>
      </c>
      <c r="K112" s="256" t="s">
        <v>283</v>
      </c>
      <c r="L112" s="256" t="s">
        <v>283</v>
      </c>
      <c r="M112" s="256" t="s">
        <v>283</v>
      </c>
      <c r="N112" s="256" t="s">
        <v>2</v>
      </c>
      <c r="O112" s="257" t="s">
        <v>2</v>
      </c>
      <c r="P112" s="257" t="s">
        <v>2</v>
      </c>
      <c r="Q112" s="257" t="s">
        <v>15</v>
      </c>
      <c r="R112" s="257" t="s">
        <v>15</v>
      </c>
      <c r="S112" s="257" t="s">
        <v>16</v>
      </c>
      <c r="T112" s="257" t="s">
        <v>284</v>
      </c>
      <c r="U112" s="257" t="s">
        <v>250</v>
      </c>
      <c r="V112" s="257" t="s">
        <v>2</v>
      </c>
      <c r="W112" s="258" t="s">
        <v>283</v>
      </c>
      <c r="X112" s="258" t="s">
        <v>283</v>
      </c>
      <c r="Y112" s="259" t="s">
        <v>283</v>
      </c>
    </row>
    <row r="113" spans="1:25">
      <c r="A113" s="253">
        <v>3</v>
      </c>
      <c r="B113" s="254" t="str">
        <f>VLOOKUP(Tabel10[[#This Row],[Code]],Ruimtegroepen[[Code]:[Ruimte omschrijving]],2,FALSE)</f>
        <v>Reproruimte</v>
      </c>
      <c r="C113" s="255" t="s">
        <v>375</v>
      </c>
      <c r="D113" s="254" t="s">
        <v>29</v>
      </c>
      <c r="E113" s="255" t="s">
        <v>99</v>
      </c>
      <c r="F113" s="255" t="s">
        <v>377</v>
      </c>
      <c r="G113" s="256" t="s">
        <v>20</v>
      </c>
      <c r="H113" s="256" t="s">
        <v>15</v>
      </c>
      <c r="I113" s="256" t="s">
        <v>283</v>
      </c>
      <c r="J113" s="256" t="s">
        <v>283</v>
      </c>
      <c r="K113" s="256" t="s">
        <v>283</v>
      </c>
      <c r="L113" s="256" t="s">
        <v>283</v>
      </c>
      <c r="M113" s="256" t="s">
        <v>283</v>
      </c>
      <c r="N113" s="256" t="s">
        <v>2</v>
      </c>
      <c r="O113" s="257" t="s">
        <v>2</v>
      </c>
      <c r="P113" s="257" t="s">
        <v>2</v>
      </c>
      <c r="Q113" s="257" t="s">
        <v>15</v>
      </c>
      <c r="R113" s="257" t="s">
        <v>15</v>
      </c>
      <c r="S113" s="257" t="s">
        <v>16</v>
      </c>
      <c r="T113" s="257" t="s">
        <v>284</v>
      </c>
      <c r="U113" s="257" t="s">
        <v>250</v>
      </c>
      <c r="V113" s="257" t="s">
        <v>2</v>
      </c>
      <c r="W113" s="258" t="s">
        <v>283</v>
      </c>
      <c r="X113" s="258" t="s">
        <v>283</v>
      </c>
      <c r="Y113" s="259" t="s">
        <v>283</v>
      </c>
    </row>
    <row r="114" spans="1:25">
      <c r="A114" s="253">
        <v>3</v>
      </c>
      <c r="B114" s="254" t="str">
        <f>VLOOKUP(Tabel10[[#This Row],[Code]],Ruimtegroepen[[Code]:[Ruimte omschrijving]],2,FALSE)</f>
        <v>Reproruimte</v>
      </c>
      <c r="C114" s="255" t="s">
        <v>375</v>
      </c>
      <c r="D114" s="254" t="s">
        <v>29</v>
      </c>
      <c r="E114" s="255" t="s">
        <v>101</v>
      </c>
      <c r="F114" s="255" t="s">
        <v>378</v>
      </c>
      <c r="G114" s="260" t="s">
        <v>283</v>
      </c>
      <c r="H114" s="256" t="s">
        <v>283</v>
      </c>
      <c r="I114" s="256" t="s">
        <v>20</v>
      </c>
      <c r="J114" s="256" t="s">
        <v>15</v>
      </c>
      <c r="K114" s="256" t="s">
        <v>330</v>
      </c>
      <c r="L114" s="256" t="s">
        <v>283</v>
      </c>
      <c r="M114" s="256" t="s">
        <v>283</v>
      </c>
      <c r="N114" s="256" t="s">
        <v>2</v>
      </c>
      <c r="O114" s="257" t="s">
        <v>2</v>
      </c>
      <c r="P114" s="257" t="s">
        <v>2</v>
      </c>
      <c r="Q114" s="257" t="s">
        <v>15</v>
      </c>
      <c r="R114" s="257" t="s">
        <v>15</v>
      </c>
      <c r="S114" s="257" t="s">
        <v>16</v>
      </c>
      <c r="T114" s="257" t="s">
        <v>284</v>
      </c>
      <c r="U114" s="257" t="s">
        <v>250</v>
      </c>
      <c r="V114" s="257" t="s">
        <v>2</v>
      </c>
      <c r="W114" s="258" t="s">
        <v>283</v>
      </c>
      <c r="X114" s="258" t="s">
        <v>283</v>
      </c>
      <c r="Y114" s="259" t="s">
        <v>283</v>
      </c>
    </row>
    <row r="115" spans="1:25">
      <c r="A115" s="253">
        <v>3</v>
      </c>
      <c r="B115" s="254" t="str">
        <f>VLOOKUP(Tabel10[[#This Row],[Code]],Ruimtegroepen[[Code]:[Ruimte omschrijving]],2,FALSE)</f>
        <v>Reproruimte</v>
      </c>
      <c r="C115" s="255" t="s">
        <v>375</v>
      </c>
      <c r="D115" s="254" t="s">
        <v>29</v>
      </c>
      <c r="E115" s="255" t="s">
        <v>102</v>
      </c>
      <c r="F115" s="255" t="s">
        <v>379</v>
      </c>
      <c r="G115" s="260" t="s">
        <v>283</v>
      </c>
      <c r="H115" s="256" t="s">
        <v>283</v>
      </c>
      <c r="I115" s="256" t="s">
        <v>20</v>
      </c>
      <c r="J115" s="256" t="s">
        <v>15</v>
      </c>
      <c r="K115" s="256" t="s">
        <v>330</v>
      </c>
      <c r="L115" s="256" t="s">
        <v>283</v>
      </c>
      <c r="M115" s="256" t="s">
        <v>283</v>
      </c>
      <c r="N115" s="256" t="s">
        <v>2</v>
      </c>
      <c r="O115" s="257" t="s">
        <v>2</v>
      </c>
      <c r="P115" s="257" t="s">
        <v>2</v>
      </c>
      <c r="Q115" s="257" t="s">
        <v>15</v>
      </c>
      <c r="R115" s="257" t="s">
        <v>15</v>
      </c>
      <c r="S115" s="257" t="s">
        <v>16</v>
      </c>
      <c r="T115" s="257" t="s">
        <v>284</v>
      </c>
      <c r="U115" s="257" t="s">
        <v>250</v>
      </c>
      <c r="V115" s="257" t="s">
        <v>2</v>
      </c>
      <c r="W115" s="258" t="s">
        <v>283</v>
      </c>
      <c r="X115" s="258" t="s">
        <v>283</v>
      </c>
      <c r="Y115" s="259" t="s">
        <v>283</v>
      </c>
    </row>
    <row r="116" spans="1:25">
      <c r="A116" s="253">
        <v>3</v>
      </c>
      <c r="B116" s="254" t="str">
        <f>VLOOKUP(Tabel10[[#This Row],[Code]],Ruimtegroepen[[Code]:[Ruimte omschrijving]],2,FALSE)</f>
        <v>Reproruimte</v>
      </c>
      <c r="C116" s="255" t="s">
        <v>375</v>
      </c>
      <c r="D116" s="254" t="s">
        <v>29</v>
      </c>
      <c r="E116" s="255" t="s">
        <v>99</v>
      </c>
      <c r="F116" s="255" t="s">
        <v>377</v>
      </c>
      <c r="G116" s="256" t="s">
        <v>20</v>
      </c>
      <c r="H116" s="256" t="s">
        <v>15</v>
      </c>
      <c r="I116" s="256" t="s">
        <v>283</v>
      </c>
      <c r="J116" s="256" t="s">
        <v>283</v>
      </c>
      <c r="K116" s="256" t="s">
        <v>283</v>
      </c>
      <c r="L116" s="256" t="s">
        <v>283</v>
      </c>
      <c r="M116" s="256" t="s">
        <v>283</v>
      </c>
      <c r="N116" s="256" t="s">
        <v>283</v>
      </c>
      <c r="O116" s="257" t="s">
        <v>283</v>
      </c>
      <c r="P116" s="257" t="s">
        <v>283</v>
      </c>
      <c r="Q116" s="257" t="s">
        <v>283</v>
      </c>
      <c r="R116" s="257" t="s">
        <v>283</v>
      </c>
      <c r="S116" s="257" t="s">
        <v>283</v>
      </c>
      <c r="T116" s="257" t="s">
        <v>283</v>
      </c>
      <c r="U116" s="257" t="s">
        <v>283</v>
      </c>
      <c r="V116" s="257" t="s">
        <v>283</v>
      </c>
      <c r="W116" s="258" t="s">
        <v>283</v>
      </c>
      <c r="X116" s="258" t="s">
        <v>283</v>
      </c>
      <c r="Y116" s="259" t="s">
        <v>283</v>
      </c>
    </row>
    <row r="117" spans="1:25">
      <c r="A117" s="253">
        <v>3</v>
      </c>
      <c r="B117" s="254" t="str">
        <f>VLOOKUP(Tabel10[[#This Row],[Code]],Ruimtegroepen[[Code]:[Ruimte omschrijving]],2,FALSE)</f>
        <v>Reproruimte</v>
      </c>
      <c r="C117" s="255" t="s">
        <v>375</v>
      </c>
      <c r="D117" s="254" t="s">
        <v>29</v>
      </c>
      <c r="E117" s="255" t="s">
        <v>1312</v>
      </c>
      <c r="F117" s="255" t="s">
        <v>1340</v>
      </c>
      <c r="G117" s="260" t="s">
        <v>283</v>
      </c>
      <c r="H117" s="256" t="s">
        <v>283</v>
      </c>
      <c r="I117" s="256" t="s">
        <v>20</v>
      </c>
      <c r="J117" s="256" t="s">
        <v>15</v>
      </c>
      <c r="K117" s="256" t="s">
        <v>330</v>
      </c>
      <c r="L117" s="256" t="s">
        <v>283</v>
      </c>
      <c r="M117" s="256" t="s">
        <v>283</v>
      </c>
      <c r="N117" s="256" t="s">
        <v>2</v>
      </c>
      <c r="O117" s="257" t="s">
        <v>2</v>
      </c>
      <c r="P117" s="257" t="s">
        <v>2</v>
      </c>
      <c r="Q117" s="257" t="s">
        <v>15</v>
      </c>
      <c r="R117" s="257" t="s">
        <v>15</v>
      </c>
      <c r="S117" s="257" t="s">
        <v>16</v>
      </c>
      <c r="T117" s="257" t="s">
        <v>284</v>
      </c>
      <c r="U117" s="257" t="s">
        <v>250</v>
      </c>
      <c r="V117" s="257" t="s">
        <v>2</v>
      </c>
      <c r="W117" s="258" t="s">
        <v>283</v>
      </c>
      <c r="X117" s="258" t="s">
        <v>283</v>
      </c>
      <c r="Y117" s="259" t="s">
        <v>283</v>
      </c>
    </row>
    <row r="118" spans="1:25">
      <c r="A118" s="253">
        <v>3</v>
      </c>
      <c r="B118" s="254" t="str">
        <f>VLOOKUP(Tabel10[[#This Row],[Code]],Ruimtegroepen[[Code]:[Ruimte omschrijving]],2,FALSE)</f>
        <v>Reproruimte</v>
      </c>
      <c r="C118" s="255" t="s">
        <v>380</v>
      </c>
      <c r="D118" s="254" t="s">
        <v>1</v>
      </c>
      <c r="E118" s="255" t="s">
        <v>100</v>
      </c>
      <c r="F118" s="255" t="s">
        <v>381</v>
      </c>
      <c r="G118" s="260" t="s">
        <v>283</v>
      </c>
      <c r="H118" s="256" t="s">
        <v>283</v>
      </c>
      <c r="I118" s="256" t="s">
        <v>20</v>
      </c>
      <c r="J118" s="256" t="s">
        <v>15</v>
      </c>
      <c r="K118" s="256" t="s">
        <v>283</v>
      </c>
      <c r="L118" s="256" t="s">
        <v>283</v>
      </c>
      <c r="M118" s="256" t="s">
        <v>283</v>
      </c>
      <c r="N118" s="256" t="s">
        <v>283</v>
      </c>
      <c r="O118" s="257" t="s">
        <v>2</v>
      </c>
      <c r="P118" s="257" t="s">
        <v>2</v>
      </c>
      <c r="Q118" s="257" t="s">
        <v>15</v>
      </c>
      <c r="R118" s="257" t="s">
        <v>15</v>
      </c>
      <c r="S118" s="257" t="s">
        <v>16</v>
      </c>
      <c r="T118" s="257" t="s">
        <v>284</v>
      </c>
      <c r="U118" s="257" t="s">
        <v>250</v>
      </c>
      <c r="V118" s="257" t="s">
        <v>283</v>
      </c>
      <c r="W118" s="258" t="s">
        <v>283</v>
      </c>
      <c r="X118" s="258" t="s">
        <v>283</v>
      </c>
      <c r="Y118" s="259" t="s">
        <v>283</v>
      </c>
    </row>
    <row r="119" spans="1:25">
      <c r="A119" s="253">
        <v>3</v>
      </c>
      <c r="B119" s="254" t="str">
        <f>VLOOKUP(Tabel10[[#This Row],[Code]],Ruimtegroepen[[Code]:[Ruimte omschrijving]],2,FALSE)</f>
        <v>Reproruimte</v>
      </c>
      <c r="C119" s="255" t="s">
        <v>380</v>
      </c>
      <c r="D119" s="254" t="s">
        <v>1</v>
      </c>
      <c r="E119" s="255" t="s">
        <v>99</v>
      </c>
      <c r="F119" s="255" t="s">
        <v>382</v>
      </c>
      <c r="G119" s="256" t="s">
        <v>20</v>
      </c>
      <c r="H119" s="256" t="s">
        <v>15</v>
      </c>
      <c r="I119" s="256" t="s">
        <v>283</v>
      </c>
      <c r="J119" s="256" t="s">
        <v>283</v>
      </c>
      <c r="K119" s="256" t="s">
        <v>283</v>
      </c>
      <c r="L119" s="256" t="s">
        <v>283</v>
      </c>
      <c r="M119" s="256" t="s">
        <v>283</v>
      </c>
      <c r="N119" s="256" t="s">
        <v>283</v>
      </c>
      <c r="O119" s="257" t="s">
        <v>2</v>
      </c>
      <c r="P119" s="257" t="s">
        <v>2</v>
      </c>
      <c r="Q119" s="257" t="s">
        <v>15</v>
      </c>
      <c r="R119" s="257" t="s">
        <v>15</v>
      </c>
      <c r="S119" s="257" t="s">
        <v>16</v>
      </c>
      <c r="T119" s="257" t="s">
        <v>284</v>
      </c>
      <c r="U119" s="257" t="s">
        <v>250</v>
      </c>
      <c r="V119" s="257" t="s">
        <v>283</v>
      </c>
      <c r="W119" s="258" t="s">
        <v>283</v>
      </c>
      <c r="X119" s="258" t="s">
        <v>283</v>
      </c>
      <c r="Y119" s="259" t="s">
        <v>283</v>
      </c>
    </row>
    <row r="120" spans="1:25">
      <c r="A120" s="253">
        <v>3</v>
      </c>
      <c r="B120" s="254" t="str">
        <f>VLOOKUP(Tabel10[[#This Row],[Code]],Ruimtegroepen[[Code]:[Ruimte omschrijving]],2,FALSE)</f>
        <v>Reproruimte</v>
      </c>
      <c r="C120" s="255" t="s">
        <v>380</v>
      </c>
      <c r="D120" s="254" t="s">
        <v>1</v>
      </c>
      <c r="E120" s="255" t="s">
        <v>101</v>
      </c>
      <c r="F120" s="255" t="s">
        <v>383</v>
      </c>
      <c r="G120" s="260" t="s">
        <v>283</v>
      </c>
      <c r="H120" s="256" t="s">
        <v>283</v>
      </c>
      <c r="I120" s="256" t="s">
        <v>20</v>
      </c>
      <c r="J120" s="256" t="s">
        <v>15</v>
      </c>
      <c r="K120" s="256" t="s">
        <v>330</v>
      </c>
      <c r="L120" s="256" t="s">
        <v>283</v>
      </c>
      <c r="M120" s="256" t="s">
        <v>283</v>
      </c>
      <c r="N120" s="256" t="s">
        <v>283</v>
      </c>
      <c r="O120" s="257" t="s">
        <v>2</v>
      </c>
      <c r="P120" s="257" t="s">
        <v>2</v>
      </c>
      <c r="Q120" s="257" t="s">
        <v>15</v>
      </c>
      <c r="R120" s="257" t="s">
        <v>15</v>
      </c>
      <c r="S120" s="257" t="s">
        <v>16</v>
      </c>
      <c r="T120" s="257" t="s">
        <v>284</v>
      </c>
      <c r="U120" s="257" t="s">
        <v>250</v>
      </c>
      <c r="V120" s="257" t="s">
        <v>283</v>
      </c>
      <c r="W120" s="258" t="s">
        <v>283</v>
      </c>
      <c r="X120" s="258" t="s">
        <v>283</v>
      </c>
      <c r="Y120" s="259" t="s">
        <v>283</v>
      </c>
    </row>
    <row r="121" spans="1:25">
      <c r="A121" s="253">
        <v>3</v>
      </c>
      <c r="B121" s="254" t="str">
        <f>VLOOKUP(Tabel10[[#This Row],[Code]],Ruimtegroepen[[Code]:[Ruimte omschrijving]],2,FALSE)</f>
        <v>Reproruimte</v>
      </c>
      <c r="C121" s="255" t="s">
        <v>380</v>
      </c>
      <c r="D121" s="254" t="s">
        <v>1</v>
      </c>
      <c r="E121" s="255" t="s">
        <v>102</v>
      </c>
      <c r="F121" s="255" t="s">
        <v>384</v>
      </c>
      <c r="G121" s="260" t="s">
        <v>283</v>
      </c>
      <c r="H121" s="256" t="s">
        <v>283</v>
      </c>
      <c r="I121" s="256" t="s">
        <v>20</v>
      </c>
      <c r="J121" s="256" t="s">
        <v>15</v>
      </c>
      <c r="K121" s="256" t="s">
        <v>330</v>
      </c>
      <c r="L121" s="256" t="s">
        <v>283</v>
      </c>
      <c r="M121" s="256" t="s">
        <v>283</v>
      </c>
      <c r="N121" s="256" t="s">
        <v>283</v>
      </c>
      <c r="O121" s="257" t="s">
        <v>2</v>
      </c>
      <c r="P121" s="257" t="s">
        <v>2</v>
      </c>
      <c r="Q121" s="257" t="s">
        <v>15</v>
      </c>
      <c r="R121" s="257" t="s">
        <v>15</v>
      </c>
      <c r="S121" s="257" t="s">
        <v>16</v>
      </c>
      <c r="T121" s="257" t="s">
        <v>284</v>
      </c>
      <c r="U121" s="257" t="s">
        <v>250</v>
      </c>
      <c r="V121" s="257" t="s">
        <v>283</v>
      </c>
      <c r="W121" s="258" t="s">
        <v>283</v>
      </c>
      <c r="X121" s="258" t="s">
        <v>283</v>
      </c>
      <c r="Y121" s="259" t="s">
        <v>283</v>
      </c>
    </row>
    <row r="122" spans="1:25">
      <c r="A122" s="253">
        <v>3</v>
      </c>
      <c r="B122" s="254" t="str">
        <f>VLOOKUP(Tabel10[[#This Row],[Code]],Ruimtegroepen[[Code]:[Ruimte omschrijving]],2,FALSE)</f>
        <v>Reproruimte</v>
      </c>
      <c r="C122" s="255" t="s">
        <v>380</v>
      </c>
      <c r="D122" s="254" t="s">
        <v>1</v>
      </c>
      <c r="E122" s="255" t="s">
        <v>99</v>
      </c>
      <c r="F122" s="255" t="s">
        <v>382</v>
      </c>
      <c r="G122" s="256" t="s">
        <v>20</v>
      </c>
      <c r="H122" s="256" t="s">
        <v>15</v>
      </c>
      <c r="I122" s="256" t="s">
        <v>283</v>
      </c>
      <c r="J122" s="256" t="s">
        <v>283</v>
      </c>
      <c r="K122" s="256" t="s">
        <v>283</v>
      </c>
      <c r="L122" s="256" t="s">
        <v>283</v>
      </c>
      <c r="M122" s="256" t="s">
        <v>283</v>
      </c>
      <c r="N122" s="256" t="s">
        <v>283</v>
      </c>
      <c r="O122" s="257" t="s">
        <v>283</v>
      </c>
      <c r="P122" s="257" t="s">
        <v>283</v>
      </c>
      <c r="Q122" s="257" t="s">
        <v>283</v>
      </c>
      <c r="R122" s="257" t="s">
        <v>283</v>
      </c>
      <c r="S122" s="257" t="s">
        <v>283</v>
      </c>
      <c r="T122" s="257" t="s">
        <v>283</v>
      </c>
      <c r="U122" s="257" t="s">
        <v>283</v>
      </c>
      <c r="V122" s="257" t="s">
        <v>283</v>
      </c>
      <c r="W122" s="258" t="s">
        <v>283</v>
      </c>
      <c r="X122" s="258" t="s">
        <v>283</v>
      </c>
      <c r="Y122" s="259" t="s">
        <v>283</v>
      </c>
    </row>
    <row r="123" spans="1:25">
      <c r="A123" s="253">
        <v>3</v>
      </c>
      <c r="B123" s="254" t="str">
        <f>VLOOKUP(Tabel10[[#This Row],[Code]],Ruimtegroepen[[Code]:[Ruimte omschrijving]],2,FALSE)</f>
        <v>Reproruimte</v>
      </c>
      <c r="C123" s="255" t="s">
        <v>380</v>
      </c>
      <c r="D123" s="254" t="s">
        <v>1</v>
      </c>
      <c r="E123" s="255" t="s">
        <v>1312</v>
      </c>
      <c r="F123" s="255" t="s">
        <v>1341</v>
      </c>
      <c r="G123" s="260" t="s">
        <v>283</v>
      </c>
      <c r="H123" s="256" t="s">
        <v>283</v>
      </c>
      <c r="I123" s="256" t="s">
        <v>20</v>
      </c>
      <c r="J123" s="256" t="s">
        <v>15</v>
      </c>
      <c r="K123" s="256" t="s">
        <v>330</v>
      </c>
      <c r="L123" s="256" t="s">
        <v>283</v>
      </c>
      <c r="M123" s="256" t="s">
        <v>283</v>
      </c>
      <c r="N123" s="256" t="s">
        <v>283</v>
      </c>
      <c r="O123" s="257" t="s">
        <v>2</v>
      </c>
      <c r="P123" s="257" t="s">
        <v>2</v>
      </c>
      <c r="Q123" s="257" t="s">
        <v>15</v>
      </c>
      <c r="R123" s="257" t="s">
        <v>15</v>
      </c>
      <c r="S123" s="257" t="s">
        <v>16</v>
      </c>
      <c r="T123" s="257" t="s">
        <v>284</v>
      </c>
      <c r="U123" s="257" t="s">
        <v>250</v>
      </c>
      <c r="V123" s="257" t="s">
        <v>283</v>
      </c>
      <c r="W123" s="258" t="s">
        <v>283</v>
      </c>
      <c r="X123" s="258" t="s">
        <v>283</v>
      </c>
      <c r="Y123" s="259" t="s">
        <v>283</v>
      </c>
    </row>
    <row r="124" spans="1:25">
      <c r="A124" s="253">
        <v>3</v>
      </c>
      <c r="B124" s="254" t="str">
        <f>VLOOKUP(Tabel10[[#This Row],[Code]],Ruimtegroepen[[Code]:[Ruimte omschrijving]],2,FALSE)</f>
        <v>Reproruimte</v>
      </c>
      <c r="C124" s="255" t="s">
        <v>385</v>
      </c>
      <c r="D124" s="254" t="s">
        <v>21</v>
      </c>
      <c r="E124" s="255" t="s">
        <v>100</v>
      </c>
      <c r="F124" s="255" t="s">
        <v>386</v>
      </c>
      <c r="G124" s="260" t="s">
        <v>283</v>
      </c>
      <c r="H124" s="256" t="s">
        <v>283</v>
      </c>
      <c r="I124" s="256" t="s">
        <v>18</v>
      </c>
      <c r="J124" s="256" t="s">
        <v>15</v>
      </c>
      <c r="K124" s="256" t="s">
        <v>283</v>
      </c>
      <c r="L124" s="256" t="s">
        <v>283</v>
      </c>
      <c r="M124" s="256" t="s">
        <v>283</v>
      </c>
      <c r="N124" s="256" t="s">
        <v>283</v>
      </c>
      <c r="O124" s="257" t="s">
        <v>20</v>
      </c>
      <c r="P124" s="257" t="s">
        <v>20</v>
      </c>
      <c r="Q124" s="257" t="s">
        <v>15</v>
      </c>
      <c r="R124" s="257" t="s">
        <v>15</v>
      </c>
      <c r="S124" s="257" t="s">
        <v>16</v>
      </c>
      <c r="T124" s="257" t="s">
        <v>284</v>
      </c>
      <c r="U124" s="257" t="s">
        <v>250</v>
      </c>
      <c r="V124" s="257" t="s">
        <v>283</v>
      </c>
      <c r="W124" s="258" t="s">
        <v>283</v>
      </c>
      <c r="X124" s="258" t="s">
        <v>283</v>
      </c>
      <c r="Y124" s="259" t="s">
        <v>283</v>
      </c>
    </row>
    <row r="125" spans="1:25">
      <c r="A125" s="253">
        <v>3</v>
      </c>
      <c r="B125" s="254" t="str">
        <f>VLOOKUP(Tabel10[[#This Row],[Code]],Ruimtegroepen[[Code]:[Ruimte omschrijving]],2,FALSE)</f>
        <v>Reproruimte</v>
      </c>
      <c r="C125" s="255" t="s">
        <v>385</v>
      </c>
      <c r="D125" s="254" t="s">
        <v>21</v>
      </c>
      <c r="E125" s="255" t="s">
        <v>99</v>
      </c>
      <c r="F125" s="255" t="s">
        <v>387</v>
      </c>
      <c r="G125" s="256" t="s">
        <v>18</v>
      </c>
      <c r="H125" s="256" t="s">
        <v>15</v>
      </c>
      <c r="I125" s="256" t="s">
        <v>283</v>
      </c>
      <c r="J125" s="256" t="s">
        <v>283</v>
      </c>
      <c r="K125" s="256" t="s">
        <v>283</v>
      </c>
      <c r="L125" s="256" t="s">
        <v>283</v>
      </c>
      <c r="M125" s="256" t="s">
        <v>283</v>
      </c>
      <c r="N125" s="256" t="s">
        <v>283</v>
      </c>
      <c r="O125" s="257" t="s">
        <v>20</v>
      </c>
      <c r="P125" s="257" t="s">
        <v>20</v>
      </c>
      <c r="Q125" s="257" t="s">
        <v>15</v>
      </c>
      <c r="R125" s="257" t="s">
        <v>15</v>
      </c>
      <c r="S125" s="257" t="s">
        <v>16</v>
      </c>
      <c r="T125" s="257" t="s">
        <v>284</v>
      </c>
      <c r="U125" s="257" t="s">
        <v>250</v>
      </c>
      <c r="V125" s="257" t="s">
        <v>283</v>
      </c>
      <c r="W125" s="258" t="s">
        <v>283</v>
      </c>
      <c r="X125" s="258" t="s">
        <v>283</v>
      </c>
      <c r="Y125" s="259" t="s">
        <v>283</v>
      </c>
    </row>
    <row r="126" spans="1:25">
      <c r="A126" s="253">
        <v>3</v>
      </c>
      <c r="B126" s="254" t="str">
        <f>VLOOKUP(Tabel10[[#This Row],[Code]],Ruimtegroepen[[Code]:[Ruimte omschrijving]],2,FALSE)</f>
        <v>Reproruimte</v>
      </c>
      <c r="C126" s="255" t="s">
        <v>385</v>
      </c>
      <c r="D126" s="254" t="s">
        <v>21</v>
      </c>
      <c r="E126" s="255" t="s">
        <v>101</v>
      </c>
      <c r="F126" s="255" t="s">
        <v>388</v>
      </c>
      <c r="G126" s="260" t="s">
        <v>283</v>
      </c>
      <c r="H126" s="256" t="s">
        <v>283</v>
      </c>
      <c r="I126" s="256" t="s">
        <v>18</v>
      </c>
      <c r="J126" s="256" t="s">
        <v>15</v>
      </c>
      <c r="K126" s="256" t="s">
        <v>330</v>
      </c>
      <c r="L126" s="256" t="s">
        <v>283</v>
      </c>
      <c r="M126" s="256" t="s">
        <v>283</v>
      </c>
      <c r="N126" s="256" t="s">
        <v>283</v>
      </c>
      <c r="O126" s="257" t="s">
        <v>20</v>
      </c>
      <c r="P126" s="257" t="s">
        <v>20</v>
      </c>
      <c r="Q126" s="257" t="s">
        <v>15</v>
      </c>
      <c r="R126" s="257" t="s">
        <v>15</v>
      </c>
      <c r="S126" s="257" t="s">
        <v>16</v>
      </c>
      <c r="T126" s="257" t="s">
        <v>284</v>
      </c>
      <c r="U126" s="257" t="s">
        <v>250</v>
      </c>
      <c r="V126" s="257" t="s">
        <v>283</v>
      </c>
      <c r="W126" s="258" t="s">
        <v>283</v>
      </c>
      <c r="X126" s="258" t="s">
        <v>283</v>
      </c>
      <c r="Y126" s="259" t="s">
        <v>283</v>
      </c>
    </row>
    <row r="127" spans="1:25">
      <c r="A127" s="253">
        <v>3</v>
      </c>
      <c r="B127" s="254" t="str">
        <f>VLOOKUP(Tabel10[[#This Row],[Code]],Ruimtegroepen[[Code]:[Ruimte omschrijving]],2,FALSE)</f>
        <v>Reproruimte</v>
      </c>
      <c r="C127" s="255" t="s">
        <v>385</v>
      </c>
      <c r="D127" s="254" t="s">
        <v>21</v>
      </c>
      <c r="E127" s="255" t="s">
        <v>102</v>
      </c>
      <c r="F127" s="255" t="s">
        <v>389</v>
      </c>
      <c r="G127" s="260" t="s">
        <v>283</v>
      </c>
      <c r="H127" s="256" t="s">
        <v>283</v>
      </c>
      <c r="I127" s="256" t="s">
        <v>18</v>
      </c>
      <c r="J127" s="256" t="s">
        <v>15</v>
      </c>
      <c r="K127" s="256" t="s">
        <v>330</v>
      </c>
      <c r="L127" s="256" t="s">
        <v>283</v>
      </c>
      <c r="M127" s="256" t="s">
        <v>283</v>
      </c>
      <c r="N127" s="256" t="s">
        <v>283</v>
      </c>
      <c r="O127" s="257" t="s">
        <v>20</v>
      </c>
      <c r="P127" s="257" t="s">
        <v>20</v>
      </c>
      <c r="Q127" s="257" t="s">
        <v>15</v>
      </c>
      <c r="R127" s="257" t="s">
        <v>15</v>
      </c>
      <c r="S127" s="257" t="s">
        <v>16</v>
      </c>
      <c r="T127" s="257" t="s">
        <v>284</v>
      </c>
      <c r="U127" s="257" t="s">
        <v>250</v>
      </c>
      <c r="V127" s="257" t="s">
        <v>283</v>
      </c>
      <c r="W127" s="258" t="s">
        <v>283</v>
      </c>
      <c r="X127" s="258" t="s">
        <v>283</v>
      </c>
      <c r="Y127" s="259" t="s">
        <v>283</v>
      </c>
    </row>
    <row r="128" spans="1:25">
      <c r="A128" s="253">
        <v>3</v>
      </c>
      <c r="B128" s="254" t="str">
        <f>VLOOKUP(Tabel10[[#This Row],[Code]],Ruimtegroepen[[Code]:[Ruimte omschrijving]],2,FALSE)</f>
        <v>Reproruimte</v>
      </c>
      <c r="C128" s="255" t="s">
        <v>385</v>
      </c>
      <c r="D128" s="254" t="s">
        <v>21</v>
      </c>
      <c r="E128" s="255" t="s">
        <v>99</v>
      </c>
      <c r="F128" s="255" t="s">
        <v>387</v>
      </c>
      <c r="G128" s="256" t="s">
        <v>18</v>
      </c>
      <c r="H128" s="256" t="s">
        <v>15</v>
      </c>
      <c r="I128" s="256" t="s">
        <v>283</v>
      </c>
      <c r="J128" s="256" t="s">
        <v>283</v>
      </c>
      <c r="K128" s="256" t="s">
        <v>283</v>
      </c>
      <c r="L128" s="256" t="s">
        <v>283</v>
      </c>
      <c r="M128" s="256" t="s">
        <v>283</v>
      </c>
      <c r="N128" s="256" t="s">
        <v>283</v>
      </c>
      <c r="O128" s="257" t="s">
        <v>283</v>
      </c>
      <c r="P128" s="257" t="s">
        <v>283</v>
      </c>
      <c r="Q128" s="257" t="s">
        <v>283</v>
      </c>
      <c r="R128" s="257" t="s">
        <v>283</v>
      </c>
      <c r="S128" s="257" t="s">
        <v>283</v>
      </c>
      <c r="T128" s="257" t="s">
        <v>283</v>
      </c>
      <c r="U128" s="257" t="s">
        <v>283</v>
      </c>
      <c r="V128" s="257" t="s">
        <v>283</v>
      </c>
      <c r="W128" s="258" t="s">
        <v>283</v>
      </c>
      <c r="X128" s="258" t="s">
        <v>283</v>
      </c>
      <c r="Y128" s="259" t="s">
        <v>283</v>
      </c>
    </row>
    <row r="129" spans="1:25">
      <c r="A129" s="253">
        <v>3</v>
      </c>
      <c r="B129" s="254" t="str">
        <f>VLOOKUP(Tabel10[[#This Row],[Code]],Ruimtegroepen[[Code]:[Ruimte omschrijving]],2,FALSE)</f>
        <v>Reproruimte</v>
      </c>
      <c r="C129" s="255" t="s">
        <v>385</v>
      </c>
      <c r="D129" s="254" t="s">
        <v>21</v>
      </c>
      <c r="E129" s="255" t="s">
        <v>1312</v>
      </c>
      <c r="F129" s="255" t="s">
        <v>1342</v>
      </c>
      <c r="G129" s="260" t="s">
        <v>283</v>
      </c>
      <c r="H129" s="256" t="s">
        <v>283</v>
      </c>
      <c r="I129" s="256" t="s">
        <v>18</v>
      </c>
      <c r="J129" s="256" t="s">
        <v>15</v>
      </c>
      <c r="K129" s="256" t="s">
        <v>330</v>
      </c>
      <c r="L129" s="256" t="s">
        <v>283</v>
      </c>
      <c r="M129" s="256" t="s">
        <v>283</v>
      </c>
      <c r="N129" s="256" t="s">
        <v>283</v>
      </c>
      <c r="O129" s="257" t="s">
        <v>20</v>
      </c>
      <c r="P129" s="257" t="s">
        <v>20</v>
      </c>
      <c r="Q129" s="257" t="s">
        <v>15</v>
      </c>
      <c r="R129" s="257" t="s">
        <v>15</v>
      </c>
      <c r="S129" s="257" t="s">
        <v>16</v>
      </c>
      <c r="T129" s="257" t="s">
        <v>284</v>
      </c>
      <c r="U129" s="257" t="s">
        <v>250</v>
      </c>
      <c r="V129" s="257" t="s">
        <v>283</v>
      </c>
      <c r="W129" s="258" t="s">
        <v>283</v>
      </c>
      <c r="X129" s="258" t="s">
        <v>283</v>
      </c>
      <c r="Y129" s="259" t="s">
        <v>283</v>
      </c>
    </row>
    <row r="130" spans="1:25">
      <c r="A130" s="253">
        <v>3</v>
      </c>
      <c r="B130" s="254" t="str">
        <f>VLOOKUP(Tabel10[[#This Row],[Code]],Ruimtegroepen[[Code]:[Ruimte omschrijving]],2,FALSE)</f>
        <v>Reproruimte</v>
      </c>
      <c r="C130" s="255" t="s">
        <v>390</v>
      </c>
      <c r="D130" s="254" t="s">
        <v>12</v>
      </c>
      <c r="E130" s="255" t="s">
        <v>100</v>
      </c>
      <c r="F130" s="255" t="s">
        <v>391</v>
      </c>
      <c r="G130" s="260" t="s">
        <v>283</v>
      </c>
      <c r="H130" s="256" t="s">
        <v>283</v>
      </c>
      <c r="I130" s="256" t="s">
        <v>17</v>
      </c>
      <c r="J130" s="256" t="s">
        <v>15</v>
      </c>
      <c r="K130" s="256" t="s">
        <v>283</v>
      </c>
      <c r="L130" s="256" t="s">
        <v>283</v>
      </c>
      <c r="M130" s="256" t="s">
        <v>283</v>
      </c>
      <c r="N130" s="256" t="s">
        <v>283</v>
      </c>
      <c r="O130" s="257" t="s">
        <v>18</v>
      </c>
      <c r="P130" s="257" t="s">
        <v>18</v>
      </c>
      <c r="Q130" s="257" t="s">
        <v>15</v>
      </c>
      <c r="R130" s="257" t="s">
        <v>15</v>
      </c>
      <c r="S130" s="257" t="s">
        <v>16</v>
      </c>
      <c r="T130" s="257" t="s">
        <v>284</v>
      </c>
      <c r="U130" s="257" t="s">
        <v>250</v>
      </c>
      <c r="V130" s="257" t="s">
        <v>283</v>
      </c>
      <c r="W130" s="258" t="s">
        <v>283</v>
      </c>
      <c r="X130" s="258" t="s">
        <v>283</v>
      </c>
      <c r="Y130" s="259" t="s">
        <v>283</v>
      </c>
    </row>
    <row r="131" spans="1:25">
      <c r="A131" s="253">
        <v>3</v>
      </c>
      <c r="B131" s="254" t="str">
        <f>VLOOKUP(Tabel10[[#This Row],[Code]],Ruimtegroepen[[Code]:[Ruimte omschrijving]],2,FALSE)</f>
        <v>Reproruimte</v>
      </c>
      <c r="C131" s="255" t="s">
        <v>390</v>
      </c>
      <c r="D131" s="254" t="s">
        <v>12</v>
      </c>
      <c r="E131" s="255" t="s">
        <v>99</v>
      </c>
      <c r="F131" s="255" t="s">
        <v>392</v>
      </c>
      <c r="G131" s="256" t="s">
        <v>17</v>
      </c>
      <c r="H131" s="256" t="s">
        <v>15</v>
      </c>
      <c r="I131" s="256" t="s">
        <v>283</v>
      </c>
      <c r="J131" s="256" t="s">
        <v>283</v>
      </c>
      <c r="K131" s="256" t="s">
        <v>283</v>
      </c>
      <c r="L131" s="256" t="s">
        <v>283</v>
      </c>
      <c r="M131" s="256" t="s">
        <v>283</v>
      </c>
      <c r="N131" s="256" t="s">
        <v>283</v>
      </c>
      <c r="O131" s="257" t="s">
        <v>18</v>
      </c>
      <c r="P131" s="257" t="s">
        <v>18</v>
      </c>
      <c r="Q131" s="257" t="s">
        <v>15</v>
      </c>
      <c r="R131" s="257" t="s">
        <v>15</v>
      </c>
      <c r="S131" s="257" t="s">
        <v>16</v>
      </c>
      <c r="T131" s="257" t="s">
        <v>284</v>
      </c>
      <c r="U131" s="257" t="s">
        <v>250</v>
      </c>
      <c r="V131" s="257" t="s">
        <v>283</v>
      </c>
      <c r="W131" s="258" t="s">
        <v>283</v>
      </c>
      <c r="X131" s="258" t="s">
        <v>283</v>
      </c>
      <c r="Y131" s="259" t="s">
        <v>283</v>
      </c>
    </row>
    <row r="132" spans="1:25">
      <c r="A132" s="253">
        <v>3</v>
      </c>
      <c r="B132" s="254" t="str">
        <f>VLOOKUP(Tabel10[[#This Row],[Code]],Ruimtegroepen[[Code]:[Ruimte omschrijving]],2,FALSE)</f>
        <v>Reproruimte</v>
      </c>
      <c r="C132" s="255" t="s">
        <v>390</v>
      </c>
      <c r="D132" s="254" t="s">
        <v>12</v>
      </c>
      <c r="E132" s="255" t="s">
        <v>101</v>
      </c>
      <c r="F132" s="255" t="s">
        <v>393</v>
      </c>
      <c r="G132" s="260" t="s">
        <v>283</v>
      </c>
      <c r="H132" s="256" t="s">
        <v>283</v>
      </c>
      <c r="I132" s="256" t="s">
        <v>17</v>
      </c>
      <c r="J132" s="256" t="s">
        <v>15</v>
      </c>
      <c r="K132" s="256" t="s">
        <v>330</v>
      </c>
      <c r="L132" s="256" t="s">
        <v>283</v>
      </c>
      <c r="M132" s="256" t="s">
        <v>283</v>
      </c>
      <c r="N132" s="256" t="s">
        <v>283</v>
      </c>
      <c r="O132" s="257" t="s">
        <v>18</v>
      </c>
      <c r="P132" s="257" t="s">
        <v>18</v>
      </c>
      <c r="Q132" s="257" t="s">
        <v>15</v>
      </c>
      <c r="R132" s="257" t="s">
        <v>15</v>
      </c>
      <c r="S132" s="257" t="s">
        <v>16</v>
      </c>
      <c r="T132" s="257" t="s">
        <v>284</v>
      </c>
      <c r="U132" s="257" t="s">
        <v>250</v>
      </c>
      <c r="V132" s="257" t="s">
        <v>283</v>
      </c>
      <c r="W132" s="258" t="s">
        <v>283</v>
      </c>
      <c r="X132" s="258" t="s">
        <v>283</v>
      </c>
      <c r="Y132" s="259" t="s">
        <v>283</v>
      </c>
    </row>
    <row r="133" spans="1:25">
      <c r="A133" s="253">
        <v>3</v>
      </c>
      <c r="B133" s="254" t="str">
        <f>VLOOKUP(Tabel10[[#This Row],[Code]],Ruimtegroepen[[Code]:[Ruimte omschrijving]],2,FALSE)</f>
        <v>Reproruimte</v>
      </c>
      <c r="C133" s="255" t="s">
        <v>390</v>
      </c>
      <c r="D133" s="254" t="s">
        <v>12</v>
      </c>
      <c r="E133" s="255" t="s">
        <v>102</v>
      </c>
      <c r="F133" s="255" t="s">
        <v>394</v>
      </c>
      <c r="G133" s="260" t="s">
        <v>283</v>
      </c>
      <c r="H133" s="256" t="s">
        <v>283</v>
      </c>
      <c r="I133" s="256" t="s">
        <v>17</v>
      </c>
      <c r="J133" s="256" t="s">
        <v>15</v>
      </c>
      <c r="K133" s="256" t="s">
        <v>330</v>
      </c>
      <c r="L133" s="256" t="s">
        <v>283</v>
      </c>
      <c r="M133" s="256" t="s">
        <v>283</v>
      </c>
      <c r="N133" s="256" t="s">
        <v>283</v>
      </c>
      <c r="O133" s="257" t="s">
        <v>18</v>
      </c>
      <c r="P133" s="257" t="s">
        <v>18</v>
      </c>
      <c r="Q133" s="257" t="s">
        <v>15</v>
      </c>
      <c r="R133" s="257" t="s">
        <v>15</v>
      </c>
      <c r="S133" s="257" t="s">
        <v>16</v>
      </c>
      <c r="T133" s="257" t="s">
        <v>284</v>
      </c>
      <c r="U133" s="257" t="s">
        <v>250</v>
      </c>
      <c r="V133" s="257" t="s">
        <v>283</v>
      </c>
      <c r="W133" s="258" t="s">
        <v>283</v>
      </c>
      <c r="X133" s="258" t="s">
        <v>283</v>
      </c>
      <c r="Y133" s="259" t="s">
        <v>283</v>
      </c>
    </row>
    <row r="134" spans="1:25">
      <c r="A134" s="253">
        <v>3</v>
      </c>
      <c r="B134" s="254" t="str">
        <f>VLOOKUP(Tabel10[[#This Row],[Code]],Ruimtegroepen[[Code]:[Ruimte omschrijving]],2,FALSE)</f>
        <v>Reproruimte</v>
      </c>
      <c r="C134" s="255" t="s">
        <v>390</v>
      </c>
      <c r="D134" s="254" t="s">
        <v>12</v>
      </c>
      <c r="E134" s="255" t="s">
        <v>99</v>
      </c>
      <c r="F134" s="255" t="s">
        <v>392</v>
      </c>
      <c r="G134" s="256" t="s">
        <v>17</v>
      </c>
      <c r="H134" s="256" t="s">
        <v>15</v>
      </c>
      <c r="I134" s="256" t="s">
        <v>283</v>
      </c>
      <c r="J134" s="256" t="s">
        <v>283</v>
      </c>
      <c r="K134" s="256" t="s">
        <v>283</v>
      </c>
      <c r="L134" s="256" t="s">
        <v>283</v>
      </c>
      <c r="M134" s="256" t="s">
        <v>283</v>
      </c>
      <c r="N134" s="256" t="s">
        <v>283</v>
      </c>
      <c r="O134" s="257" t="s">
        <v>283</v>
      </c>
      <c r="P134" s="257" t="s">
        <v>283</v>
      </c>
      <c r="Q134" s="257" t="s">
        <v>283</v>
      </c>
      <c r="R134" s="257" t="s">
        <v>283</v>
      </c>
      <c r="S134" s="257" t="s">
        <v>283</v>
      </c>
      <c r="T134" s="257" t="s">
        <v>283</v>
      </c>
      <c r="U134" s="257" t="s">
        <v>283</v>
      </c>
      <c r="V134" s="257" t="s">
        <v>283</v>
      </c>
      <c r="W134" s="258" t="s">
        <v>283</v>
      </c>
      <c r="X134" s="258" t="s">
        <v>283</v>
      </c>
      <c r="Y134" s="259" t="s">
        <v>283</v>
      </c>
    </row>
    <row r="135" spans="1:25">
      <c r="A135" s="253">
        <v>3</v>
      </c>
      <c r="B135" s="254" t="str">
        <f>VLOOKUP(Tabel10[[#This Row],[Code]],Ruimtegroepen[[Code]:[Ruimte omschrijving]],2,FALSE)</f>
        <v>Reproruimte</v>
      </c>
      <c r="C135" s="255" t="s">
        <v>390</v>
      </c>
      <c r="D135" s="254" t="s">
        <v>12</v>
      </c>
      <c r="E135" s="255" t="s">
        <v>1312</v>
      </c>
      <c r="F135" s="255" t="s">
        <v>1343</v>
      </c>
      <c r="G135" s="260" t="s">
        <v>283</v>
      </c>
      <c r="H135" s="256" t="s">
        <v>283</v>
      </c>
      <c r="I135" s="256" t="s">
        <v>17</v>
      </c>
      <c r="J135" s="256" t="s">
        <v>15</v>
      </c>
      <c r="K135" s="256" t="s">
        <v>330</v>
      </c>
      <c r="L135" s="256" t="s">
        <v>283</v>
      </c>
      <c r="M135" s="256" t="s">
        <v>283</v>
      </c>
      <c r="N135" s="256" t="s">
        <v>283</v>
      </c>
      <c r="O135" s="257" t="s">
        <v>18</v>
      </c>
      <c r="P135" s="257" t="s">
        <v>18</v>
      </c>
      <c r="Q135" s="257" t="s">
        <v>15</v>
      </c>
      <c r="R135" s="257" t="s">
        <v>15</v>
      </c>
      <c r="S135" s="257" t="s">
        <v>16</v>
      </c>
      <c r="T135" s="257" t="s">
        <v>284</v>
      </c>
      <c r="U135" s="257" t="s">
        <v>250</v>
      </c>
      <c r="V135" s="257" t="s">
        <v>283</v>
      </c>
      <c r="W135" s="258" t="s">
        <v>283</v>
      </c>
      <c r="X135" s="258" t="s">
        <v>283</v>
      </c>
      <c r="Y135" s="259" t="s">
        <v>283</v>
      </c>
    </row>
    <row r="136" spans="1:25">
      <c r="A136" s="253">
        <v>3</v>
      </c>
      <c r="B136" s="254" t="str">
        <f>VLOOKUP(Tabel10[[#This Row],[Code]],Ruimtegroepen[[Code]:[Ruimte omschrijving]],2,FALSE)</f>
        <v>Reproruimte</v>
      </c>
      <c r="C136" s="255" t="s">
        <v>395</v>
      </c>
      <c r="D136" s="254" t="s">
        <v>14</v>
      </c>
      <c r="E136" s="255" t="s">
        <v>100</v>
      </c>
      <c r="F136" s="255" t="s">
        <v>396</v>
      </c>
      <c r="G136" s="260" t="s">
        <v>283</v>
      </c>
      <c r="H136" s="256" t="s">
        <v>283</v>
      </c>
      <c r="I136" s="256" t="s">
        <v>15</v>
      </c>
      <c r="J136" s="256" t="s">
        <v>15</v>
      </c>
      <c r="K136" s="256" t="s">
        <v>283</v>
      </c>
      <c r="L136" s="256" t="s">
        <v>283</v>
      </c>
      <c r="M136" s="256" t="s">
        <v>283</v>
      </c>
      <c r="N136" s="256" t="s">
        <v>283</v>
      </c>
      <c r="O136" s="257" t="s">
        <v>17</v>
      </c>
      <c r="P136" s="257" t="s">
        <v>17</v>
      </c>
      <c r="Q136" s="257" t="s">
        <v>15</v>
      </c>
      <c r="R136" s="257" t="s">
        <v>15</v>
      </c>
      <c r="S136" s="257" t="s">
        <v>16</v>
      </c>
      <c r="T136" s="257" t="s">
        <v>284</v>
      </c>
      <c r="U136" s="257" t="s">
        <v>250</v>
      </c>
      <c r="V136" s="257" t="s">
        <v>283</v>
      </c>
      <c r="W136" s="258" t="s">
        <v>283</v>
      </c>
      <c r="X136" s="258" t="s">
        <v>283</v>
      </c>
      <c r="Y136" s="259" t="s">
        <v>283</v>
      </c>
    </row>
    <row r="137" spans="1:25">
      <c r="A137" s="253">
        <v>3</v>
      </c>
      <c r="B137" s="254" t="str">
        <f>VLOOKUP(Tabel10[[#This Row],[Code]],Ruimtegroepen[[Code]:[Ruimte omschrijving]],2,FALSE)</f>
        <v>Reproruimte</v>
      </c>
      <c r="C137" s="255" t="s">
        <v>395</v>
      </c>
      <c r="D137" s="254" t="s">
        <v>14</v>
      </c>
      <c r="E137" s="255" t="s">
        <v>99</v>
      </c>
      <c r="F137" s="255" t="s">
        <v>397</v>
      </c>
      <c r="G137" s="256" t="s">
        <v>15</v>
      </c>
      <c r="H137" s="256" t="s">
        <v>15</v>
      </c>
      <c r="I137" s="256" t="s">
        <v>283</v>
      </c>
      <c r="J137" s="256" t="s">
        <v>283</v>
      </c>
      <c r="K137" s="256" t="s">
        <v>283</v>
      </c>
      <c r="L137" s="256" t="s">
        <v>283</v>
      </c>
      <c r="M137" s="256" t="s">
        <v>283</v>
      </c>
      <c r="N137" s="256" t="s">
        <v>283</v>
      </c>
      <c r="O137" s="257" t="s">
        <v>17</v>
      </c>
      <c r="P137" s="257" t="s">
        <v>17</v>
      </c>
      <c r="Q137" s="257" t="s">
        <v>15</v>
      </c>
      <c r="R137" s="257" t="s">
        <v>15</v>
      </c>
      <c r="S137" s="257" t="s">
        <v>16</v>
      </c>
      <c r="T137" s="257" t="s">
        <v>284</v>
      </c>
      <c r="U137" s="257" t="s">
        <v>250</v>
      </c>
      <c r="V137" s="257" t="s">
        <v>283</v>
      </c>
      <c r="W137" s="258" t="s">
        <v>283</v>
      </c>
      <c r="X137" s="258" t="s">
        <v>283</v>
      </c>
      <c r="Y137" s="259" t="s">
        <v>283</v>
      </c>
    </row>
    <row r="138" spans="1:25">
      <c r="A138" s="253">
        <v>3</v>
      </c>
      <c r="B138" s="254" t="str">
        <f>VLOOKUP(Tabel10[[#This Row],[Code]],Ruimtegroepen[[Code]:[Ruimte omschrijving]],2,FALSE)</f>
        <v>Reproruimte</v>
      </c>
      <c r="C138" s="255" t="s">
        <v>395</v>
      </c>
      <c r="D138" s="254" t="s">
        <v>14</v>
      </c>
      <c r="E138" s="255" t="s">
        <v>101</v>
      </c>
      <c r="F138" s="255" t="s">
        <v>398</v>
      </c>
      <c r="G138" s="260" t="s">
        <v>283</v>
      </c>
      <c r="H138" s="256" t="s">
        <v>283</v>
      </c>
      <c r="I138" s="256" t="s">
        <v>15</v>
      </c>
      <c r="J138" s="256" t="s">
        <v>15</v>
      </c>
      <c r="K138" s="256" t="s">
        <v>330</v>
      </c>
      <c r="L138" s="256" t="s">
        <v>283</v>
      </c>
      <c r="M138" s="256" t="s">
        <v>283</v>
      </c>
      <c r="N138" s="256" t="s">
        <v>283</v>
      </c>
      <c r="O138" s="257" t="s">
        <v>17</v>
      </c>
      <c r="P138" s="257" t="s">
        <v>17</v>
      </c>
      <c r="Q138" s="257" t="s">
        <v>15</v>
      </c>
      <c r="R138" s="257" t="s">
        <v>15</v>
      </c>
      <c r="S138" s="257" t="s">
        <v>16</v>
      </c>
      <c r="T138" s="257" t="s">
        <v>284</v>
      </c>
      <c r="U138" s="257" t="s">
        <v>250</v>
      </c>
      <c r="V138" s="257" t="s">
        <v>283</v>
      </c>
      <c r="W138" s="258" t="s">
        <v>283</v>
      </c>
      <c r="X138" s="258" t="s">
        <v>283</v>
      </c>
      <c r="Y138" s="259" t="s">
        <v>283</v>
      </c>
    </row>
    <row r="139" spans="1:25">
      <c r="A139" s="253">
        <v>3</v>
      </c>
      <c r="B139" s="254" t="str">
        <f>VLOOKUP(Tabel10[[#This Row],[Code]],Ruimtegroepen[[Code]:[Ruimte omschrijving]],2,FALSE)</f>
        <v>Reproruimte</v>
      </c>
      <c r="C139" s="255" t="s">
        <v>395</v>
      </c>
      <c r="D139" s="254" t="s">
        <v>14</v>
      </c>
      <c r="E139" s="255" t="s">
        <v>102</v>
      </c>
      <c r="F139" s="255" t="s">
        <v>399</v>
      </c>
      <c r="G139" s="260" t="s">
        <v>283</v>
      </c>
      <c r="H139" s="256" t="s">
        <v>283</v>
      </c>
      <c r="I139" s="256" t="s">
        <v>15</v>
      </c>
      <c r="J139" s="256" t="s">
        <v>15</v>
      </c>
      <c r="K139" s="256" t="s">
        <v>330</v>
      </c>
      <c r="L139" s="256" t="s">
        <v>283</v>
      </c>
      <c r="M139" s="256" t="s">
        <v>283</v>
      </c>
      <c r="N139" s="256" t="s">
        <v>283</v>
      </c>
      <c r="O139" s="257" t="s">
        <v>17</v>
      </c>
      <c r="P139" s="257" t="s">
        <v>17</v>
      </c>
      <c r="Q139" s="257" t="s">
        <v>15</v>
      </c>
      <c r="R139" s="257" t="s">
        <v>15</v>
      </c>
      <c r="S139" s="257" t="s">
        <v>16</v>
      </c>
      <c r="T139" s="257" t="s">
        <v>284</v>
      </c>
      <c r="U139" s="257" t="s">
        <v>250</v>
      </c>
      <c r="V139" s="257" t="s">
        <v>283</v>
      </c>
      <c r="W139" s="258" t="s">
        <v>283</v>
      </c>
      <c r="X139" s="258" t="s">
        <v>283</v>
      </c>
      <c r="Y139" s="259" t="s">
        <v>283</v>
      </c>
    </row>
    <row r="140" spans="1:25">
      <c r="A140" s="253">
        <v>3</v>
      </c>
      <c r="B140" s="254" t="str">
        <f>VLOOKUP(Tabel10[[#This Row],[Code]],Ruimtegroepen[[Code]:[Ruimte omschrijving]],2,FALSE)</f>
        <v>Reproruimte</v>
      </c>
      <c r="C140" s="255" t="s">
        <v>395</v>
      </c>
      <c r="D140" s="254" t="s">
        <v>14</v>
      </c>
      <c r="E140" s="255" t="s">
        <v>99</v>
      </c>
      <c r="F140" s="255" t="s">
        <v>397</v>
      </c>
      <c r="G140" s="256" t="s">
        <v>15</v>
      </c>
      <c r="H140" s="256" t="s">
        <v>15</v>
      </c>
      <c r="I140" s="256" t="s">
        <v>283</v>
      </c>
      <c r="J140" s="256" t="s">
        <v>283</v>
      </c>
      <c r="K140" s="256" t="s">
        <v>283</v>
      </c>
      <c r="L140" s="256" t="s">
        <v>283</v>
      </c>
      <c r="M140" s="256" t="s">
        <v>283</v>
      </c>
      <c r="N140" s="256" t="s">
        <v>283</v>
      </c>
      <c r="O140" s="257" t="s">
        <v>283</v>
      </c>
      <c r="P140" s="257" t="s">
        <v>283</v>
      </c>
      <c r="Q140" s="257" t="s">
        <v>283</v>
      </c>
      <c r="R140" s="257" t="s">
        <v>283</v>
      </c>
      <c r="S140" s="257" t="s">
        <v>283</v>
      </c>
      <c r="T140" s="257" t="s">
        <v>283</v>
      </c>
      <c r="U140" s="257" t="s">
        <v>283</v>
      </c>
      <c r="V140" s="257" t="s">
        <v>283</v>
      </c>
      <c r="W140" s="258" t="s">
        <v>283</v>
      </c>
      <c r="X140" s="258" t="s">
        <v>283</v>
      </c>
      <c r="Y140" s="259" t="s">
        <v>283</v>
      </c>
    </row>
    <row r="141" spans="1:25">
      <c r="A141" s="253">
        <v>3</v>
      </c>
      <c r="B141" s="254" t="str">
        <f>VLOOKUP(Tabel10[[#This Row],[Code]],Ruimtegroepen[[Code]:[Ruimte omschrijving]],2,FALSE)</f>
        <v>Reproruimte</v>
      </c>
      <c r="C141" s="255" t="s">
        <v>395</v>
      </c>
      <c r="D141" s="254" t="s">
        <v>14</v>
      </c>
      <c r="E141" s="255" t="s">
        <v>1312</v>
      </c>
      <c r="F141" s="255" t="s">
        <v>1344</v>
      </c>
      <c r="G141" s="260" t="s">
        <v>283</v>
      </c>
      <c r="H141" s="256" t="s">
        <v>283</v>
      </c>
      <c r="I141" s="256" t="s">
        <v>15</v>
      </c>
      <c r="J141" s="256" t="s">
        <v>15</v>
      </c>
      <c r="K141" s="256" t="s">
        <v>330</v>
      </c>
      <c r="L141" s="256" t="s">
        <v>283</v>
      </c>
      <c r="M141" s="256" t="s">
        <v>283</v>
      </c>
      <c r="N141" s="256" t="s">
        <v>283</v>
      </c>
      <c r="O141" s="257" t="s">
        <v>17</v>
      </c>
      <c r="P141" s="257" t="s">
        <v>17</v>
      </c>
      <c r="Q141" s="257" t="s">
        <v>15</v>
      </c>
      <c r="R141" s="257" t="s">
        <v>15</v>
      </c>
      <c r="S141" s="257" t="s">
        <v>16</v>
      </c>
      <c r="T141" s="257" t="s">
        <v>284</v>
      </c>
      <c r="U141" s="257" t="s">
        <v>250</v>
      </c>
      <c r="V141" s="257" t="s">
        <v>283</v>
      </c>
      <c r="W141" s="258" t="s">
        <v>283</v>
      </c>
      <c r="X141" s="258" t="s">
        <v>283</v>
      </c>
      <c r="Y141" s="259" t="s">
        <v>283</v>
      </c>
    </row>
    <row r="142" spans="1:25">
      <c r="A142" s="253">
        <v>3</v>
      </c>
      <c r="B142" s="254" t="str">
        <f>VLOOKUP(Tabel10[[#This Row],[Code]],Ruimtegroepen[[Code]:[Ruimte omschrijving]],2,FALSE)</f>
        <v>Reproruimte</v>
      </c>
      <c r="C142" s="255" t="s">
        <v>400</v>
      </c>
      <c r="D142" s="254" t="s">
        <v>13</v>
      </c>
      <c r="E142" s="255" t="s">
        <v>100</v>
      </c>
      <c r="F142" s="255" t="s">
        <v>401</v>
      </c>
      <c r="G142" s="260" t="s">
        <v>283</v>
      </c>
      <c r="H142" s="256" t="s">
        <v>283</v>
      </c>
      <c r="I142" s="256" t="s">
        <v>283</v>
      </c>
      <c r="J142" s="256" t="s">
        <v>15</v>
      </c>
      <c r="K142" s="256" t="s">
        <v>283</v>
      </c>
      <c r="L142" s="256" t="s">
        <v>283</v>
      </c>
      <c r="M142" s="256" t="s">
        <v>283</v>
      </c>
      <c r="N142" s="256" t="s">
        <v>283</v>
      </c>
      <c r="O142" s="257" t="s">
        <v>15</v>
      </c>
      <c r="P142" s="257" t="s">
        <v>15</v>
      </c>
      <c r="Q142" s="257" t="s">
        <v>15</v>
      </c>
      <c r="R142" s="257" t="s">
        <v>15</v>
      </c>
      <c r="S142" s="257" t="s">
        <v>16</v>
      </c>
      <c r="T142" s="257" t="s">
        <v>284</v>
      </c>
      <c r="U142" s="257" t="s">
        <v>250</v>
      </c>
      <c r="V142" s="257" t="s">
        <v>283</v>
      </c>
      <c r="W142" s="258" t="s">
        <v>283</v>
      </c>
      <c r="X142" s="258" t="s">
        <v>283</v>
      </c>
      <c r="Y142" s="259" t="s">
        <v>283</v>
      </c>
    </row>
    <row r="143" spans="1:25">
      <c r="A143" s="253">
        <v>3</v>
      </c>
      <c r="B143" s="254" t="str">
        <f>VLOOKUP(Tabel10[[#This Row],[Code]],Ruimtegroepen[[Code]:[Ruimte omschrijving]],2,FALSE)</f>
        <v>Reproruimte</v>
      </c>
      <c r="C143" s="255" t="s">
        <v>400</v>
      </c>
      <c r="D143" s="254" t="s">
        <v>13</v>
      </c>
      <c r="E143" s="255" t="s">
        <v>99</v>
      </c>
      <c r="F143" s="255" t="s">
        <v>402</v>
      </c>
      <c r="G143" s="260" t="s">
        <v>283</v>
      </c>
      <c r="H143" s="256" t="s">
        <v>15</v>
      </c>
      <c r="I143" s="256" t="s">
        <v>283</v>
      </c>
      <c r="J143" s="256" t="s">
        <v>283</v>
      </c>
      <c r="K143" s="256" t="s">
        <v>283</v>
      </c>
      <c r="L143" s="256" t="s">
        <v>283</v>
      </c>
      <c r="M143" s="256" t="s">
        <v>283</v>
      </c>
      <c r="N143" s="256" t="s">
        <v>283</v>
      </c>
      <c r="O143" s="257" t="s">
        <v>15</v>
      </c>
      <c r="P143" s="257" t="s">
        <v>15</v>
      </c>
      <c r="Q143" s="257" t="s">
        <v>15</v>
      </c>
      <c r="R143" s="257" t="s">
        <v>15</v>
      </c>
      <c r="S143" s="257" t="s">
        <v>16</v>
      </c>
      <c r="T143" s="257" t="s">
        <v>284</v>
      </c>
      <c r="U143" s="257" t="s">
        <v>250</v>
      </c>
      <c r="V143" s="257" t="s">
        <v>283</v>
      </c>
      <c r="W143" s="258" t="s">
        <v>283</v>
      </c>
      <c r="X143" s="258" t="s">
        <v>283</v>
      </c>
      <c r="Y143" s="259" t="s">
        <v>283</v>
      </c>
    </row>
    <row r="144" spans="1:25">
      <c r="A144" s="253">
        <v>3</v>
      </c>
      <c r="B144" s="254" t="str">
        <f>VLOOKUP(Tabel10[[#This Row],[Code]],Ruimtegroepen[[Code]:[Ruimte omschrijving]],2,FALSE)</f>
        <v>Reproruimte</v>
      </c>
      <c r="C144" s="255" t="s">
        <v>400</v>
      </c>
      <c r="D144" s="254" t="s">
        <v>13</v>
      </c>
      <c r="E144" s="255" t="s">
        <v>101</v>
      </c>
      <c r="F144" s="255" t="s">
        <v>403</v>
      </c>
      <c r="G144" s="260" t="s">
        <v>283</v>
      </c>
      <c r="H144" s="256" t="s">
        <v>283</v>
      </c>
      <c r="I144" s="256" t="s">
        <v>283</v>
      </c>
      <c r="J144" s="256" t="s">
        <v>15</v>
      </c>
      <c r="K144" s="256" t="s">
        <v>330</v>
      </c>
      <c r="L144" s="256" t="s">
        <v>283</v>
      </c>
      <c r="M144" s="256" t="s">
        <v>283</v>
      </c>
      <c r="N144" s="256" t="s">
        <v>283</v>
      </c>
      <c r="O144" s="257" t="s">
        <v>15</v>
      </c>
      <c r="P144" s="257" t="s">
        <v>15</v>
      </c>
      <c r="Q144" s="257" t="s">
        <v>15</v>
      </c>
      <c r="R144" s="257" t="s">
        <v>15</v>
      </c>
      <c r="S144" s="257" t="s">
        <v>16</v>
      </c>
      <c r="T144" s="257" t="s">
        <v>284</v>
      </c>
      <c r="U144" s="257" t="s">
        <v>250</v>
      </c>
      <c r="V144" s="257" t="s">
        <v>283</v>
      </c>
      <c r="W144" s="258" t="s">
        <v>283</v>
      </c>
      <c r="X144" s="258" t="s">
        <v>283</v>
      </c>
      <c r="Y144" s="259" t="s">
        <v>283</v>
      </c>
    </row>
    <row r="145" spans="1:25">
      <c r="A145" s="253">
        <v>3</v>
      </c>
      <c r="B145" s="254" t="str">
        <f>VLOOKUP(Tabel10[[#This Row],[Code]],Ruimtegroepen[[Code]:[Ruimte omschrijving]],2,FALSE)</f>
        <v>Reproruimte</v>
      </c>
      <c r="C145" s="255" t="s">
        <v>400</v>
      </c>
      <c r="D145" s="254" t="s">
        <v>13</v>
      </c>
      <c r="E145" s="255" t="s">
        <v>102</v>
      </c>
      <c r="F145" s="255" t="s">
        <v>404</v>
      </c>
      <c r="G145" s="260" t="s">
        <v>283</v>
      </c>
      <c r="H145" s="256" t="s">
        <v>283</v>
      </c>
      <c r="I145" s="256" t="s">
        <v>283</v>
      </c>
      <c r="J145" s="256" t="s">
        <v>15</v>
      </c>
      <c r="K145" s="256" t="s">
        <v>330</v>
      </c>
      <c r="L145" s="256" t="s">
        <v>283</v>
      </c>
      <c r="M145" s="256" t="s">
        <v>283</v>
      </c>
      <c r="N145" s="256" t="s">
        <v>283</v>
      </c>
      <c r="O145" s="257" t="s">
        <v>15</v>
      </c>
      <c r="P145" s="257" t="s">
        <v>15</v>
      </c>
      <c r="Q145" s="257" t="s">
        <v>15</v>
      </c>
      <c r="R145" s="257" t="s">
        <v>15</v>
      </c>
      <c r="S145" s="257" t="s">
        <v>16</v>
      </c>
      <c r="T145" s="257" t="s">
        <v>284</v>
      </c>
      <c r="U145" s="257" t="s">
        <v>250</v>
      </c>
      <c r="V145" s="257" t="s">
        <v>283</v>
      </c>
      <c r="W145" s="258" t="s">
        <v>283</v>
      </c>
      <c r="X145" s="258" t="s">
        <v>283</v>
      </c>
      <c r="Y145" s="259" t="s">
        <v>283</v>
      </c>
    </row>
    <row r="146" spans="1:25">
      <c r="A146" s="253">
        <v>3</v>
      </c>
      <c r="B146" s="254" t="str">
        <f>VLOOKUP(Tabel10[[#This Row],[Code]],Ruimtegroepen[[Code]:[Ruimte omschrijving]],2,FALSE)</f>
        <v>Reproruimte</v>
      </c>
      <c r="C146" s="255" t="s">
        <v>400</v>
      </c>
      <c r="D146" s="254" t="s">
        <v>13</v>
      </c>
      <c r="E146" s="255" t="s">
        <v>99</v>
      </c>
      <c r="F146" s="255" t="s">
        <v>402</v>
      </c>
      <c r="G146" s="260" t="s">
        <v>283</v>
      </c>
      <c r="H146" s="256" t="s">
        <v>15</v>
      </c>
      <c r="I146" s="256" t="s">
        <v>283</v>
      </c>
      <c r="J146" s="256" t="s">
        <v>283</v>
      </c>
      <c r="K146" s="256" t="s">
        <v>283</v>
      </c>
      <c r="L146" s="256" t="s">
        <v>283</v>
      </c>
      <c r="M146" s="256" t="s">
        <v>283</v>
      </c>
      <c r="N146" s="256" t="s">
        <v>283</v>
      </c>
      <c r="O146" s="257" t="s">
        <v>283</v>
      </c>
      <c r="P146" s="257" t="s">
        <v>283</v>
      </c>
      <c r="Q146" s="257" t="s">
        <v>283</v>
      </c>
      <c r="R146" s="257" t="s">
        <v>283</v>
      </c>
      <c r="S146" s="257" t="s">
        <v>283</v>
      </c>
      <c r="T146" s="257" t="s">
        <v>283</v>
      </c>
      <c r="U146" s="257" t="s">
        <v>283</v>
      </c>
      <c r="V146" s="257" t="s">
        <v>283</v>
      </c>
      <c r="W146" s="258" t="s">
        <v>283</v>
      </c>
      <c r="X146" s="258" t="s">
        <v>283</v>
      </c>
      <c r="Y146" s="259" t="s">
        <v>283</v>
      </c>
    </row>
    <row r="147" spans="1:25">
      <c r="A147" s="253">
        <v>3</v>
      </c>
      <c r="B147" s="254" t="str">
        <f>VLOOKUP(Tabel10[[#This Row],[Code]],Ruimtegroepen[[Code]:[Ruimte omschrijving]],2,FALSE)</f>
        <v>Reproruimte</v>
      </c>
      <c r="C147" s="255" t="s">
        <v>400</v>
      </c>
      <c r="D147" s="254" t="s">
        <v>13</v>
      </c>
      <c r="E147" s="255" t="s">
        <v>1312</v>
      </c>
      <c r="F147" s="255" t="s">
        <v>1345</v>
      </c>
      <c r="G147" s="260" t="s">
        <v>283</v>
      </c>
      <c r="H147" s="256" t="s">
        <v>283</v>
      </c>
      <c r="I147" s="256" t="s">
        <v>283</v>
      </c>
      <c r="J147" s="256" t="s">
        <v>15</v>
      </c>
      <c r="K147" s="256" t="s">
        <v>330</v>
      </c>
      <c r="L147" s="256" t="s">
        <v>283</v>
      </c>
      <c r="M147" s="256" t="s">
        <v>283</v>
      </c>
      <c r="N147" s="256" t="s">
        <v>283</v>
      </c>
      <c r="O147" s="257" t="s">
        <v>15</v>
      </c>
      <c r="P147" s="257" t="s">
        <v>15</v>
      </c>
      <c r="Q147" s="257" t="s">
        <v>15</v>
      </c>
      <c r="R147" s="257" t="s">
        <v>15</v>
      </c>
      <c r="S147" s="257" t="s">
        <v>16</v>
      </c>
      <c r="T147" s="257" t="s">
        <v>284</v>
      </c>
      <c r="U147" s="257" t="s">
        <v>250</v>
      </c>
      <c r="V147" s="257" t="s">
        <v>283</v>
      </c>
      <c r="W147" s="258" t="s">
        <v>283</v>
      </c>
      <c r="X147" s="258" t="s">
        <v>283</v>
      </c>
      <c r="Y147" s="259" t="s">
        <v>283</v>
      </c>
    </row>
    <row r="148" spans="1:25">
      <c r="A148" s="253">
        <v>3</v>
      </c>
      <c r="B148" s="254" t="str">
        <f>VLOOKUP(Tabel10[[#This Row],[Code]],Ruimtegroepen[[Code]:[Ruimte omschrijving]],2,FALSE)</f>
        <v>Reproruimte</v>
      </c>
      <c r="C148" s="255" t="s">
        <v>405</v>
      </c>
      <c r="D148" s="254" t="s">
        <v>0</v>
      </c>
      <c r="E148" s="255" t="s">
        <v>100</v>
      </c>
      <c r="F148" s="255" t="s">
        <v>406</v>
      </c>
      <c r="G148" s="260" t="s">
        <v>283</v>
      </c>
      <c r="H148" s="256" t="s">
        <v>283</v>
      </c>
      <c r="I148" s="256" t="s">
        <v>16</v>
      </c>
      <c r="J148" s="256" t="s">
        <v>283</v>
      </c>
      <c r="K148" s="256" t="s">
        <v>283</v>
      </c>
      <c r="L148" s="256" t="s">
        <v>283</v>
      </c>
      <c r="M148" s="256" t="s">
        <v>283</v>
      </c>
      <c r="N148" s="256" t="s">
        <v>283</v>
      </c>
      <c r="O148" s="257" t="s">
        <v>16</v>
      </c>
      <c r="P148" s="257" t="s">
        <v>16</v>
      </c>
      <c r="Q148" s="257" t="s">
        <v>16</v>
      </c>
      <c r="R148" s="257" t="s">
        <v>16</v>
      </c>
      <c r="S148" s="257" t="s">
        <v>16</v>
      </c>
      <c r="T148" s="257" t="s">
        <v>284</v>
      </c>
      <c r="U148" s="257" t="s">
        <v>250</v>
      </c>
      <c r="V148" s="257" t="s">
        <v>283</v>
      </c>
      <c r="W148" s="258" t="s">
        <v>283</v>
      </c>
      <c r="X148" s="258" t="s">
        <v>283</v>
      </c>
      <c r="Y148" s="259" t="s">
        <v>283</v>
      </c>
    </row>
    <row r="149" spans="1:25">
      <c r="A149" s="253">
        <v>3</v>
      </c>
      <c r="B149" s="254" t="str">
        <f>VLOOKUP(Tabel10[[#This Row],[Code]],Ruimtegroepen[[Code]:[Ruimte omschrijving]],2,FALSE)</f>
        <v>Reproruimte</v>
      </c>
      <c r="C149" s="255" t="s">
        <v>405</v>
      </c>
      <c r="D149" s="254" t="s">
        <v>0</v>
      </c>
      <c r="E149" s="255" t="s">
        <v>99</v>
      </c>
      <c r="F149" s="255" t="s">
        <v>407</v>
      </c>
      <c r="G149" s="260" t="s">
        <v>283</v>
      </c>
      <c r="H149" s="256" t="s">
        <v>16</v>
      </c>
      <c r="I149" s="256" t="s">
        <v>283</v>
      </c>
      <c r="J149" s="256" t="s">
        <v>283</v>
      </c>
      <c r="K149" s="256" t="s">
        <v>283</v>
      </c>
      <c r="L149" s="256" t="s">
        <v>283</v>
      </c>
      <c r="M149" s="256" t="s">
        <v>283</v>
      </c>
      <c r="N149" s="256" t="s">
        <v>283</v>
      </c>
      <c r="O149" s="257" t="s">
        <v>16</v>
      </c>
      <c r="P149" s="257" t="s">
        <v>16</v>
      </c>
      <c r="Q149" s="257" t="s">
        <v>16</v>
      </c>
      <c r="R149" s="257" t="s">
        <v>16</v>
      </c>
      <c r="S149" s="257" t="s">
        <v>16</v>
      </c>
      <c r="T149" s="257" t="s">
        <v>284</v>
      </c>
      <c r="U149" s="257" t="s">
        <v>250</v>
      </c>
      <c r="V149" s="257" t="s">
        <v>283</v>
      </c>
      <c r="W149" s="258" t="s">
        <v>283</v>
      </c>
      <c r="X149" s="258" t="s">
        <v>283</v>
      </c>
      <c r="Y149" s="259" t="s">
        <v>283</v>
      </c>
    </row>
    <row r="150" spans="1:25">
      <c r="A150" s="253">
        <v>3</v>
      </c>
      <c r="B150" s="254" t="str">
        <f>VLOOKUP(Tabel10[[#This Row],[Code]],Ruimtegroepen[[Code]:[Ruimte omschrijving]],2,FALSE)</f>
        <v>Reproruimte</v>
      </c>
      <c r="C150" s="255" t="s">
        <v>405</v>
      </c>
      <c r="D150" s="254" t="s">
        <v>0</v>
      </c>
      <c r="E150" s="255" t="s">
        <v>101</v>
      </c>
      <c r="F150" s="255" t="s">
        <v>408</v>
      </c>
      <c r="G150" s="260" t="s">
        <v>283</v>
      </c>
      <c r="H150" s="256" t="s">
        <v>283</v>
      </c>
      <c r="I150" s="256" t="s">
        <v>283</v>
      </c>
      <c r="J150" s="256" t="s">
        <v>16</v>
      </c>
      <c r="K150" s="256" t="s">
        <v>330</v>
      </c>
      <c r="L150" s="256" t="s">
        <v>283</v>
      </c>
      <c r="M150" s="256" t="s">
        <v>283</v>
      </c>
      <c r="N150" s="256" t="s">
        <v>283</v>
      </c>
      <c r="O150" s="257" t="s">
        <v>16</v>
      </c>
      <c r="P150" s="257" t="s">
        <v>16</v>
      </c>
      <c r="Q150" s="257" t="s">
        <v>16</v>
      </c>
      <c r="R150" s="257" t="s">
        <v>16</v>
      </c>
      <c r="S150" s="257" t="s">
        <v>16</v>
      </c>
      <c r="T150" s="257" t="s">
        <v>284</v>
      </c>
      <c r="U150" s="257" t="s">
        <v>250</v>
      </c>
      <c r="V150" s="257" t="s">
        <v>283</v>
      </c>
      <c r="W150" s="258" t="s">
        <v>283</v>
      </c>
      <c r="X150" s="258" t="s">
        <v>283</v>
      </c>
      <c r="Y150" s="259" t="s">
        <v>283</v>
      </c>
    </row>
    <row r="151" spans="1:25">
      <c r="A151" s="253">
        <v>3</v>
      </c>
      <c r="B151" s="254" t="str">
        <f>VLOOKUP(Tabel10[[#This Row],[Code]],Ruimtegroepen[[Code]:[Ruimte omschrijving]],2,FALSE)</f>
        <v>Reproruimte</v>
      </c>
      <c r="C151" s="255" t="s">
        <v>405</v>
      </c>
      <c r="D151" s="254" t="s">
        <v>0</v>
      </c>
      <c r="E151" s="255" t="s">
        <v>102</v>
      </c>
      <c r="F151" s="255" t="s">
        <v>409</v>
      </c>
      <c r="G151" s="260" t="s">
        <v>283</v>
      </c>
      <c r="H151" s="256" t="s">
        <v>283</v>
      </c>
      <c r="I151" s="256" t="s">
        <v>16</v>
      </c>
      <c r="J151" s="256" t="s">
        <v>283</v>
      </c>
      <c r="K151" s="256" t="s">
        <v>330</v>
      </c>
      <c r="L151" s="256" t="s">
        <v>283</v>
      </c>
      <c r="M151" s="256" t="s">
        <v>283</v>
      </c>
      <c r="N151" s="256" t="s">
        <v>283</v>
      </c>
      <c r="O151" s="257" t="s">
        <v>16</v>
      </c>
      <c r="P151" s="257" t="s">
        <v>16</v>
      </c>
      <c r="Q151" s="257" t="s">
        <v>16</v>
      </c>
      <c r="R151" s="257" t="s">
        <v>16</v>
      </c>
      <c r="S151" s="257" t="s">
        <v>16</v>
      </c>
      <c r="T151" s="257" t="s">
        <v>284</v>
      </c>
      <c r="U151" s="257" t="s">
        <v>250</v>
      </c>
      <c r="V151" s="257" t="s">
        <v>283</v>
      </c>
      <c r="W151" s="258" t="s">
        <v>283</v>
      </c>
      <c r="X151" s="258" t="s">
        <v>283</v>
      </c>
      <c r="Y151" s="259" t="s">
        <v>283</v>
      </c>
    </row>
    <row r="152" spans="1:25">
      <c r="A152" s="253">
        <v>3</v>
      </c>
      <c r="B152" s="254" t="str">
        <f>VLOOKUP(Tabel10[[#This Row],[Code]],Ruimtegroepen[[Code]:[Ruimte omschrijving]],2,FALSE)</f>
        <v>Reproruimte</v>
      </c>
      <c r="C152" s="255" t="s">
        <v>405</v>
      </c>
      <c r="D152" s="254" t="s">
        <v>0</v>
      </c>
      <c r="E152" s="255" t="s">
        <v>99</v>
      </c>
      <c r="F152" s="255" t="s">
        <v>407</v>
      </c>
      <c r="G152" s="260" t="s">
        <v>283</v>
      </c>
      <c r="H152" s="256" t="s">
        <v>16</v>
      </c>
      <c r="I152" s="256" t="s">
        <v>283</v>
      </c>
      <c r="J152" s="256" t="s">
        <v>283</v>
      </c>
      <c r="K152" s="256" t="s">
        <v>283</v>
      </c>
      <c r="L152" s="256" t="s">
        <v>283</v>
      </c>
      <c r="M152" s="256" t="s">
        <v>283</v>
      </c>
      <c r="N152" s="256" t="s">
        <v>283</v>
      </c>
      <c r="O152" s="257" t="s">
        <v>283</v>
      </c>
      <c r="P152" s="257" t="s">
        <v>283</v>
      </c>
      <c r="Q152" s="257" t="s">
        <v>283</v>
      </c>
      <c r="R152" s="257" t="s">
        <v>283</v>
      </c>
      <c r="S152" s="257" t="s">
        <v>283</v>
      </c>
      <c r="T152" s="257" t="s">
        <v>283</v>
      </c>
      <c r="U152" s="257" t="s">
        <v>283</v>
      </c>
      <c r="V152" s="257" t="s">
        <v>283</v>
      </c>
      <c r="W152" s="258" t="s">
        <v>283</v>
      </c>
      <c r="X152" s="258" t="s">
        <v>283</v>
      </c>
      <c r="Y152" s="259" t="s">
        <v>283</v>
      </c>
    </row>
    <row r="153" spans="1:25">
      <c r="A153" s="253">
        <v>3</v>
      </c>
      <c r="B153" s="254" t="str">
        <f>VLOOKUP(Tabel10[[#This Row],[Code]],Ruimtegroepen[[Code]:[Ruimte omschrijving]],2,FALSE)</f>
        <v>Reproruimte</v>
      </c>
      <c r="C153" s="255" t="s">
        <v>405</v>
      </c>
      <c r="D153" s="254" t="s">
        <v>0</v>
      </c>
      <c r="E153" s="255" t="s">
        <v>1312</v>
      </c>
      <c r="F153" s="255" t="s">
        <v>1346</v>
      </c>
      <c r="G153" s="260" t="s">
        <v>283</v>
      </c>
      <c r="H153" s="256" t="s">
        <v>283</v>
      </c>
      <c r="I153" s="256" t="s">
        <v>16</v>
      </c>
      <c r="J153" s="256" t="s">
        <v>283</v>
      </c>
      <c r="K153" s="256" t="s">
        <v>330</v>
      </c>
      <c r="L153" s="256" t="s">
        <v>283</v>
      </c>
      <c r="M153" s="256" t="s">
        <v>283</v>
      </c>
      <c r="N153" s="256" t="s">
        <v>283</v>
      </c>
      <c r="O153" s="257" t="s">
        <v>16</v>
      </c>
      <c r="P153" s="257" t="s">
        <v>16</v>
      </c>
      <c r="Q153" s="257" t="s">
        <v>16</v>
      </c>
      <c r="R153" s="257" t="s">
        <v>16</v>
      </c>
      <c r="S153" s="257" t="s">
        <v>16</v>
      </c>
      <c r="T153" s="257" t="s">
        <v>284</v>
      </c>
      <c r="U153" s="257" t="s">
        <v>250</v>
      </c>
      <c r="V153" s="257" t="s">
        <v>283</v>
      </c>
      <c r="W153" s="258" t="s">
        <v>283</v>
      </c>
      <c r="X153" s="258" t="s">
        <v>283</v>
      </c>
      <c r="Y153" s="259" t="s">
        <v>283</v>
      </c>
    </row>
    <row r="154" spans="1:25">
      <c r="A154" s="253">
        <v>3</v>
      </c>
      <c r="B154" s="254" t="str">
        <f>VLOOKUP(Tabel10[[#This Row],[Code]],Ruimtegroepen[[Code]:[Ruimte omschrijving]],2,FALSE)</f>
        <v>Reproruimte</v>
      </c>
      <c r="C154" s="255" t="s">
        <v>410</v>
      </c>
      <c r="D154" s="254" t="s">
        <v>27</v>
      </c>
      <c r="E154" s="255" t="s">
        <v>100</v>
      </c>
      <c r="F154" s="255" t="s">
        <v>411</v>
      </c>
      <c r="G154" s="260" t="s">
        <v>283</v>
      </c>
      <c r="H154" s="256" t="s">
        <v>283</v>
      </c>
      <c r="I154" s="256" t="s">
        <v>283</v>
      </c>
      <c r="J154" s="256" t="s">
        <v>15</v>
      </c>
      <c r="K154" s="256" t="s">
        <v>283</v>
      </c>
      <c r="L154" s="256" t="s">
        <v>283</v>
      </c>
      <c r="M154" s="256" t="s">
        <v>283</v>
      </c>
      <c r="N154" s="256" t="s">
        <v>283</v>
      </c>
      <c r="O154" s="257" t="s">
        <v>15</v>
      </c>
      <c r="P154" s="257" t="s">
        <v>15</v>
      </c>
      <c r="Q154" s="257" t="s">
        <v>15</v>
      </c>
      <c r="R154" s="257" t="s">
        <v>283</v>
      </c>
      <c r="S154" s="257" t="s">
        <v>283</v>
      </c>
      <c r="T154" s="257" t="s">
        <v>283</v>
      </c>
      <c r="U154" s="257" t="s">
        <v>283</v>
      </c>
      <c r="V154" s="257" t="s">
        <v>283</v>
      </c>
      <c r="W154" s="258" t="s">
        <v>283</v>
      </c>
      <c r="X154" s="258" t="s">
        <v>283</v>
      </c>
      <c r="Y154" s="259" t="s">
        <v>283</v>
      </c>
    </row>
    <row r="155" spans="1:25">
      <c r="A155" s="253">
        <v>3</v>
      </c>
      <c r="B155" s="254" t="str">
        <f>VLOOKUP(Tabel10[[#This Row],[Code]],Ruimtegroepen[[Code]:[Ruimte omschrijving]],2,FALSE)</f>
        <v>Reproruimte</v>
      </c>
      <c r="C155" s="255" t="s">
        <v>410</v>
      </c>
      <c r="D155" s="254" t="s">
        <v>27</v>
      </c>
      <c r="E155" s="255" t="s">
        <v>99</v>
      </c>
      <c r="F155" s="255" t="s">
        <v>412</v>
      </c>
      <c r="G155" s="260" t="s">
        <v>283</v>
      </c>
      <c r="H155" s="256" t="s">
        <v>15</v>
      </c>
      <c r="I155" s="256" t="s">
        <v>283</v>
      </c>
      <c r="J155" s="256" t="s">
        <v>283</v>
      </c>
      <c r="K155" s="256" t="s">
        <v>283</v>
      </c>
      <c r="L155" s="256" t="s">
        <v>283</v>
      </c>
      <c r="M155" s="256" t="s">
        <v>283</v>
      </c>
      <c r="N155" s="256" t="s">
        <v>283</v>
      </c>
      <c r="O155" s="257" t="s">
        <v>15</v>
      </c>
      <c r="P155" s="257" t="s">
        <v>15</v>
      </c>
      <c r="Q155" s="257" t="s">
        <v>15</v>
      </c>
      <c r="R155" s="257" t="s">
        <v>283</v>
      </c>
      <c r="S155" s="257" t="s">
        <v>283</v>
      </c>
      <c r="T155" s="257" t="s">
        <v>283</v>
      </c>
      <c r="U155" s="257" t="s">
        <v>283</v>
      </c>
      <c r="V155" s="257" t="s">
        <v>283</v>
      </c>
      <c r="W155" s="258" t="s">
        <v>283</v>
      </c>
      <c r="X155" s="258" t="s">
        <v>283</v>
      </c>
      <c r="Y155" s="259" t="s">
        <v>283</v>
      </c>
    </row>
    <row r="156" spans="1:25">
      <c r="A156" s="253">
        <v>3</v>
      </c>
      <c r="B156" s="254" t="str">
        <f>VLOOKUP(Tabel10[[#This Row],[Code]],Ruimtegroepen[[Code]:[Ruimte omschrijving]],2,FALSE)</f>
        <v>Reproruimte</v>
      </c>
      <c r="C156" s="255" t="s">
        <v>410</v>
      </c>
      <c r="D156" s="254" t="s">
        <v>27</v>
      </c>
      <c r="E156" s="255" t="s">
        <v>101</v>
      </c>
      <c r="F156" s="255" t="s">
        <v>413</v>
      </c>
      <c r="G156" s="260" t="s">
        <v>283</v>
      </c>
      <c r="H156" s="256" t="s">
        <v>283</v>
      </c>
      <c r="I156" s="256" t="s">
        <v>283</v>
      </c>
      <c r="J156" s="256" t="s">
        <v>15</v>
      </c>
      <c r="K156" s="256" t="s">
        <v>283</v>
      </c>
      <c r="L156" s="256" t="s">
        <v>283</v>
      </c>
      <c r="M156" s="256" t="s">
        <v>283</v>
      </c>
      <c r="N156" s="256" t="s">
        <v>283</v>
      </c>
      <c r="O156" s="257" t="s">
        <v>15</v>
      </c>
      <c r="P156" s="257" t="s">
        <v>15</v>
      </c>
      <c r="Q156" s="257" t="s">
        <v>15</v>
      </c>
      <c r="R156" s="257" t="s">
        <v>283</v>
      </c>
      <c r="S156" s="257" t="s">
        <v>283</v>
      </c>
      <c r="T156" s="257" t="s">
        <v>283</v>
      </c>
      <c r="U156" s="257" t="s">
        <v>283</v>
      </c>
      <c r="V156" s="257" t="s">
        <v>283</v>
      </c>
      <c r="W156" s="258" t="s">
        <v>283</v>
      </c>
      <c r="X156" s="258" t="s">
        <v>283</v>
      </c>
      <c r="Y156" s="259" t="s">
        <v>283</v>
      </c>
    </row>
    <row r="157" spans="1:25">
      <c r="A157" s="253">
        <v>3</v>
      </c>
      <c r="B157" s="254" t="str">
        <f>VLOOKUP(Tabel10[[#This Row],[Code]],Ruimtegroepen[[Code]:[Ruimte omschrijving]],2,FALSE)</f>
        <v>Reproruimte</v>
      </c>
      <c r="C157" s="255" t="s">
        <v>410</v>
      </c>
      <c r="D157" s="254" t="s">
        <v>27</v>
      </c>
      <c r="E157" s="255" t="s">
        <v>102</v>
      </c>
      <c r="F157" s="255" t="s">
        <v>414</v>
      </c>
      <c r="G157" s="260" t="s">
        <v>283</v>
      </c>
      <c r="H157" s="256" t="s">
        <v>283</v>
      </c>
      <c r="I157" s="256" t="s">
        <v>283</v>
      </c>
      <c r="J157" s="256" t="s">
        <v>15</v>
      </c>
      <c r="K157" s="256" t="s">
        <v>283</v>
      </c>
      <c r="L157" s="256" t="s">
        <v>283</v>
      </c>
      <c r="M157" s="256" t="s">
        <v>283</v>
      </c>
      <c r="N157" s="256" t="s">
        <v>283</v>
      </c>
      <c r="O157" s="257" t="s">
        <v>15</v>
      </c>
      <c r="P157" s="257" t="s">
        <v>15</v>
      </c>
      <c r="Q157" s="257" t="s">
        <v>15</v>
      </c>
      <c r="R157" s="257" t="s">
        <v>283</v>
      </c>
      <c r="S157" s="257" t="s">
        <v>283</v>
      </c>
      <c r="T157" s="257" t="s">
        <v>283</v>
      </c>
      <c r="U157" s="257" t="s">
        <v>283</v>
      </c>
      <c r="V157" s="257" t="s">
        <v>283</v>
      </c>
      <c r="W157" s="258" t="s">
        <v>283</v>
      </c>
      <c r="X157" s="258" t="s">
        <v>283</v>
      </c>
      <c r="Y157" s="259" t="s">
        <v>283</v>
      </c>
    </row>
    <row r="158" spans="1:25">
      <c r="A158" s="253">
        <v>3</v>
      </c>
      <c r="B158" s="254" t="str">
        <f>VLOOKUP(Tabel10[[#This Row],[Code]],Ruimtegroepen[[Code]:[Ruimte omschrijving]],2,FALSE)</f>
        <v>Reproruimte</v>
      </c>
      <c r="C158" s="255" t="s">
        <v>410</v>
      </c>
      <c r="D158" s="254" t="s">
        <v>27</v>
      </c>
      <c r="E158" s="255" t="s">
        <v>99</v>
      </c>
      <c r="F158" s="255" t="s">
        <v>412</v>
      </c>
      <c r="G158" s="260" t="s">
        <v>283</v>
      </c>
      <c r="H158" s="256" t="s">
        <v>15</v>
      </c>
      <c r="I158" s="256" t="s">
        <v>283</v>
      </c>
      <c r="J158" s="256" t="s">
        <v>283</v>
      </c>
      <c r="K158" s="256" t="s">
        <v>283</v>
      </c>
      <c r="L158" s="256" t="s">
        <v>283</v>
      </c>
      <c r="M158" s="256" t="s">
        <v>283</v>
      </c>
      <c r="N158" s="256" t="s">
        <v>283</v>
      </c>
      <c r="O158" s="257" t="s">
        <v>15</v>
      </c>
      <c r="P158" s="257" t="s">
        <v>15</v>
      </c>
      <c r="Q158" s="257" t="s">
        <v>15</v>
      </c>
      <c r="R158" s="257" t="s">
        <v>283</v>
      </c>
      <c r="S158" s="257" t="s">
        <v>283</v>
      </c>
      <c r="T158" s="257" t="s">
        <v>283</v>
      </c>
      <c r="U158" s="257" t="s">
        <v>283</v>
      </c>
      <c r="V158" s="257" t="s">
        <v>283</v>
      </c>
      <c r="W158" s="258" t="s">
        <v>283</v>
      </c>
      <c r="X158" s="258" t="s">
        <v>283</v>
      </c>
      <c r="Y158" s="259" t="s">
        <v>283</v>
      </c>
    </row>
    <row r="159" spans="1:25">
      <c r="A159" s="253">
        <v>3</v>
      </c>
      <c r="B159" s="254" t="str">
        <f>VLOOKUP(Tabel10[[#This Row],[Code]],Ruimtegroepen[[Code]:[Ruimte omschrijving]],2,FALSE)</f>
        <v>Reproruimte</v>
      </c>
      <c r="C159" s="255" t="s">
        <v>410</v>
      </c>
      <c r="D159" s="254" t="s">
        <v>27</v>
      </c>
      <c r="E159" s="255" t="s">
        <v>1312</v>
      </c>
      <c r="F159" s="255" t="s">
        <v>1379</v>
      </c>
      <c r="G159" s="260" t="s">
        <v>283</v>
      </c>
      <c r="H159" s="256" t="s">
        <v>283</v>
      </c>
      <c r="I159" s="256" t="s">
        <v>283</v>
      </c>
      <c r="J159" s="256" t="s">
        <v>15</v>
      </c>
      <c r="K159" s="256" t="s">
        <v>283</v>
      </c>
      <c r="L159" s="256" t="s">
        <v>283</v>
      </c>
      <c r="M159" s="256" t="s">
        <v>283</v>
      </c>
      <c r="N159" s="256" t="s">
        <v>283</v>
      </c>
      <c r="O159" s="257" t="s">
        <v>15</v>
      </c>
      <c r="P159" s="257" t="s">
        <v>15</v>
      </c>
      <c r="Q159" s="257" t="s">
        <v>15</v>
      </c>
      <c r="R159" s="257" t="s">
        <v>283</v>
      </c>
      <c r="S159" s="257" t="s">
        <v>283</v>
      </c>
      <c r="T159" s="257" t="s">
        <v>283</v>
      </c>
      <c r="U159" s="257" t="s">
        <v>283</v>
      </c>
      <c r="V159" s="257" t="s">
        <v>283</v>
      </c>
      <c r="W159" s="258" t="s">
        <v>283</v>
      </c>
      <c r="X159" s="258" t="s">
        <v>283</v>
      </c>
      <c r="Y159" s="259" t="s">
        <v>283</v>
      </c>
    </row>
    <row r="160" spans="1:25">
      <c r="A160" s="253">
        <v>3</v>
      </c>
      <c r="B160" s="254" t="str">
        <f>VLOOKUP(Tabel10[[#This Row],[Code]],Ruimtegroepen[[Code]:[Ruimte omschrijving]],2,FALSE)</f>
        <v>Reproruimte</v>
      </c>
      <c r="C160" s="255" t="s">
        <v>415</v>
      </c>
      <c r="D160" s="254" t="s">
        <v>28</v>
      </c>
      <c r="E160" s="255" t="s">
        <v>100</v>
      </c>
      <c r="F160" s="255" t="s">
        <v>416</v>
      </c>
      <c r="G160" s="260" t="s">
        <v>283</v>
      </c>
      <c r="H160" s="256" t="s">
        <v>283</v>
      </c>
      <c r="I160" s="256" t="s">
        <v>17</v>
      </c>
      <c r="J160" s="256" t="s">
        <v>283</v>
      </c>
      <c r="K160" s="256" t="s">
        <v>283</v>
      </c>
      <c r="L160" s="256" t="s">
        <v>283</v>
      </c>
      <c r="M160" s="256" t="s">
        <v>283</v>
      </c>
      <c r="N160" s="256" t="s">
        <v>283</v>
      </c>
      <c r="O160" s="257" t="s">
        <v>17</v>
      </c>
      <c r="P160" s="257" t="s">
        <v>17</v>
      </c>
      <c r="Q160" s="257" t="s">
        <v>15</v>
      </c>
      <c r="R160" s="257" t="s">
        <v>283</v>
      </c>
      <c r="S160" s="257" t="s">
        <v>283</v>
      </c>
      <c r="T160" s="257" t="s">
        <v>283</v>
      </c>
      <c r="U160" s="257" t="s">
        <v>283</v>
      </c>
      <c r="V160" s="257" t="s">
        <v>283</v>
      </c>
      <c r="W160" s="258" t="s">
        <v>283</v>
      </c>
      <c r="X160" s="258" t="s">
        <v>283</v>
      </c>
      <c r="Y160" s="259" t="s">
        <v>283</v>
      </c>
    </row>
    <row r="161" spans="1:25">
      <c r="A161" s="253">
        <v>3</v>
      </c>
      <c r="B161" s="254" t="str">
        <f>VLOOKUP(Tabel10[[#This Row],[Code]],Ruimtegroepen[[Code]:[Ruimte omschrijving]],2,FALSE)</f>
        <v>Reproruimte</v>
      </c>
      <c r="C161" s="255" t="s">
        <v>415</v>
      </c>
      <c r="D161" s="254" t="s">
        <v>28</v>
      </c>
      <c r="E161" s="255" t="s">
        <v>99</v>
      </c>
      <c r="F161" s="255" t="s">
        <v>417</v>
      </c>
      <c r="G161" s="260" t="s">
        <v>283</v>
      </c>
      <c r="H161" s="256" t="s">
        <v>17</v>
      </c>
      <c r="I161" s="256" t="s">
        <v>283</v>
      </c>
      <c r="J161" s="256" t="s">
        <v>283</v>
      </c>
      <c r="K161" s="256" t="s">
        <v>283</v>
      </c>
      <c r="L161" s="256" t="s">
        <v>283</v>
      </c>
      <c r="M161" s="256" t="s">
        <v>283</v>
      </c>
      <c r="N161" s="256" t="s">
        <v>283</v>
      </c>
      <c r="O161" s="257" t="s">
        <v>17</v>
      </c>
      <c r="P161" s="257" t="s">
        <v>17</v>
      </c>
      <c r="Q161" s="257" t="s">
        <v>15</v>
      </c>
      <c r="R161" s="257" t="s">
        <v>283</v>
      </c>
      <c r="S161" s="257" t="s">
        <v>283</v>
      </c>
      <c r="T161" s="257" t="s">
        <v>283</v>
      </c>
      <c r="U161" s="257" t="s">
        <v>283</v>
      </c>
      <c r="V161" s="257" t="s">
        <v>283</v>
      </c>
      <c r="W161" s="258" t="s">
        <v>283</v>
      </c>
      <c r="X161" s="258" t="s">
        <v>283</v>
      </c>
      <c r="Y161" s="259" t="s">
        <v>283</v>
      </c>
    </row>
    <row r="162" spans="1:25">
      <c r="A162" s="253">
        <v>3</v>
      </c>
      <c r="B162" s="254" t="str">
        <f>VLOOKUP(Tabel10[[#This Row],[Code]],Ruimtegroepen[[Code]:[Ruimte omschrijving]],2,FALSE)</f>
        <v>Reproruimte</v>
      </c>
      <c r="C162" s="255" t="s">
        <v>415</v>
      </c>
      <c r="D162" s="254" t="s">
        <v>28</v>
      </c>
      <c r="E162" s="255" t="s">
        <v>101</v>
      </c>
      <c r="F162" s="255" t="s">
        <v>418</v>
      </c>
      <c r="G162" s="260" t="s">
        <v>283</v>
      </c>
      <c r="H162" s="256" t="s">
        <v>283</v>
      </c>
      <c r="I162" s="256" t="s">
        <v>17</v>
      </c>
      <c r="J162" s="256" t="s">
        <v>283</v>
      </c>
      <c r="K162" s="256" t="s">
        <v>283</v>
      </c>
      <c r="L162" s="256" t="s">
        <v>283</v>
      </c>
      <c r="M162" s="256" t="s">
        <v>283</v>
      </c>
      <c r="N162" s="256" t="s">
        <v>283</v>
      </c>
      <c r="O162" s="257" t="s">
        <v>17</v>
      </c>
      <c r="P162" s="257" t="s">
        <v>17</v>
      </c>
      <c r="Q162" s="257" t="s">
        <v>15</v>
      </c>
      <c r="R162" s="257" t="s">
        <v>283</v>
      </c>
      <c r="S162" s="257" t="s">
        <v>283</v>
      </c>
      <c r="T162" s="257" t="s">
        <v>283</v>
      </c>
      <c r="U162" s="257" t="s">
        <v>283</v>
      </c>
      <c r="V162" s="257" t="s">
        <v>283</v>
      </c>
      <c r="W162" s="258" t="s">
        <v>283</v>
      </c>
      <c r="X162" s="258" t="s">
        <v>283</v>
      </c>
      <c r="Y162" s="259" t="s">
        <v>283</v>
      </c>
    </row>
    <row r="163" spans="1:25">
      <c r="A163" s="253">
        <v>3</v>
      </c>
      <c r="B163" s="254" t="str">
        <f>VLOOKUP(Tabel10[[#This Row],[Code]],Ruimtegroepen[[Code]:[Ruimte omschrijving]],2,FALSE)</f>
        <v>Reproruimte</v>
      </c>
      <c r="C163" s="255" t="s">
        <v>415</v>
      </c>
      <c r="D163" s="254" t="s">
        <v>28</v>
      </c>
      <c r="E163" s="255" t="s">
        <v>102</v>
      </c>
      <c r="F163" s="255" t="s">
        <v>419</v>
      </c>
      <c r="G163" s="260" t="s">
        <v>283</v>
      </c>
      <c r="H163" s="256" t="s">
        <v>283</v>
      </c>
      <c r="I163" s="256" t="s">
        <v>17</v>
      </c>
      <c r="J163" s="256" t="s">
        <v>283</v>
      </c>
      <c r="K163" s="256" t="s">
        <v>283</v>
      </c>
      <c r="L163" s="256" t="s">
        <v>283</v>
      </c>
      <c r="M163" s="256" t="s">
        <v>283</v>
      </c>
      <c r="N163" s="256" t="s">
        <v>283</v>
      </c>
      <c r="O163" s="257" t="s">
        <v>17</v>
      </c>
      <c r="P163" s="257" t="s">
        <v>17</v>
      </c>
      <c r="Q163" s="257" t="s">
        <v>15</v>
      </c>
      <c r="R163" s="257" t="s">
        <v>283</v>
      </c>
      <c r="S163" s="257" t="s">
        <v>283</v>
      </c>
      <c r="T163" s="257" t="s">
        <v>283</v>
      </c>
      <c r="U163" s="257" t="s">
        <v>283</v>
      </c>
      <c r="V163" s="257" t="s">
        <v>283</v>
      </c>
      <c r="W163" s="258" t="s">
        <v>283</v>
      </c>
      <c r="X163" s="258" t="s">
        <v>283</v>
      </c>
      <c r="Y163" s="259" t="s">
        <v>283</v>
      </c>
    </row>
    <row r="164" spans="1:25">
      <c r="A164" s="253">
        <v>3</v>
      </c>
      <c r="B164" s="254" t="str">
        <f>VLOOKUP(Tabel10[[#This Row],[Code]],Ruimtegroepen[[Code]:[Ruimte omschrijving]],2,FALSE)</f>
        <v>Reproruimte</v>
      </c>
      <c r="C164" s="255" t="s">
        <v>415</v>
      </c>
      <c r="D164" s="254" t="s">
        <v>28</v>
      </c>
      <c r="E164" s="255" t="s">
        <v>99</v>
      </c>
      <c r="F164" s="255" t="s">
        <v>417</v>
      </c>
      <c r="G164" s="260" t="s">
        <v>283</v>
      </c>
      <c r="H164" s="256" t="s">
        <v>17</v>
      </c>
      <c r="I164" s="256" t="s">
        <v>283</v>
      </c>
      <c r="J164" s="256" t="s">
        <v>283</v>
      </c>
      <c r="K164" s="256" t="s">
        <v>283</v>
      </c>
      <c r="L164" s="256" t="s">
        <v>283</v>
      </c>
      <c r="M164" s="256" t="s">
        <v>283</v>
      </c>
      <c r="N164" s="256" t="s">
        <v>283</v>
      </c>
      <c r="O164" s="257" t="s">
        <v>17</v>
      </c>
      <c r="P164" s="257" t="s">
        <v>17</v>
      </c>
      <c r="Q164" s="257" t="s">
        <v>15</v>
      </c>
      <c r="R164" s="257" t="s">
        <v>283</v>
      </c>
      <c r="S164" s="257" t="s">
        <v>283</v>
      </c>
      <c r="T164" s="257" t="s">
        <v>283</v>
      </c>
      <c r="U164" s="257" t="s">
        <v>283</v>
      </c>
      <c r="V164" s="257" t="s">
        <v>283</v>
      </c>
      <c r="W164" s="258" t="s">
        <v>283</v>
      </c>
      <c r="X164" s="258" t="s">
        <v>283</v>
      </c>
      <c r="Y164" s="259" t="s">
        <v>283</v>
      </c>
    </row>
    <row r="165" spans="1:25">
      <c r="A165" s="253">
        <v>3</v>
      </c>
      <c r="B165" s="254" t="str">
        <f>VLOOKUP(Tabel10[[#This Row],[Code]],Ruimtegroepen[[Code]:[Ruimte omschrijving]],2,FALSE)</f>
        <v>Reproruimte</v>
      </c>
      <c r="C165" s="255" t="s">
        <v>415</v>
      </c>
      <c r="D165" s="254" t="s">
        <v>28</v>
      </c>
      <c r="E165" s="255" t="s">
        <v>1312</v>
      </c>
      <c r="F165" s="255" t="s">
        <v>1412</v>
      </c>
      <c r="G165" s="260" t="s">
        <v>283</v>
      </c>
      <c r="H165" s="256" t="s">
        <v>283</v>
      </c>
      <c r="I165" s="256" t="s">
        <v>17</v>
      </c>
      <c r="J165" s="256" t="s">
        <v>283</v>
      </c>
      <c r="K165" s="256" t="s">
        <v>283</v>
      </c>
      <c r="L165" s="256" t="s">
        <v>283</v>
      </c>
      <c r="M165" s="256" t="s">
        <v>283</v>
      </c>
      <c r="N165" s="256" t="s">
        <v>283</v>
      </c>
      <c r="O165" s="257" t="s">
        <v>17</v>
      </c>
      <c r="P165" s="257" t="s">
        <v>17</v>
      </c>
      <c r="Q165" s="257" t="s">
        <v>15</v>
      </c>
      <c r="R165" s="257" t="s">
        <v>283</v>
      </c>
      <c r="S165" s="257" t="s">
        <v>283</v>
      </c>
      <c r="T165" s="257" t="s">
        <v>283</v>
      </c>
      <c r="U165" s="257" t="s">
        <v>283</v>
      </c>
      <c r="V165" s="257" t="s">
        <v>283</v>
      </c>
      <c r="W165" s="258" t="s">
        <v>283</v>
      </c>
      <c r="X165" s="258" t="s">
        <v>283</v>
      </c>
      <c r="Y165" s="259" t="s">
        <v>283</v>
      </c>
    </row>
    <row r="166" spans="1:25">
      <c r="A166" s="253">
        <v>4</v>
      </c>
      <c r="B166" s="254" t="str">
        <f>VLOOKUP(Tabel10[[#This Row],[Code]],Ruimtegroepen[[Code]:[Ruimte omschrijving]],2,FALSE)</f>
        <v>Vergader/spreekkamers</v>
      </c>
      <c r="C166" s="255" t="s">
        <v>420</v>
      </c>
      <c r="D166" s="254" t="s">
        <v>29</v>
      </c>
      <c r="E166" s="255" t="s">
        <v>100</v>
      </c>
      <c r="F166" s="255" t="s">
        <v>421</v>
      </c>
      <c r="G166" s="260" t="s">
        <v>283</v>
      </c>
      <c r="H166" s="256" t="s">
        <v>283</v>
      </c>
      <c r="I166" s="256" t="s">
        <v>20</v>
      </c>
      <c r="J166" s="256" t="s">
        <v>15</v>
      </c>
      <c r="K166" s="256" t="s">
        <v>283</v>
      </c>
      <c r="L166" s="256" t="s">
        <v>283</v>
      </c>
      <c r="M166" s="256" t="s">
        <v>283</v>
      </c>
      <c r="N166" s="256" t="s">
        <v>2</v>
      </c>
      <c r="O166" s="257" t="s">
        <v>2</v>
      </c>
      <c r="P166" s="257" t="s">
        <v>2</v>
      </c>
      <c r="Q166" s="257" t="s">
        <v>15</v>
      </c>
      <c r="R166" s="257" t="s">
        <v>15</v>
      </c>
      <c r="S166" s="257" t="s">
        <v>16</v>
      </c>
      <c r="T166" s="257" t="s">
        <v>330</v>
      </c>
      <c r="U166" s="257" t="s">
        <v>250</v>
      </c>
      <c r="V166" s="257" t="s">
        <v>2</v>
      </c>
      <c r="W166" s="258" t="s">
        <v>283</v>
      </c>
      <c r="X166" s="258" t="s">
        <v>283</v>
      </c>
      <c r="Y166" s="259" t="s">
        <v>283</v>
      </c>
    </row>
    <row r="167" spans="1:25">
      <c r="A167" s="253">
        <v>4</v>
      </c>
      <c r="B167" s="254" t="str">
        <f>VLOOKUP(Tabel10[[#This Row],[Code]],Ruimtegroepen[[Code]:[Ruimte omschrijving]],2,FALSE)</f>
        <v>Vergader/spreekkamers</v>
      </c>
      <c r="C167" s="255" t="s">
        <v>420</v>
      </c>
      <c r="D167" s="254" t="s">
        <v>29</v>
      </c>
      <c r="E167" s="255" t="s">
        <v>99</v>
      </c>
      <c r="F167" s="255" t="s">
        <v>422</v>
      </c>
      <c r="G167" s="256" t="s">
        <v>20</v>
      </c>
      <c r="H167" s="256" t="s">
        <v>15</v>
      </c>
      <c r="I167" s="256" t="s">
        <v>283</v>
      </c>
      <c r="J167" s="256" t="s">
        <v>283</v>
      </c>
      <c r="K167" s="256" t="s">
        <v>283</v>
      </c>
      <c r="L167" s="256" t="s">
        <v>283</v>
      </c>
      <c r="M167" s="256" t="s">
        <v>283</v>
      </c>
      <c r="N167" s="256" t="s">
        <v>2</v>
      </c>
      <c r="O167" s="257" t="s">
        <v>2</v>
      </c>
      <c r="P167" s="257" t="s">
        <v>2</v>
      </c>
      <c r="Q167" s="257" t="s">
        <v>15</v>
      </c>
      <c r="R167" s="257" t="s">
        <v>15</v>
      </c>
      <c r="S167" s="257" t="s">
        <v>16</v>
      </c>
      <c r="T167" s="257" t="s">
        <v>330</v>
      </c>
      <c r="U167" s="257" t="s">
        <v>250</v>
      </c>
      <c r="V167" s="257" t="s">
        <v>2</v>
      </c>
      <c r="W167" s="258" t="s">
        <v>283</v>
      </c>
      <c r="X167" s="258" t="s">
        <v>283</v>
      </c>
      <c r="Y167" s="259" t="s">
        <v>283</v>
      </c>
    </row>
    <row r="168" spans="1:25">
      <c r="A168" s="253">
        <v>4</v>
      </c>
      <c r="B168" s="254" t="str">
        <f>VLOOKUP(Tabel10[[#This Row],[Code]],Ruimtegroepen[[Code]:[Ruimte omschrijving]],2,FALSE)</f>
        <v>Vergader/spreekkamers</v>
      </c>
      <c r="C168" s="255" t="s">
        <v>420</v>
      </c>
      <c r="D168" s="254" t="s">
        <v>29</v>
      </c>
      <c r="E168" s="255" t="s">
        <v>101</v>
      </c>
      <c r="F168" s="255" t="s">
        <v>423</v>
      </c>
      <c r="G168" s="260" t="s">
        <v>283</v>
      </c>
      <c r="H168" s="256" t="s">
        <v>283</v>
      </c>
      <c r="I168" s="256" t="s">
        <v>20</v>
      </c>
      <c r="J168" s="256" t="s">
        <v>15</v>
      </c>
      <c r="K168" s="256" t="s">
        <v>330</v>
      </c>
      <c r="L168" s="256" t="s">
        <v>283</v>
      </c>
      <c r="M168" s="256" t="s">
        <v>283</v>
      </c>
      <c r="N168" s="256" t="s">
        <v>2</v>
      </c>
      <c r="O168" s="257" t="s">
        <v>2</v>
      </c>
      <c r="P168" s="257" t="s">
        <v>2</v>
      </c>
      <c r="Q168" s="257" t="s">
        <v>15</v>
      </c>
      <c r="R168" s="257" t="s">
        <v>15</v>
      </c>
      <c r="S168" s="257" t="s">
        <v>16</v>
      </c>
      <c r="T168" s="257" t="s">
        <v>330</v>
      </c>
      <c r="U168" s="257" t="s">
        <v>250</v>
      </c>
      <c r="V168" s="257" t="s">
        <v>2</v>
      </c>
      <c r="W168" s="258" t="s">
        <v>283</v>
      </c>
      <c r="X168" s="258" t="s">
        <v>283</v>
      </c>
      <c r="Y168" s="259" t="s">
        <v>283</v>
      </c>
    </row>
    <row r="169" spans="1:25">
      <c r="A169" s="253">
        <v>4</v>
      </c>
      <c r="B169" s="254" t="str">
        <f>VLOOKUP(Tabel10[[#This Row],[Code]],Ruimtegroepen[[Code]:[Ruimte omschrijving]],2,FALSE)</f>
        <v>Vergader/spreekkamers</v>
      </c>
      <c r="C169" s="255" t="s">
        <v>420</v>
      </c>
      <c r="D169" s="254" t="s">
        <v>29</v>
      </c>
      <c r="E169" s="255" t="s">
        <v>102</v>
      </c>
      <c r="F169" s="255" t="s">
        <v>424</v>
      </c>
      <c r="G169" s="260" t="s">
        <v>283</v>
      </c>
      <c r="H169" s="256" t="s">
        <v>283</v>
      </c>
      <c r="I169" s="256" t="s">
        <v>20</v>
      </c>
      <c r="J169" s="256" t="s">
        <v>15</v>
      </c>
      <c r="K169" s="256" t="s">
        <v>330</v>
      </c>
      <c r="L169" s="256" t="s">
        <v>283</v>
      </c>
      <c r="M169" s="256" t="s">
        <v>283</v>
      </c>
      <c r="N169" s="256" t="s">
        <v>2</v>
      </c>
      <c r="O169" s="257" t="s">
        <v>2</v>
      </c>
      <c r="P169" s="257" t="s">
        <v>2</v>
      </c>
      <c r="Q169" s="257" t="s">
        <v>15</v>
      </c>
      <c r="R169" s="257" t="s">
        <v>15</v>
      </c>
      <c r="S169" s="257" t="s">
        <v>16</v>
      </c>
      <c r="T169" s="257" t="s">
        <v>330</v>
      </c>
      <c r="U169" s="257" t="s">
        <v>250</v>
      </c>
      <c r="V169" s="257" t="s">
        <v>2</v>
      </c>
      <c r="W169" s="258" t="s">
        <v>283</v>
      </c>
      <c r="X169" s="258" t="s">
        <v>283</v>
      </c>
      <c r="Y169" s="259" t="s">
        <v>283</v>
      </c>
    </row>
    <row r="170" spans="1:25">
      <c r="A170" s="253">
        <v>4</v>
      </c>
      <c r="B170" s="254" t="str">
        <f>VLOOKUP(Tabel10[[#This Row],[Code]],Ruimtegroepen[[Code]:[Ruimte omschrijving]],2,FALSE)</f>
        <v>Vergader/spreekkamers</v>
      </c>
      <c r="C170" s="255" t="s">
        <v>420</v>
      </c>
      <c r="D170" s="254" t="s">
        <v>29</v>
      </c>
      <c r="E170" s="255" t="s">
        <v>99</v>
      </c>
      <c r="F170" s="255" t="s">
        <v>422</v>
      </c>
      <c r="G170" s="256" t="s">
        <v>20</v>
      </c>
      <c r="H170" s="256" t="s">
        <v>15</v>
      </c>
      <c r="I170" s="256" t="s">
        <v>283</v>
      </c>
      <c r="J170" s="256" t="s">
        <v>283</v>
      </c>
      <c r="K170" s="256" t="s">
        <v>283</v>
      </c>
      <c r="L170" s="256" t="s">
        <v>283</v>
      </c>
      <c r="M170" s="256" t="s">
        <v>283</v>
      </c>
      <c r="N170" s="256" t="s">
        <v>2</v>
      </c>
      <c r="O170" s="257" t="s">
        <v>2</v>
      </c>
      <c r="P170" s="257" t="s">
        <v>2</v>
      </c>
      <c r="Q170" s="257" t="s">
        <v>15</v>
      </c>
      <c r="R170" s="257" t="s">
        <v>15</v>
      </c>
      <c r="S170" s="257" t="s">
        <v>16</v>
      </c>
      <c r="T170" s="257" t="s">
        <v>330</v>
      </c>
      <c r="U170" s="257" t="s">
        <v>250</v>
      </c>
      <c r="V170" s="257" t="s">
        <v>2</v>
      </c>
      <c r="W170" s="258" t="s">
        <v>283</v>
      </c>
      <c r="X170" s="258" t="s">
        <v>283</v>
      </c>
      <c r="Y170" s="259" t="s">
        <v>283</v>
      </c>
    </row>
    <row r="171" spans="1:25">
      <c r="A171" s="253">
        <v>4</v>
      </c>
      <c r="B171" s="254" t="str">
        <f>VLOOKUP(Tabel10[[#This Row],[Code]],Ruimtegroepen[[Code]:[Ruimte omschrijving]],2,FALSE)</f>
        <v>Vergader/spreekkamers</v>
      </c>
      <c r="C171" s="255" t="s">
        <v>420</v>
      </c>
      <c r="D171" s="254" t="s">
        <v>29</v>
      </c>
      <c r="E171" s="255" t="s">
        <v>1312</v>
      </c>
      <c r="F171" s="255" t="s">
        <v>1480</v>
      </c>
      <c r="G171" s="260" t="s">
        <v>283</v>
      </c>
      <c r="H171" s="256" t="s">
        <v>283</v>
      </c>
      <c r="I171" s="256" t="s">
        <v>20</v>
      </c>
      <c r="J171" s="256" t="s">
        <v>15</v>
      </c>
      <c r="K171" s="256" t="s">
        <v>330</v>
      </c>
      <c r="L171" s="256" t="s">
        <v>283</v>
      </c>
      <c r="M171" s="256" t="s">
        <v>283</v>
      </c>
      <c r="N171" s="256" t="s">
        <v>2</v>
      </c>
      <c r="O171" s="257" t="s">
        <v>2</v>
      </c>
      <c r="P171" s="257" t="s">
        <v>2</v>
      </c>
      <c r="Q171" s="257" t="s">
        <v>15</v>
      </c>
      <c r="R171" s="257" t="s">
        <v>15</v>
      </c>
      <c r="S171" s="257" t="s">
        <v>16</v>
      </c>
      <c r="T171" s="257" t="s">
        <v>330</v>
      </c>
      <c r="U171" s="257" t="s">
        <v>250</v>
      </c>
      <c r="V171" s="257" t="s">
        <v>2</v>
      </c>
      <c r="W171" s="258" t="s">
        <v>283</v>
      </c>
      <c r="X171" s="258" t="s">
        <v>283</v>
      </c>
      <c r="Y171" s="259" t="s">
        <v>283</v>
      </c>
    </row>
    <row r="172" spans="1:25">
      <c r="A172" s="253">
        <v>4</v>
      </c>
      <c r="B172" s="254" t="str">
        <f>VLOOKUP(Tabel10[[#This Row],[Code]],Ruimtegroepen[[Code]:[Ruimte omschrijving]],2,FALSE)</f>
        <v>Vergader/spreekkamers</v>
      </c>
      <c r="C172" s="255" t="s">
        <v>425</v>
      </c>
      <c r="D172" s="254" t="s">
        <v>1</v>
      </c>
      <c r="E172" s="255" t="s">
        <v>100</v>
      </c>
      <c r="F172" s="255" t="s">
        <v>426</v>
      </c>
      <c r="G172" s="260" t="s">
        <v>283</v>
      </c>
      <c r="H172" s="256" t="s">
        <v>283</v>
      </c>
      <c r="I172" s="256" t="s">
        <v>20</v>
      </c>
      <c r="J172" s="256" t="s">
        <v>15</v>
      </c>
      <c r="K172" s="256" t="s">
        <v>283</v>
      </c>
      <c r="L172" s="256" t="s">
        <v>283</v>
      </c>
      <c r="M172" s="256" t="s">
        <v>283</v>
      </c>
      <c r="N172" s="256" t="s">
        <v>283</v>
      </c>
      <c r="O172" s="257" t="s">
        <v>2</v>
      </c>
      <c r="P172" s="257" t="s">
        <v>2</v>
      </c>
      <c r="Q172" s="257" t="s">
        <v>15</v>
      </c>
      <c r="R172" s="257" t="s">
        <v>15</v>
      </c>
      <c r="S172" s="257" t="s">
        <v>16</v>
      </c>
      <c r="T172" s="257" t="s">
        <v>330</v>
      </c>
      <c r="U172" s="257" t="s">
        <v>250</v>
      </c>
      <c r="V172" s="257" t="s">
        <v>283</v>
      </c>
      <c r="W172" s="258" t="s">
        <v>283</v>
      </c>
      <c r="X172" s="258" t="s">
        <v>283</v>
      </c>
      <c r="Y172" s="259" t="s">
        <v>283</v>
      </c>
    </row>
    <row r="173" spans="1:25">
      <c r="A173" s="253">
        <v>4</v>
      </c>
      <c r="B173" s="254" t="str">
        <f>VLOOKUP(Tabel10[[#This Row],[Code]],Ruimtegroepen[[Code]:[Ruimte omschrijving]],2,FALSE)</f>
        <v>Vergader/spreekkamers</v>
      </c>
      <c r="C173" s="255" t="s">
        <v>425</v>
      </c>
      <c r="D173" s="254" t="s">
        <v>1</v>
      </c>
      <c r="E173" s="255" t="s">
        <v>99</v>
      </c>
      <c r="F173" s="255" t="s">
        <v>427</v>
      </c>
      <c r="G173" s="256" t="s">
        <v>20</v>
      </c>
      <c r="H173" s="256" t="s">
        <v>15</v>
      </c>
      <c r="I173" s="256" t="s">
        <v>283</v>
      </c>
      <c r="J173" s="256" t="s">
        <v>283</v>
      </c>
      <c r="K173" s="256" t="s">
        <v>283</v>
      </c>
      <c r="L173" s="256" t="s">
        <v>283</v>
      </c>
      <c r="M173" s="256" t="s">
        <v>283</v>
      </c>
      <c r="N173" s="256" t="s">
        <v>283</v>
      </c>
      <c r="O173" s="257" t="s">
        <v>2</v>
      </c>
      <c r="P173" s="257" t="s">
        <v>2</v>
      </c>
      <c r="Q173" s="257" t="s">
        <v>15</v>
      </c>
      <c r="R173" s="257" t="s">
        <v>15</v>
      </c>
      <c r="S173" s="257" t="s">
        <v>16</v>
      </c>
      <c r="T173" s="257" t="s">
        <v>330</v>
      </c>
      <c r="U173" s="257" t="s">
        <v>250</v>
      </c>
      <c r="V173" s="257" t="s">
        <v>283</v>
      </c>
      <c r="W173" s="258" t="s">
        <v>283</v>
      </c>
      <c r="X173" s="258" t="s">
        <v>283</v>
      </c>
      <c r="Y173" s="259" t="s">
        <v>283</v>
      </c>
    </row>
    <row r="174" spans="1:25">
      <c r="A174" s="253">
        <v>4</v>
      </c>
      <c r="B174" s="254" t="str">
        <f>VLOOKUP(Tabel10[[#This Row],[Code]],Ruimtegroepen[[Code]:[Ruimte omschrijving]],2,FALSE)</f>
        <v>Vergader/spreekkamers</v>
      </c>
      <c r="C174" s="255" t="s">
        <v>425</v>
      </c>
      <c r="D174" s="254" t="s">
        <v>1</v>
      </c>
      <c r="E174" s="255" t="s">
        <v>101</v>
      </c>
      <c r="F174" s="255" t="s">
        <v>428</v>
      </c>
      <c r="G174" s="260" t="s">
        <v>283</v>
      </c>
      <c r="H174" s="256" t="s">
        <v>283</v>
      </c>
      <c r="I174" s="256" t="s">
        <v>20</v>
      </c>
      <c r="J174" s="256" t="s">
        <v>15</v>
      </c>
      <c r="K174" s="256" t="s">
        <v>330</v>
      </c>
      <c r="L174" s="256" t="s">
        <v>283</v>
      </c>
      <c r="M174" s="256" t="s">
        <v>283</v>
      </c>
      <c r="N174" s="256" t="s">
        <v>283</v>
      </c>
      <c r="O174" s="257" t="s">
        <v>2</v>
      </c>
      <c r="P174" s="257" t="s">
        <v>2</v>
      </c>
      <c r="Q174" s="257" t="s">
        <v>15</v>
      </c>
      <c r="R174" s="257" t="s">
        <v>15</v>
      </c>
      <c r="S174" s="257" t="s">
        <v>16</v>
      </c>
      <c r="T174" s="257" t="s">
        <v>330</v>
      </c>
      <c r="U174" s="257" t="s">
        <v>250</v>
      </c>
      <c r="V174" s="257" t="s">
        <v>283</v>
      </c>
      <c r="W174" s="258" t="s">
        <v>283</v>
      </c>
      <c r="X174" s="258" t="s">
        <v>283</v>
      </c>
      <c r="Y174" s="259" t="s">
        <v>283</v>
      </c>
    </row>
    <row r="175" spans="1:25">
      <c r="A175" s="253">
        <v>4</v>
      </c>
      <c r="B175" s="254" t="str">
        <f>VLOOKUP(Tabel10[[#This Row],[Code]],Ruimtegroepen[[Code]:[Ruimte omschrijving]],2,FALSE)</f>
        <v>Vergader/spreekkamers</v>
      </c>
      <c r="C175" s="255" t="s">
        <v>425</v>
      </c>
      <c r="D175" s="254" t="s">
        <v>1</v>
      </c>
      <c r="E175" s="255" t="s">
        <v>102</v>
      </c>
      <c r="F175" s="255" t="s">
        <v>429</v>
      </c>
      <c r="G175" s="260" t="s">
        <v>283</v>
      </c>
      <c r="H175" s="256" t="s">
        <v>283</v>
      </c>
      <c r="I175" s="256" t="s">
        <v>20</v>
      </c>
      <c r="J175" s="256" t="s">
        <v>15</v>
      </c>
      <c r="K175" s="256" t="s">
        <v>330</v>
      </c>
      <c r="L175" s="256" t="s">
        <v>283</v>
      </c>
      <c r="M175" s="256" t="s">
        <v>283</v>
      </c>
      <c r="N175" s="256" t="s">
        <v>283</v>
      </c>
      <c r="O175" s="257" t="s">
        <v>2</v>
      </c>
      <c r="P175" s="257" t="s">
        <v>2</v>
      </c>
      <c r="Q175" s="257" t="s">
        <v>15</v>
      </c>
      <c r="R175" s="257" t="s">
        <v>15</v>
      </c>
      <c r="S175" s="257" t="s">
        <v>16</v>
      </c>
      <c r="T175" s="257" t="s">
        <v>330</v>
      </c>
      <c r="U175" s="257" t="s">
        <v>250</v>
      </c>
      <c r="V175" s="257" t="s">
        <v>283</v>
      </c>
      <c r="W175" s="258" t="s">
        <v>283</v>
      </c>
      <c r="X175" s="258" t="s">
        <v>283</v>
      </c>
      <c r="Y175" s="259" t="s">
        <v>283</v>
      </c>
    </row>
    <row r="176" spans="1:25">
      <c r="A176" s="253">
        <v>4</v>
      </c>
      <c r="B176" s="254" t="str">
        <f>VLOOKUP(Tabel10[[#This Row],[Code]],Ruimtegroepen[[Code]:[Ruimte omschrijving]],2,FALSE)</f>
        <v>Vergader/spreekkamers</v>
      </c>
      <c r="C176" s="255" t="s">
        <v>425</v>
      </c>
      <c r="D176" s="254" t="s">
        <v>1</v>
      </c>
      <c r="E176" s="255" t="s">
        <v>99</v>
      </c>
      <c r="F176" s="255" t="s">
        <v>427</v>
      </c>
      <c r="G176" s="256" t="s">
        <v>20</v>
      </c>
      <c r="H176" s="256" t="s">
        <v>15</v>
      </c>
      <c r="I176" s="256" t="s">
        <v>283</v>
      </c>
      <c r="J176" s="256" t="s">
        <v>283</v>
      </c>
      <c r="K176" s="256" t="s">
        <v>283</v>
      </c>
      <c r="L176" s="256" t="s">
        <v>283</v>
      </c>
      <c r="M176" s="256" t="s">
        <v>283</v>
      </c>
      <c r="N176" s="256" t="s">
        <v>283</v>
      </c>
      <c r="O176" s="257" t="s">
        <v>2</v>
      </c>
      <c r="P176" s="257" t="s">
        <v>2</v>
      </c>
      <c r="Q176" s="257" t="s">
        <v>15</v>
      </c>
      <c r="R176" s="257" t="s">
        <v>15</v>
      </c>
      <c r="S176" s="257" t="s">
        <v>16</v>
      </c>
      <c r="T176" s="257" t="s">
        <v>330</v>
      </c>
      <c r="U176" s="257" t="s">
        <v>250</v>
      </c>
      <c r="V176" s="257" t="s">
        <v>283</v>
      </c>
      <c r="W176" s="258" t="s">
        <v>283</v>
      </c>
      <c r="X176" s="258" t="s">
        <v>283</v>
      </c>
      <c r="Y176" s="259" t="s">
        <v>283</v>
      </c>
    </row>
    <row r="177" spans="1:25">
      <c r="A177" s="253">
        <v>4</v>
      </c>
      <c r="B177" s="254" t="str">
        <f>VLOOKUP(Tabel10[[#This Row],[Code]],Ruimtegroepen[[Code]:[Ruimte omschrijving]],2,FALSE)</f>
        <v>Vergader/spreekkamers</v>
      </c>
      <c r="C177" s="255" t="s">
        <v>425</v>
      </c>
      <c r="D177" s="254" t="s">
        <v>1</v>
      </c>
      <c r="E177" s="255" t="s">
        <v>1312</v>
      </c>
      <c r="F177" s="255" t="s">
        <v>1465</v>
      </c>
      <c r="G177" s="260" t="s">
        <v>283</v>
      </c>
      <c r="H177" s="256" t="s">
        <v>283</v>
      </c>
      <c r="I177" s="256" t="s">
        <v>20</v>
      </c>
      <c r="J177" s="256" t="s">
        <v>15</v>
      </c>
      <c r="K177" s="256" t="s">
        <v>330</v>
      </c>
      <c r="L177" s="256" t="s">
        <v>283</v>
      </c>
      <c r="M177" s="256" t="s">
        <v>283</v>
      </c>
      <c r="N177" s="256" t="s">
        <v>283</v>
      </c>
      <c r="O177" s="257" t="s">
        <v>2</v>
      </c>
      <c r="P177" s="257" t="s">
        <v>2</v>
      </c>
      <c r="Q177" s="257" t="s">
        <v>15</v>
      </c>
      <c r="R177" s="257" t="s">
        <v>15</v>
      </c>
      <c r="S177" s="257" t="s">
        <v>16</v>
      </c>
      <c r="T177" s="257" t="s">
        <v>330</v>
      </c>
      <c r="U177" s="257" t="s">
        <v>250</v>
      </c>
      <c r="V177" s="257" t="s">
        <v>283</v>
      </c>
      <c r="W177" s="258" t="s">
        <v>283</v>
      </c>
      <c r="X177" s="258" t="s">
        <v>283</v>
      </c>
      <c r="Y177" s="259" t="s">
        <v>283</v>
      </c>
    </row>
    <row r="178" spans="1:25">
      <c r="A178" s="253">
        <v>4</v>
      </c>
      <c r="B178" s="254" t="str">
        <f>VLOOKUP(Tabel10[[#This Row],[Code]],Ruimtegroepen[[Code]:[Ruimte omschrijving]],2,FALSE)</f>
        <v>Vergader/spreekkamers</v>
      </c>
      <c r="C178" s="255" t="s">
        <v>430</v>
      </c>
      <c r="D178" s="254" t="s">
        <v>21</v>
      </c>
      <c r="E178" s="255" t="s">
        <v>100</v>
      </c>
      <c r="F178" s="255" t="s">
        <v>431</v>
      </c>
      <c r="G178" s="260" t="s">
        <v>283</v>
      </c>
      <c r="H178" s="256" t="s">
        <v>283</v>
      </c>
      <c r="I178" s="256" t="s">
        <v>18</v>
      </c>
      <c r="J178" s="256" t="s">
        <v>15</v>
      </c>
      <c r="K178" s="256" t="s">
        <v>283</v>
      </c>
      <c r="L178" s="256" t="s">
        <v>283</v>
      </c>
      <c r="M178" s="256" t="s">
        <v>283</v>
      </c>
      <c r="N178" s="256" t="s">
        <v>283</v>
      </c>
      <c r="O178" s="257" t="s">
        <v>20</v>
      </c>
      <c r="P178" s="257" t="s">
        <v>20</v>
      </c>
      <c r="Q178" s="257" t="s">
        <v>15</v>
      </c>
      <c r="R178" s="257" t="s">
        <v>15</v>
      </c>
      <c r="S178" s="257" t="s">
        <v>16</v>
      </c>
      <c r="T178" s="257" t="s">
        <v>330</v>
      </c>
      <c r="U178" s="257" t="s">
        <v>250</v>
      </c>
      <c r="V178" s="257" t="s">
        <v>283</v>
      </c>
      <c r="W178" s="258" t="s">
        <v>283</v>
      </c>
      <c r="X178" s="258" t="s">
        <v>283</v>
      </c>
      <c r="Y178" s="259" t="s">
        <v>283</v>
      </c>
    </row>
    <row r="179" spans="1:25">
      <c r="A179" s="253">
        <v>4</v>
      </c>
      <c r="B179" s="254" t="str">
        <f>VLOOKUP(Tabel10[[#This Row],[Code]],Ruimtegroepen[[Code]:[Ruimte omschrijving]],2,FALSE)</f>
        <v>Vergader/spreekkamers</v>
      </c>
      <c r="C179" s="255" t="s">
        <v>430</v>
      </c>
      <c r="D179" s="254" t="s">
        <v>21</v>
      </c>
      <c r="E179" s="255" t="s">
        <v>99</v>
      </c>
      <c r="F179" s="255" t="s">
        <v>432</v>
      </c>
      <c r="G179" s="256" t="s">
        <v>18</v>
      </c>
      <c r="H179" s="256" t="s">
        <v>15</v>
      </c>
      <c r="I179" s="256" t="s">
        <v>283</v>
      </c>
      <c r="J179" s="256" t="s">
        <v>283</v>
      </c>
      <c r="K179" s="256" t="s">
        <v>283</v>
      </c>
      <c r="L179" s="256" t="s">
        <v>283</v>
      </c>
      <c r="M179" s="256" t="s">
        <v>283</v>
      </c>
      <c r="N179" s="256" t="s">
        <v>283</v>
      </c>
      <c r="O179" s="257" t="s">
        <v>20</v>
      </c>
      <c r="P179" s="257" t="s">
        <v>20</v>
      </c>
      <c r="Q179" s="257" t="s">
        <v>15</v>
      </c>
      <c r="R179" s="257" t="s">
        <v>15</v>
      </c>
      <c r="S179" s="257" t="s">
        <v>16</v>
      </c>
      <c r="T179" s="257" t="s">
        <v>330</v>
      </c>
      <c r="U179" s="257" t="s">
        <v>250</v>
      </c>
      <c r="V179" s="257" t="s">
        <v>283</v>
      </c>
      <c r="W179" s="258" t="s">
        <v>283</v>
      </c>
      <c r="X179" s="258" t="s">
        <v>283</v>
      </c>
      <c r="Y179" s="259" t="s">
        <v>283</v>
      </c>
    </row>
    <row r="180" spans="1:25">
      <c r="A180" s="253">
        <v>4</v>
      </c>
      <c r="B180" s="254" t="str">
        <f>VLOOKUP(Tabel10[[#This Row],[Code]],Ruimtegroepen[[Code]:[Ruimte omschrijving]],2,FALSE)</f>
        <v>Vergader/spreekkamers</v>
      </c>
      <c r="C180" s="255" t="s">
        <v>430</v>
      </c>
      <c r="D180" s="254" t="s">
        <v>21</v>
      </c>
      <c r="E180" s="255" t="s">
        <v>101</v>
      </c>
      <c r="F180" s="255" t="s">
        <v>433</v>
      </c>
      <c r="G180" s="260" t="s">
        <v>283</v>
      </c>
      <c r="H180" s="256" t="s">
        <v>283</v>
      </c>
      <c r="I180" s="256" t="s">
        <v>18</v>
      </c>
      <c r="J180" s="256" t="s">
        <v>15</v>
      </c>
      <c r="K180" s="256" t="s">
        <v>330</v>
      </c>
      <c r="L180" s="256" t="s">
        <v>283</v>
      </c>
      <c r="M180" s="256" t="s">
        <v>283</v>
      </c>
      <c r="N180" s="256" t="s">
        <v>283</v>
      </c>
      <c r="O180" s="257" t="s">
        <v>20</v>
      </c>
      <c r="P180" s="257" t="s">
        <v>20</v>
      </c>
      <c r="Q180" s="257" t="s">
        <v>15</v>
      </c>
      <c r="R180" s="257" t="s">
        <v>15</v>
      </c>
      <c r="S180" s="257" t="s">
        <v>16</v>
      </c>
      <c r="T180" s="257" t="s">
        <v>330</v>
      </c>
      <c r="U180" s="257" t="s">
        <v>250</v>
      </c>
      <c r="V180" s="257" t="s">
        <v>283</v>
      </c>
      <c r="W180" s="258" t="s">
        <v>283</v>
      </c>
      <c r="X180" s="258" t="s">
        <v>283</v>
      </c>
      <c r="Y180" s="259" t="s">
        <v>283</v>
      </c>
    </row>
    <row r="181" spans="1:25">
      <c r="A181" s="253">
        <v>4</v>
      </c>
      <c r="B181" s="254" t="str">
        <f>VLOOKUP(Tabel10[[#This Row],[Code]],Ruimtegroepen[[Code]:[Ruimte omschrijving]],2,FALSE)</f>
        <v>Vergader/spreekkamers</v>
      </c>
      <c r="C181" s="255" t="s">
        <v>430</v>
      </c>
      <c r="D181" s="254" t="s">
        <v>21</v>
      </c>
      <c r="E181" s="255" t="s">
        <v>102</v>
      </c>
      <c r="F181" s="255" t="s">
        <v>434</v>
      </c>
      <c r="G181" s="260" t="s">
        <v>283</v>
      </c>
      <c r="H181" s="256" t="s">
        <v>283</v>
      </c>
      <c r="I181" s="256" t="s">
        <v>18</v>
      </c>
      <c r="J181" s="256" t="s">
        <v>15</v>
      </c>
      <c r="K181" s="256" t="s">
        <v>330</v>
      </c>
      <c r="L181" s="256" t="s">
        <v>283</v>
      </c>
      <c r="M181" s="256" t="s">
        <v>283</v>
      </c>
      <c r="N181" s="256" t="s">
        <v>283</v>
      </c>
      <c r="O181" s="257" t="s">
        <v>20</v>
      </c>
      <c r="P181" s="257" t="s">
        <v>20</v>
      </c>
      <c r="Q181" s="257" t="s">
        <v>15</v>
      </c>
      <c r="R181" s="257" t="s">
        <v>15</v>
      </c>
      <c r="S181" s="257" t="s">
        <v>16</v>
      </c>
      <c r="T181" s="257" t="s">
        <v>330</v>
      </c>
      <c r="U181" s="257" t="s">
        <v>250</v>
      </c>
      <c r="V181" s="257" t="s">
        <v>283</v>
      </c>
      <c r="W181" s="258" t="s">
        <v>283</v>
      </c>
      <c r="X181" s="258" t="s">
        <v>283</v>
      </c>
      <c r="Y181" s="259" t="s">
        <v>283</v>
      </c>
    </row>
    <row r="182" spans="1:25">
      <c r="A182" s="253">
        <v>4</v>
      </c>
      <c r="B182" s="254" t="str">
        <f>VLOOKUP(Tabel10[[#This Row],[Code]],Ruimtegroepen[[Code]:[Ruimte omschrijving]],2,FALSE)</f>
        <v>Vergader/spreekkamers</v>
      </c>
      <c r="C182" s="255" t="s">
        <v>430</v>
      </c>
      <c r="D182" s="254" t="s">
        <v>21</v>
      </c>
      <c r="E182" s="255" t="s">
        <v>99</v>
      </c>
      <c r="F182" s="255" t="s">
        <v>432</v>
      </c>
      <c r="G182" s="256" t="s">
        <v>18</v>
      </c>
      <c r="H182" s="256" t="s">
        <v>15</v>
      </c>
      <c r="I182" s="256" t="s">
        <v>283</v>
      </c>
      <c r="J182" s="256" t="s">
        <v>283</v>
      </c>
      <c r="K182" s="256" t="s">
        <v>283</v>
      </c>
      <c r="L182" s="256" t="s">
        <v>283</v>
      </c>
      <c r="M182" s="256" t="s">
        <v>283</v>
      </c>
      <c r="N182" s="256" t="s">
        <v>283</v>
      </c>
      <c r="O182" s="257" t="s">
        <v>20</v>
      </c>
      <c r="P182" s="257" t="s">
        <v>20</v>
      </c>
      <c r="Q182" s="257" t="s">
        <v>15</v>
      </c>
      <c r="R182" s="257" t="s">
        <v>15</v>
      </c>
      <c r="S182" s="257" t="s">
        <v>16</v>
      </c>
      <c r="T182" s="257" t="s">
        <v>330</v>
      </c>
      <c r="U182" s="257" t="s">
        <v>250</v>
      </c>
      <c r="V182" s="257" t="s">
        <v>283</v>
      </c>
      <c r="W182" s="258" t="s">
        <v>283</v>
      </c>
      <c r="X182" s="258" t="s">
        <v>283</v>
      </c>
      <c r="Y182" s="259" t="s">
        <v>283</v>
      </c>
    </row>
    <row r="183" spans="1:25">
      <c r="A183" s="253">
        <v>4</v>
      </c>
      <c r="B183" s="254" t="str">
        <f>VLOOKUP(Tabel10[[#This Row],[Code]],Ruimtegroepen[[Code]:[Ruimte omschrijving]],2,FALSE)</f>
        <v>Vergader/spreekkamers</v>
      </c>
      <c r="C183" s="255" t="s">
        <v>430</v>
      </c>
      <c r="D183" s="254" t="s">
        <v>21</v>
      </c>
      <c r="E183" s="255" t="s">
        <v>1312</v>
      </c>
      <c r="F183" s="255" t="s">
        <v>1446</v>
      </c>
      <c r="G183" s="260" t="s">
        <v>283</v>
      </c>
      <c r="H183" s="256" t="s">
        <v>283</v>
      </c>
      <c r="I183" s="256" t="s">
        <v>18</v>
      </c>
      <c r="J183" s="256" t="s">
        <v>15</v>
      </c>
      <c r="K183" s="256" t="s">
        <v>330</v>
      </c>
      <c r="L183" s="256" t="s">
        <v>283</v>
      </c>
      <c r="M183" s="256" t="s">
        <v>283</v>
      </c>
      <c r="N183" s="256" t="s">
        <v>283</v>
      </c>
      <c r="O183" s="257" t="s">
        <v>20</v>
      </c>
      <c r="P183" s="257" t="s">
        <v>20</v>
      </c>
      <c r="Q183" s="257" t="s">
        <v>15</v>
      </c>
      <c r="R183" s="257" t="s">
        <v>15</v>
      </c>
      <c r="S183" s="257" t="s">
        <v>16</v>
      </c>
      <c r="T183" s="257" t="s">
        <v>330</v>
      </c>
      <c r="U183" s="257" t="s">
        <v>250</v>
      </c>
      <c r="V183" s="257" t="s">
        <v>283</v>
      </c>
      <c r="W183" s="258" t="s">
        <v>283</v>
      </c>
      <c r="X183" s="258" t="s">
        <v>283</v>
      </c>
      <c r="Y183" s="259" t="s">
        <v>283</v>
      </c>
    </row>
    <row r="184" spans="1:25">
      <c r="A184" s="253">
        <v>4</v>
      </c>
      <c r="B184" s="254" t="str">
        <f>VLOOKUP(Tabel10[[#This Row],[Code]],Ruimtegroepen[[Code]:[Ruimte omschrijving]],2,FALSE)</f>
        <v>Vergader/spreekkamers</v>
      </c>
      <c r="C184" s="255" t="s">
        <v>435</v>
      </c>
      <c r="D184" s="254" t="s">
        <v>12</v>
      </c>
      <c r="E184" s="255" t="s">
        <v>100</v>
      </c>
      <c r="F184" s="255" t="s">
        <v>436</v>
      </c>
      <c r="G184" s="260" t="s">
        <v>283</v>
      </c>
      <c r="H184" s="256" t="s">
        <v>283</v>
      </c>
      <c r="I184" s="256" t="s">
        <v>17</v>
      </c>
      <c r="J184" s="256" t="s">
        <v>15</v>
      </c>
      <c r="K184" s="256" t="s">
        <v>283</v>
      </c>
      <c r="L184" s="256" t="s">
        <v>283</v>
      </c>
      <c r="M184" s="256" t="s">
        <v>283</v>
      </c>
      <c r="N184" s="256" t="s">
        <v>283</v>
      </c>
      <c r="O184" s="257" t="s">
        <v>18</v>
      </c>
      <c r="P184" s="257" t="s">
        <v>18</v>
      </c>
      <c r="Q184" s="257" t="s">
        <v>15</v>
      </c>
      <c r="R184" s="257" t="s">
        <v>15</v>
      </c>
      <c r="S184" s="257" t="s">
        <v>16</v>
      </c>
      <c r="T184" s="257" t="s">
        <v>330</v>
      </c>
      <c r="U184" s="257" t="s">
        <v>250</v>
      </c>
      <c r="V184" s="257" t="s">
        <v>283</v>
      </c>
      <c r="W184" s="258" t="s">
        <v>283</v>
      </c>
      <c r="X184" s="258" t="s">
        <v>283</v>
      </c>
      <c r="Y184" s="259" t="s">
        <v>283</v>
      </c>
    </row>
    <row r="185" spans="1:25">
      <c r="A185" s="253">
        <v>4</v>
      </c>
      <c r="B185" s="254" t="str">
        <f>VLOOKUP(Tabel10[[#This Row],[Code]],Ruimtegroepen[[Code]:[Ruimte omschrijving]],2,FALSE)</f>
        <v>Vergader/spreekkamers</v>
      </c>
      <c r="C185" s="255" t="s">
        <v>435</v>
      </c>
      <c r="D185" s="254" t="s">
        <v>12</v>
      </c>
      <c r="E185" s="255" t="s">
        <v>99</v>
      </c>
      <c r="F185" s="255" t="s">
        <v>437</v>
      </c>
      <c r="G185" s="256" t="s">
        <v>17</v>
      </c>
      <c r="H185" s="256" t="s">
        <v>15</v>
      </c>
      <c r="I185" s="256" t="s">
        <v>283</v>
      </c>
      <c r="J185" s="256" t="s">
        <v>283</v>
      </c>
      <c r="K185" s="256" t="s">
        <v>283</v>
      </c>
      <c r="L185" s="256" t="s">
        <v>283</v>
      </c>
      <c r="M185" s="256" t="s">
        <v>283</v>
      </c>
      <c r="N185" s="256" t="s">
        <v>283</v>
      </c>
      <c r="O185" s="257" t="s">
        <v>18</v>
      </c>
      <c r="P185" s="257" t="s">
        <v>18</v>
      </c>
      <c r="Q185" s="257" t="s">
        <v>15</v>
      </c>
      <c r="R185" s="257" t="s">
        <v>15</v>
      </c>
      <c r="S185" s="257" t="s">
        <v>16</v>
      </c>
      <c r="T185" s="257" t="s">
        <v>330</v>
      </c>
      <c r="U185" s="257" t="s">
        <v>250</v>
      </c>
      <c r="V185" s="257" t="s">
        <v>283</v>
      </c>
      <c r="W185" s="258" t="s">
        <v>283</v>
      </c>
      <c r="X185" s="258" t="s">
        <v>283</v>
      </c>
      <c r="Y185" s="259" t="s">
        <v>283</v>
      </c>
    </row>
    <row r="186" spans="1:25">
      <c r="A186" s="253">
        <v>4</v>
      </c>
      <c r="B186" s="254" t="str">
        <f>VLOOKUP(Tabel10[[#This Row],[Code]],Ruimtegroepen[[Code]:[Ruimte omschrijving]],2,FALSE)</f>
        <v>Vergader/spreekkamers</v>
      </c>
      <c r="C186" s="255" t="s">
        <v>435</v>
      </c>
      <c r="D186" s="254" t="s">
        <v>12</v>
      </c>
      <c r="E186" s="255" t="s">
        <v>101</v>
      </c>
      <c r="F186" s="255" t="s">
        <v>438</v>
      </c>
      <c r="G186" s="260" t="s">
        <v>283</v>
      </c>
      <c r="H186" s="256" t="s">
        <v>283</v>
      </c>
      <c r="I186" s="256" t="s">
        <v>17</v>
      </c>
      <c r="J186" s="256" t="s">
        <v>15</v>
      </c>
      <c r="K186" s="256" t="s">
        <v>330</v>
      </c>
      <c r="L186" s="256" t="s">
        <v>283</v>
      </c>
      <c r="M186" s="256" t="s">
        <v>283</v>
      </c>
      <c r="N186" s="256" t="s">
        <v>283</v>
      </c>
      <c r="O186" s="257" t="s">
        <v>18</v>
      </c>
      <c r="P186" s="257" t="s">
        <v>18</v>
      </c>
      <c r="Q186" s="257" t="s">
        <v>15</v>
      </c>
      <c r="R186" s="257" t="s">
        <v>15</v>
      </c>
      <c r="S186" s="257" t="s">
        <v>16</v>
      </c>
      <c r="T186" s="257" t="s">
        <v>330</v>
      </c>
      <c r="U186" s="257" t="s">
        <v>250</v>
      </c>
      <c r="V186" s="257" t="s">
        <v>283</v>
      </c>
      <c r="W186" s="258" t="s">
        <v>283</v>
      </c>
      <c r="X186" s="258" t="s">
        <v>283</v>
      </c>
      <c r="Y186" s="259" t="s">
        <v>283</v>
      </c>
    </row>
    <row r="187" spans="1:25">
      <c r="A187" s="253">
        <v>4</v>
      </c>
      <c r="B187" s="254" t="str">
        <f>VLOOKUP(Tabel10[[#This Row],[Code]],Ruimtegroepen[[Code]:[Ruimte omschrijving]],2,FALSE)</f>
        <v>Vergader/spreekkamers</v>
      </c>
      <c r="C187" s="255" t="s">
        <v>435</v>
      </c>
      <c r="D187" s="254" t="s">
        <v>12</v>
      </c>
      <c r="E187" s="255" t="s">
        <v>102</v>
      </c>
      <c r="F187" s="255" t="s">
        <v>439</v>
      </c>
      <c r="G187" s="260" t="s">
        <v>283</v>
      </c>
      <c r="H187" s="256" t="s">
        <v>283</v>
      </c>
      <c r="I187" s="256" t="s">
        <v>17</v>
      </c>
      <c r="J187" s="256" t="s">
        <v>15</v>
      </c>
      <c r="K187" s="256" t="s">
        <v>330</v>
      </c>
      <c r="L187" s="256" t="s">
        <v>283</v>
      </c>
      <c r="M187" s="256" t="s">
        <v>283</v>
      </c>
      <c r="N187" s="256" t="s">
        <v>283</v>
      </c>
      <c r="O187" s="257" t="s">
        <v>18</v>
      </c>
      <c r="P187" s="257" t="s">
        <v>18</v>
      </c>
      <c r="Q187" s="257" t="s">
        <v>15</v>
      </c>
      <c r="R187" s="257" t="s">
        <v>15</v>
      </c>
      <c r="S187" s="257" t="s">
        <v>16</v>
      </c>
      <c r="T187" s="257" t="s">
        <v>330</v>
      </c>
      <c r="U187" s="257" t="s">
        <v>250</v>
      </c>
      <c r="V187" s="257" t="s">
        <v>283</v>
      </c>
      <c r="W187" s="258" t="s">
        <v>283</v>
      </c>
      <c r="X187" s="258" t="s">
        <v>283</v>
      </c>
      <c r="Y187" s="259" t="s">
        <v>283</v>
      </c>
    </row>
    <row r="188" spans="1:25">
      <c r="A188" s="253">
        <v>4</v>
      </c>
      <c r="B188" s="254" t="str">
        <f>VLOOKUP(Tabel10[[#This Row],[Code]],Ruimtegroepen[[Code]:[Ruimte omschrijving]],2,FALSE)</f>
        <v>Vergader/spreekkamers</v>
      </c>
      <c r="C188" s="255" t="s">
        <v>435</v>
      </c>
      <c r="D188" s="254" t="s">
        <v>12</v>
      </c>
      <c r="E188" s="255" t="s">
        <v>99</v>
      </c>
      <c r="F188" s="255" t="s">
        <v>437</v>
      </c>
      <c r="G188" s="256" t="s">
        <v>17</v>
      </c>
      <c r="H188" s="256" t="s">
        <v>15</v>
      </c>
      <c r="I188" s="256" t="s">
        <v>283</v>
      </c>
      <c r="J188" s="256" t="s">
        <v>283</v>
      </c>
      <c r="K188" s="256" t="s">
        <v>283</v>
      </c>
      <c r="L188" s="256" t="s">
        <v>283</v>
      </c>
      <c r="M188" s="256" t="s">
        <v>283</v>
      </c>
      <c r="N188" s="256" t="s">
        <v>283</v>
      </c>
      <c r="O188" s="257" t="s">
        <v>18</v>
      </c>
      <c r="P188" s="257" t="s">
        <v>18</v>
      </c>
      <c r="Q188" s="257" t="s">
        <v>15</v>
      </c>
      <c r="R188" s="257" t="s">
        <v>15</v>
      </c>
      <c r="S188" s="257" t="s">
        <v>16</v>
      </c>
      <c r="T188" s="257" t="s">
        <v>330</v>
      </c>
      <c r="U188" s="257" t="s">
        <v>250</v>
      </c>
      <c r="V188" s="257" t="s">
        <v>283</v>
      </c>
      <c r="W188" s="258" t="s">
        <v>283</v>
      </c>
      <c r="X188" s="258" t="s">
        <v>283</v>
      </c>
      <c r="Y188" s="259" t="s">
        <v>283</v>
      </c>
    </row>
    <row r="189" spans="1:25">
      <c r="A189" s="253">
        <v>4</v>
      </c>
      <c r="B189" s="254" t="str">
        <f>VLOOKUP(Tabel10[[#This Row],[Code]],Ruimtegroepen[[Code]:[Ruimte omschrijving]],2,FALSE)</f>
        <v>Vergader/spreekkamers</v>
      </c>
      <c r="C189" s="255" t="s">
        <v>435</v>
      </c>
      <c r="D189" s="254" t="s">
        <v>12</v>
      </c>
      <c r="E189" s="255" t="s">
        <v>1312</v>
      </c>
      <c r="F189" s="255" t="s">
        <v>1429</v>
      </c>
      <c r="G189" s="260" t="s">
        <v>283</v>
      </c>
      <c r="H189" s="256" t="s">
        <v>283</v>
      </c>
      <c r="I189" s="256" t="s">
        <v>17</v>
      </c>
      <c r="J189" s="256" t="s">
        <v>15</v>
      </c>
      <c r="K189" s="256" t="s">
        <v>330</v>
      </c>
      <c r="L189" s="256" t="s">
        <v>283</v>
      </c>
      <c r="M189" s="256" t="s">
        <v>283</v>
      </c>
      <c r="N189" s="256" t="s">
        <v>283</v>
      </c>
      <c r="O189" s="257" t="s">
        <v>18</v>
      </c>
      <c r="P189" s="257" t="s">
        <v>18</v>
      </c>
      <c r="Q189" s="257" t="s">
        <v>15</v>
      </c>
      <c r="R189" s="257" t="s">
        <v>15</v>
      </c>
      <c r="S189" s="257" t="s">
        <v>16</v>
      </c>
      <c r="T189" s="257" t="s">
        <v>330</v>
      </c>
      <c r="U189" s="257" t="s">
        <v>250</v>
      </c>
      <c r="V189" s="257" t="s">
        <v>283</v>
      </c>
      <c r="W189" s="258" t="s">
        <v>283</v>
      </c>
      <c r="X189" s="258" t="s">
        <v>283</v>
      </c>
      <c r="Y189" s="259" t="s">
        <v>283</v>
      </c>
    </row>
    <row r="190" spans="1:25">
      <c r="A190" s="253">
        <v>4</v>
      </c>
      <c r="B190" s="254" t="str">
        <f>VLOOKUP(Tabel10[[#This Row],[Code]],Ruimtegroepen[[Code]:[Ruimte omschrijving]],2,FALSE)</f>
        <v>Vergader/spreekkamers</v>
      </c>
      <c r="C190" s="255" t="s">
        <v>440</v>
      </c>
      <c r="D190" s="254" t="s">
        <v>14</v>
      </c>
      <c r="E190" s="255" t="s">
        <v>100</v>
      </c>
      <c r="F190" s="255" t="s">
        <v>441</v>
      </c>
      <c r="G190" s="260" t="s">
        <v>283</v>
      </c>
      <c r="H190" s="256" t="s">
        <v>283</v>
      </c>
      <c r="I190" s="256" t="s">
        <v>15</v>
      </c>
      <c r="J190" s="256" t="s">
        <v>15</v>
      </c>
      <c r="K190" s="256" t="s">
        <v>283</v>
      </c>
      <c r="L190" s="256" t="s">
        <v>283</v>
      </c>
      <c r="M190" s="256" t="s">
        <v>283</v>
      </c>
      <c r="N190" s="256" t="s">
        <v>283</v>
      </c>
      <c r="O190" s="257" t="s">
        <v>17</v>
      </c>
      <c r="P190" s="257" t="s">
        <v>17</v>
      </c>
      <c r="Q190" s="257" t="s">
        <v>15</v>
      </c>
      <c r="R190" s="257" t="s">
        <v>15</v>
      </c>
      <c r="S190" s="257" t="s">
        <v>16</v>
      </c>
      <c r="T190" s="257" t="s">
        <v>330</v>
      </c>
      <c r="U190" s="257" t="s">
        <v>250</v>
      </c>
      <c r="V190" s="257" t="s">
        <v>283</v>
      </c>
      <c r="W190" s="258" t="s">
        <v>283</v>
      </c>
      <c r="X190" s="258" t="s">
        <v>283</v>
      </c>
      <c r="Y190" s="259" t="s">
        <v>283</v>
      </c>
    </row>
    <row r="191" spans="1:25">
      <c r="A191" s="253">
        <v>4</v>
      </c>
      <c r="B191" s="254" t="str">
        <f>VLOOKUP(Tabel10[[#This Row],[Code]],Ruimtegroepen[[Code]:[Ruimte omschrijving]],2,FALSE)</f>
        <v>Vergader/spreekkamers</v>
      </c>
      <c r="C191" s="255" t="s">
        <v>440</v>
      </c>
      <c r="D191" s="254" t="s">
        <v>14</v>
      </c>
      <c r="E191" s="255" t="s">
        <v>99</v>
      </c>
      <c r="F191" s="255" t="s">
        <v>442</v>
      </c>
      <c r="G191" s="256" t="s">
        <v>15</v>
      </c>
      <c r="H191" s="256" t="s">
        <v>15</v>
      </c>
      <c r="I191" s="256" t="s">
        <v>283</v>
      </c>
      <c r="J191" s="256" t="s">
        <v>283</v>
      </c>
      <c r="K191" s="256" t="s">
        <v>283</v>
      </c>
      <c r="L191" s="256" t="s">
        <v>283</v>
      </c>
      <c r="M191" s="256" t="s">
        <v>283</v>
      </c>
      <c r="N191" s="256" t="s">
        <v>283</v>
      </c>
      <c r="O191" s="257" t="s">
        <v>17</v>
      </c>
      <c r="P191" s="257" t="s">
        <v>17</v>
      </c>
      <c r="Q191" s="257" t="s">
        <v>15</v>
      </c>
      <c r="R191" s="257" t="s">
        <v>15</v>
      </c>
      <c r="S191" s="257" t="s">
        <v>16</v>
      </c>
      <c r="T191" s="257" t="s">
        <v>330</v>
      </c>
      <c r="U191" s="257" t="s">
        <v>250</v>
      </c>
      <c r="V191" s="257" t="s">
        <v>283</v>
      </c>
      <c r="W191" s="258" t="s">
        <v>283</v>
      </c>
      <c r="X191" s="258" t="s">
        <v>283</v>
      </c>
      <c r="Y191" s="259" t="s">
        <v>283</v>
      </c>
    </row>
    <row r="192" spans="1:25">
      <c r="A192" s="253">
        <v>4</v>
      </c>
      <c r="B192" s="254" t="str">
        <f>VLOOKUP(Tabel10[[#This Row],[Code]],Ruimtegroepen[[Code]:[Ruimte omschrijving]],2,FALSE)</f>
        <v>Vergader/spreekkamers</v>
      </c>
      <c r="C192" s="255" t="s">
        <v>440</v>
      </c>
      <c r="D192" s="254" t="s">
        <v>14</v>
      </c>
      <c r="E192" s="255" t="s">
        <v>101</v>
      </c>
      <c r="F192" s="255" t="s">
        <v>443</v>
      </c>
      <c r="G192" s="260" t="s">
        <v>283</v>
      </c>
      <c r="H192" s="256" t="s">
        <v>283</v>
      </c>
      <c r="I192" s="256" t="s">
        <v>15</v>
      </c>
      <c r="J192" s="256" t="s">
        <v>15</v>
      </c>
      <c r="K192" s="256" t="s">
        <v>330</v>
      </c>
      <c r="L192" s="256" t="s">
        <v>283</v>
      </c>
      <c r="M192" s="256" t="s">
        <v>283</v>
      </c>
      <c r="N192" s="256" t="s">
        <v>283</v>
      </c>
      <c r="O192" s="257" t="s">
        <v>17</v>
      </c>
      <c r="P192" s="257" t="s">
        <v>17</v>
      </c>
      <c r="Q192" s="257" t="s">
        <v>15</v>
      </c>
      <c r="R192" s="257" t="s">
        <v>15</v>
      </c>
      <c r="S192" s="257" t="s">
        <v>16</v>
      </c>
      <c r="T192" s="257" t="s">
        <v>330</v>
      </c>
      <c r="U192" s="257" t="s">
        <v>250</v>
      </c>
      <c r="V192" s="257" t="s">
        <v>283</v>
      </c>
      <c r="W192" s="258" t="s">
        <v>283</v>
      </c>
      <c r="X192" s="258" t="s">
        <v>283</v>
      </c>
      <c r="Y192" s="259" t="s">
        <v>283</v>
      </c>
    </row>
    <row r="193" spans="1:25">
      <c r="A193" s="253">
        <v>4</v>
      </c>
      <c r="B193" s="254" t="str">
        <f>VLOOKUP(Tabel10[[#This Row],[Code]],Ruimtegroepen[[Code]:[Ruimte omschrijving]],2,FALSE)</f>
        <v>Vergader/spreekkamers</v>
      </c>
      <c r="C193" s="255" t="s">
        <v>440</v>
      </c>
      <c r="D193" s="254" t="s">
        <v>14</v>
      </c>
      <c r="E193" s="255" t="s">
        <v>102</v>
      </c>
      <c r="F193" s="255" t="s">
        <v>444</v>
      </c>
      <c r="G193" s="260" t="s">
        <v>283</v>
      </c>
      <c r="H193" s="256" t="s">
        <v>283</v>
      </c>
      <c r="I193" s="256" t="s">
        <v>15</v>
      </c>
      <c r="J193" s="256" t="s">
        <v>15</v>
      </c>
      <c r="K193" s="256" t="s">
        <v>330</v>
      </c>
      <c r="L193" s="256" t="s">
        <v>283</v>
      </c>
      <c r="M193" s="256" t="s">
        <v>283</v>
      </c>
      <c r="N193" s="256" t="s">
        <v>283</v>
      </c>
      <c r="O193" s="257" t="s">
        <v>17</v>
      </c>
      <c r="P193" s="257" t="s">
        <v>17</v>
      </c>
      <c r="Q193" s="257" t="s">
        <v>15</v>
      </c>
      <c r="R193" s="257" t="s">
        <v>15</v>
      </c>
      <c r="S193" s="257" t="s">
        <v>16</v>
      </c>
      <c r="T193" s="257" t="s">
        <v>330</v>
      </c>
      <c r="U193" s="257" t="s">
        <v>250</v>
      </c>
      <c r="V193" s="257" t="s">
        <v>283</v>
      </c>
      <c r="W193" s="258" t="s">
        <v>283</v>
      </c>
      <c r="X193" s="258" t="s">
        <v>283</v>
      </c>
      <c r="Y193" s="259" t="s">
        <v>283</v>
      </c>
    </row>
    <row r="194" spans="1:25">
      <c r="A194" s="253">
        <v>4</v>
      </c>
      <c r="B194" s="254" t="str">
        <f>VLOOKUP(Tabel10[[#This Row],[Code]],Ruimtegroepen[[Code]:[Ruimte omschrijving]],2,FALSE)</f>
        <v>Vergader/spreekkamers</v>
      </c>
      <c r="C194" s="255" t="s">
        <v>440</v>
      </c>
      <c r="D194" s="254" t="s">
        <v>14</v>
      </c>
      <c r="E194" s="255" t="s">
        <v>99</v>
      </c>
      <c r="F194" s="255" t="s">
        <v>442</v>
      </c>
      <c r="G194" s="256" t="s">
        <v>15</v>
      </c>
      <c r="H194" s="256" t="s">
        <v>15</v>
      </c>
      <c r="I194" s="256" t="s">
        <v>283</v>
      </c>
      <c r="J194" s="256" t="s">
        <v>283</v>
      </c>
      <c r="K194" s="256" t="s">
        <v>283</v>
      </c>
      <c r="L194" s="256" t="s">
        <v>283</v>
      </c>
      <c r="M194" s="256" t="s">
        <v>283</v>
      </c>
      <c r="N194" s="256" t="s">
        <v>283</v>
      </c>
      <c r="O194" s="257" t="s">
        <v>17</v>
      </c>
      <c r="P194" s="257" t="s">
        <v>17</v>
      </c>
      <c r="Q194" s="257" t="s">
        <v>15</v>
      </c>
      <c r="R194" s="257" t="s">
        <v>15</v>
      </c>
      <c r="S194" s="257" t="s">
        <v>16</v>
      </c>
      <c r="T194" s="257" t="s">
        <v>330</v>
      </c>
      <c r="U194" s="257" t="s">
        <v>250</v>
      </c>
      <c r="V194" s="257" t="s">
        <v>283</v>
      </c>
      <c r="W194" s="258" t="s">
        <v>283</v>
      </c>
      <c r="X194" s="258" t="s">
        <v>283</v>
      </c>
      <c r="Y194" s="259" t="s">
        <v>283</v>
      </c>
    </row>
    <row r="195" spans="1:25">
      <c r="A195" s="253">
        <v>4</v>
      </c>
      <c r="B195" s="254" t="str">
        <f>VLOOKUP(Tabel10[[#This Row],[Code]],Ruimtegroepen[[Code]:[Ruimte omschrijving]],2,FALSE)</f>
        <v>Vergader/spreekkamers</v>
      </c>
      <c r="C195" s="255" t="s">
        <v>440</v>
      </c>
      <c r="D195" s="254" t="s">
        <v>14</v>
      </c>
      <c r="E195" s="255" t="s">
        <v>1312</v>
      </c>
      <c r="F195" s="255" t="s">
        <v>1396</v>
      </c>
      <c r="G195" s="260" t="s">
        <v>283</v>
      </c>
      <c r="H195" s="256" t="s">
        <v>283</v>
      </c>
      <c r="I195" s="256" t="s">
        <v>15</v>
      </c>
      <c r="J195" s="256" t="s">
        <v>15</v>
      </c>
      <c r="K195" s="256" t="s">
        <v>330</v>
      </c>
      <c r="L195" s="256" t="s">
        <v>283</v>
      </c>
      <c r="M195" s="256" t="s">
        <v>283</v>
      </c>
      <c r="N195" s="256" t="s">
        <v>283</v>
      </c>
      <c r="O195" s="257" t="s">
        <v>17</v>
      </c>
      <c r="P195" s="257" t="s">
        <v>17</v>
      </c>
      <c r="Q195" s="257" t="s">
        <v>15</v>
      </c>
      <c r="R195" s="257" t="s">
        <v>15</v>
      </c>
      <c r="S195" s="257" t="s">
        <v>16</v>
      </c>
      <c r="T195" s="257" t="s">
        <v>330</v>
      </c>
      <c r="U195" s="257" t="s">
        <v>250</v>
      </c>
      <c r="V195" s="257" t="s">
        <v>283</v>
      </c>
      <c r="W195" s="258" t="s">
        <v>283</v>
      </c>
      <c r="X195" s="258" t="s">
        <v>283</v>
      </c>
      <c r="Y195" s="259" t="s">
        <v>283</v>
      </c>
    </row>
    <row r="196" spans="1:25">
      <c r="A196" s="253">
        <v>4</v>
      </c>
      <c r="B196" s="254" t="str">
        <f>VLOOKUP(Tabel10[[#This Row],[Code]],Ruimtegroepen[[Code]:[Ruimte omschrijving]],2,FALSE)</f>
        <v>Vergader/spreekkamers</v>
      </c>
      <c r="C196" s="255" t="s">
        <v>445</v>
      </c>
      <c r="D196" s="254" t="s">
        <v>13</v>
      </c>
      <c r="E196" s="255" t="s">
        <v>100</v>
      </c>
      <c r="F196" s="255" t="s">
        <v>446</v>
      </c>
      <c r="G196" s="260" t="s">
        <v>283</v>
      </c>
      <c r="H196" s="256" t="s">
        <v>283</v>
      </c>
      <c r="I196" s="256" t="s">
        <v>283</v>
      </c>
      <c r="J196" s="256" t="s">
        <v>15</v>
      </c>
      <c r="K196" s="256" t="s">
        <v>283</v>
      </c>
      <c r="L196" s="256" t="s">
        <v>283</v>
      </c>
      <c r="M196" s="256" t="s">
        <v>283</v>
      </c>
      <c r="N196" s="256" t="s">
        <v>283</v>
      </c>
      <c r="O196" s="257" t="s">
        <v>15</v>
      </c>
      <c r="P196" s="257" t="s">
        <v>15</v>
      </c>
      <c r="Q196" s="257" t="s">
        <v>15</v>
      </c>
      <c r="R196" s="257" t="s">
        <v>15</v>
      </c>
      <c r="S196" s="257" t="s">
        <v>16</v>
      </c>
      <c r="T196" s="257" t="s">
        <v>330</v>
      </c>
      <c r="U196" s="257" t="s">
        <v>250</v>
      </c>
      <c r="V196" s="257" t="s">
        <v>283</v>
      </c>
      <c r="W196" s="258" t="s">
        <v>283</v>
      </c>
      <c r="X196" s="258" t="s">
        <v>283</v>
      </c>
      <c r="Y196" s="259" t="s">
        <v>283</v>
      </c>
    </row>
    <row r="197" spans="1:25">
      <c r="A197" s="253">
        <v>4</v>
      </c>
      <c r="B197" s="254" t="str">
        <f>VLOOKUP(Tabel10[[#This Row],[Code]],Ruimtegroepen[[Code]:[Ruimte omschrijving]],2,FALSE)</f>
        <v>Vergader/spreekkamers</v>
      </c>
      <c r="C197" s="255" t="s">
        <v>445</v>
      </c>
      <c r="D197" s="254" t="s">
        <v>13</v>
      </c>
      <c r="E197" s="255" t="s">
        <v>99</v>
      </c>
      <c r="F197" s="255" t="s">
        <v>447</v>
      </c>
      <c r="G197" s="260" t="s">
        <v>283</v>
      </c>
      <c r="H197" s="256" t="s">
        <v>15</v>
      </c>
      <c r="I197" s="256" t="s">
        <v>283</v>
      </c>
      <c r="J197" s="256" t="s">
        <v>283</v>
      </c>
      <c r="K197" s="256" t="s">
        <v>283</v>
      </c>
      <c r="L197" s="256" t="s">
        <v>283</v>
      </c>
      <c r="M197" s="256" t="s">
        <v>283</v>
      </c>
      <c r="N197" s="256" t="s">
        <v>283</v>
      </c>
      <c r="O197" s="257" t="s">
        <v>15</v>
      </c>
      <c r="P197" s="257" t="s">
        <v>15</v>
      </c>
      <c r="Q197" s="257" t="s">
        <v>15</v>
      </c>
      <c r="R197" s="257" t="s">
        <v>15</v>
      </c>
      <c r="S197" s="257" t="s">
        <v>16</v>
      </c>
      <c r="T197" s="257" t="s">
        <v>330</v>
      </c>
      <c r="U197" s="257" t="s">
        <v>250</v>
      </c>
      <c r="V197" s="257" t="s">
        <v>283</v>
      </c>
      <c r="W197" s="258" t="s">
        <v>283</v>
      </c>
      <c r="X197" s="258" t="s">
        <v>283</v>
      </c>
      <c r="Y197" s="259" t="s">
        <v>283</v>
      </c>
    </row>
    <row r="198" spans="1:25">
      <c r="A198" s="253">
        <v>4</v>
      </c>
      <c r="B198" s="254" t="str">
        <f>VLOOKUP(Tabel10[[#This Row],[Code]],Ruimtegroepen[[Code]:[Ruimte omschrijving]],2,FALSE)</f>
        <v>Vergader/spreekkamers</v>
      </c>
      <c r="C198" s="255" t="s">
        <v>445</v>
      </c>
      <c r="D198" s="254" t="s">
        <v>13</v>
      </c>
      <c r="E198" s="255" t="s">
        <v>101</v>
      </c>
      <c r="F198" s="255" t="s">
        <v>448</v>
      </c>
      <c r="G198" s="260" t="s">
        <v>283</v>
      </c>
      <c r="H198" s="256" t="s">
        <v>283</v>
      </c>
      <c r="I198" s="256" t="s">
        <v>283</v>
      </c>
      <c r="J198" s="256" t="s">
        <v>15</v>
      </c>
      <c r="K198" s="256" t="s">
        <v>330</v>
      </c>
      <c r="L198" s="256" t="s">
        <v>283</v>
      </c>
      <c r="M198" s="256" t="s">
        <v>283</v>
      </c>
      <c r="N198" s="256" t="s">
        <v>283</v>
      </c>
      <c r="O198" s="257" t="s">
        <v>15</v>
      </c>
      <c r="P198" s="257" t="s">
        <v>15</v>
      </c>
      <c r="Q198" s="257" t="s">
        <v>15</v>
      </c>
      <c r="R198" s="257" t="s">
        <v>15</v>
      </c>
      <c r="S198" s="257" t="s">
        <v>16</v>
      </c>
      <c r="T198" s="257" t="s">
        <v>330</v>
      </c>
      <c r="U198" s="257" t="s">
        <v>250</v>
      </c>
      <c r="V198" s="257" t="s">
        <v>283</v>
      </c>
      <c r="W198" s="258" t="s">
        <v>283</v>
      </c>
      <c r="X198" s="258" t="s">
        <v>283</v>
      </c>
      <c r="Y198" s="259" t="s">
        <v>283</v>
      </c>
    </row>
    <row r="199" spans="1:25">
      <c r="A199" s="253">
        <v>4</v>
      </c>
      <c r="B199" s="254" t="str">
        <f>VLOOKUP(Tabel10[[#This Row],[Code]],Ruimtegroepen[[Code]:[Ruimte omschrijving]],2,FALSE)</f>
        <v>Vergader/spreekkamers</v>
      </c>
      <c r="C199" s="255" t="s">
        <v>445</v>
      </c>
      <c r="D199" s="254" t="s">
        <v>13</v>
      </c>
      <c r="E199" s="255" t="s">
        <v>102</v>
      </c>
      <c r="F199" s="255" t="s">
        <v>449</v>
      </c>
      <c r="G199" s="260" t="s">
        <v>283</v>
      </c>
      <c r="H199" s="256" t="s">
        <v>283</v>
      </c>
      <c r="I199" s="256" t="s">
        <v>283</v>
      </c>
      <c r="J199" s="256" t="s">
        <v>15</v>
      </c>
      <c r="K199" s="256" t="s">
        <v>330</v>
      </c>
      <c r="L199" s="256" t="s">
        <v>283</v>
      </c>
      <c r="M199" s="256" t="s">
        <v>283</v>
      </c>
      <c r="N199" s="256" t="s">
        <v>283</v>
      </c>
      <c r="O199" s="257" t="s">
        <v>15</v>
      </c>
      <c r="P199" s="257" t="s">
        <v>15</v>
      </c>
      <c r="Q199" s="257" t="s">
        <v>15</v>
      </c>
      <c r="R199" s="257" t="s">
        <v>15</v>
      </c>
      <c r="S199" s="257" t="s">
        <v>16</v>
      </c>
      <c r="T199" s="257" t="s">
        <v>330</v>
      </c>
      <c r="U199" s="257" t="s">
        <v>250</v>
      </c>
      <c r="V199" s="257" t="s">
        <v>283</v>
      </c>
      <c r="W199" s="258" t="s">
        <v>283</v>
      </c>
      <c r="X199" s="258" t="s">
        <v>283</v>
      </c>
      <c r="Y199" s="259" t="s">
        <v>283</v>
      </c>
    </row>
    <row r="200" spans="1:25">
      <c r="A200" s="253">
        <v>4</v>
      </c>
      <c r="B200" s="254" t="str">
        <f>VLOOKUP(Tabel10[[#This Row],[Code]],Ruimtegroepen[[Code]:[Ruimte omschrijving]],2,FALSE)</f>
        <v>Vergader/spreekkamers</v>
      </c>
      <c r="C200" s="255" t="s">
        <v>445</v>
      </c>
      <c r="D200" s="254" t="s">
        <v>13</v>
      </c>
      <c r="E200" s="255" t="s">
        <v>99</v>
      </c>
      <c r="F200" s="255" t="s">
        <v>447</v>
      </c>
      <c r="G200" s="260" t="s">
        <v>283</v>
      </c>
      <c r="H200" s="256" t="s">
        <v>15</v>
      </c>
      <c r="I200" s="256" t="s">
        <v>283</v>
      </c>
      <c r="J200" s="256" t="s">
        <v>283</v>
      </c>
      <c r="K200" s="256" t="s">
        <v>283</v>
      </c>
      <c r="L200" s="256" t="s">
        <v>283</v>
      </c>
      <c r="M200" s="256" t="s">
        <v>283</v>
      </c>
      <c r="N200" s="256" t="s">
        <v>283</v>
      </c>
      <c r="O200" s="257" t="s">
        <v>15</v>
      </c>
      <c r="P200" s="257" t="s">
        <v>15</v>
      </c>
      <c r="Q200" s="257" t="s">
        <v>15</v>
      </c>
      <c r="R200" s="257" t="s">
        <v>15</v>
      </c>
      <c r="S200" s="257" t="s">
        <v>16</v>
      </c>
      <c r="T200" s="257" t="s">
        <v>330</v>
      </c>
      <c r="U200" s="257" t="s">
        <v>250</v>
      </c>
      <c r="V200" s="257" t="s">
        <v>283</v>
      </c>
      <c r="W200" s="258" t="s">
        <v>283</v>
      </c>
      <c r="X200" s="258" t="s">
        <v>283</v>
      </c>
      <c r="Y200" s="259" t="s">
        <v>283</v>
      </c>
    </row>
    <row r="201" spans="1:25">
      <c r="A201" s="253">
        <v>4</v>
      </c>
      <c r="B201" s="254" t="str">
        <f>VLOOKUP(Tabel10[[#This Row],[Code]],Ruimtegroepen[[Code]:[Ruimte omschrijving]],2,FALSE)</f>
        <v>Vergader/spreekkamers</v>
      </c>
      <c r="C201" s="255" t="s">
        <v>445</v>
      </c>
      <c r="D201" s="254" t="s">
        <v>13</v>
      </c>
      <c r="E201" s="255" t="s">
        <v>1312</v>
      </c>
      <c r="F201" s="255" t="s">
        <v>1363</v>
      </c>
      <c r="G201" s="260" t="s">
        <v>283</v>
      </c>
      <c r="H201" s="256" t="s">
        <v>283</v>
      </c>
      <c r="I201" s="256" t="s">
        <v>283</v>
      </c>
      <c r="J201" s="256" t="s">
        <v>15</v>
      </c>
      <c r="K201" s="256" t="s">
        <v>330</v>
      </c>
      <c r="L201" s="256" t="s">
        <v>283</v>
      </c>
      <c r="M201" s="256" t="s">
        <v>283</v>
      </c>
      <c r="N201" s="256" t="s">
        <v>283</v>
      </c>
      <c r="O201" s="257" t="s">
        <v>15</v>
      </c>
      <c r="P201" s="257" t="s">
        <v>15</v>
      </c>
      <c r="Q201" s="257" t="s">
        <v>15</v>
      </c>
      <c r="R201" s="257" t="s">
        <v>15</v>
      </c>
      <c r="S201" s="257" t="s">
        <v>16</v>
      </c>
      <c r="T201" s="257" t="s">
        <v>330</v>
      </c>
      <c r="U201" s="257" t="s">
        <v>250</v>
      </c>
      <c r="V201" s="257" t="s">
        <v>283</v>
      </c>
      <c r="W201" s="258" t="s">
        <v>283</v>
      </c>
      <c r="X201" s="258" t="s">
        <v>283</v>
      </c>
      <c r="Y201" s="259" t="s">
        <v>283</v>
      </c>
    </row>
    <row r="202" spans="1:25">
      <c r="A202" s="253">
        <v>4</v>
      </c>
      <c r="B202" s="254" t="str">
        <f>VLOOKUP(Tabel10[[#This Row],[Code]],Ruimtegroepen[[Code]:[Ruimte omschrijving]],2,FALSE)</f>
        <v>Vergader/spreekkamers</v>
      </c>
      <c r="C202" s="255" t="s">
        <v>450</v>
      </c>
      <c r="D202" s="254" t="s">
        <v>0</v>
      </c>
      <c r="E202" s="255" t="s">
        <v>100</v>
      </c>
      <c r="F202" s="255" t="s">
        <v>451</v>
      </c>
      <c r="G202" s="260" t="s">
        <v>283</v>
      </c>
      <c r="H202" s="256" t="s">
        <v>283</v>
      </c>
      <c r="I202" s="256" t="s">
        <v>16</v>
      </c>
      <c r="J202" s="256" t="s">
        <v>283</v>
      </c>
      <c r="K202" s="256" t="s">
        <v>283</v>
      </c>
      <c r="L202" s="256" t="s">
        <v>283</v>
      </c>
      <c r="M202" s="256" t="s">
        <v>283</v>
      </c>
      <c r="N202" s="256" t="s">
        <v>283</v>
      </c>
      <c r="O202" s="257" t="s">
        <v>16</v>
      </c>
      <c r="P202" s="257" t="s">
        <v>16</v>
      </c>
      <c r="Q202" s="257" t="s">
        <v>16</v>
      </c>
      <c r="R202" s="257" t="s">
        <v>16</v>
      </c>
      <c r="S202" s="257" t="s">
        <v>16</v>
      </c>
      <c r="T202" s="257" t="s">
        <v>330</v>
      </c>
      <c r="U202" s="257" t="s">
        <v>250</v>
      </c>
      <c r="V202" s="257" t="s">
        <v>283</v>
      </c>
      <c r="W202" s="258" t="s">
        <v>283</v>
      </c>
      <c r="X202" s="258" t="s">
        <v>283</v>
      </c>
      <c r="Y202" s="259" t="s">
        <v>283</v>
      </c>
    </row>
    <row r="203" spans="1:25">
      <c r="A203" s="253">
        <v>4</v>
      </c>
      <c r="B203" s="254" t="str">
        <f>VLOOKUP(Tabel10[[#This Row],[Code]],Ruimtegroepen[[Code]:[Ruimte omschrijving]],2,FALSE)</f>
        <v>Vergader/spreekkamers</v>
      </c>
      <c r="C203" s="255" t="s">
        <v>450</v>
      </c>
      <c r="D203" s="254" t="s">
        <v>0</v>
      </c>
      <c r="E203" s="255" t="s">
        <v>99</v>
      </c>
      <c r="F203" s="255" t="s">
        <v>452</v>
      </c>
      <c r="G203" s="260" t="s">
        <v>283</v>
      </c>
      <c r="H203" s="256" t="s">
        <v>16</v>
      </c>
      <c r="I203" s="256" t="s">
        <v>283</v>
      </c>
      <c r="J203" s="256" t="s">
        <v>283</v>
      </c>
      <c r="K203" s="256" t="s">
        <v>283</v>
      </c>
      <c r="L203" s="256" t="s">
        <v>283</v>
      </c>
      <c r="M203" s="256" t="s">
        <v>283</v>
      </c>
      <c r="N203" s="256" t="s">
        <v>283</v>
      </c>
      <c r="O203" s="257" t="s">
        <v>16</v>
      </c>
      <c r="P203" s="257" t="s">
        <v>16</v>
      </c>
      <c r="Q203" s="257" t="s">
        <v>16</v>
      </c>
      <c r="R203" s="257" t="s">
        <v>16</v>
      </c>
      <c r="S203" s="257" t="s">
        <v>16</v>
      </c>
      <c r="T203" s="257" t="s">
        <v>330</v>
      </c>
      <c r="U203" s="257" t="s">
        <v>250</v>
      </c>
      <c r="V203" s="257" t="s">
        <v>283</v>
      </c>
      <c r="W203" s="258" t="s">
        <v>283</v>
      </c>
      <c r="X203" s="258" t="s">
        <v>283</v>
      </c>
      <c r="Y203" s="259" t="s">
        <v>283</v>
      </c>
    </row>
    <row r="204" spans="1:25">
      <c r="A204" s="253">
        <v>4</v>
      </c>
      <c r="B204" s="254" t="str">
        <f>VLOOKUP(Tabel10[[#This Row],[Code]],Ruimtegroepen[[Code]:[Ruimte omschrijving]],2,FALSE)</f>
        <v>Vergader/spreekkamers</v>
      </c>
      <c r="C204" s="255" t="s">
        <v>450</v>
      </c>
      <c r="D204" s="254" t="s">
        <v>0</v>
      </c>
      <c r="E204" s="255" t="s">
        <v>101</v>
      </c>
      <c r="F204" s="255" t="s">
        <v>453</v>
      </c>
      <c r="G204" s="260" t="s">
        <v>283</v>
      </c>
      <c r="H204" s="256" t="s">
        <v>283</v>
      </c>
      <c r="I204" s="256" t="s">
        <v>283</v>
      </c>
      <c r="J204" s="256" t="s">
        <v>16</v>
      </c>
      <c r="K204" s="256" t="s">
        <v>330</v>
      </c>
      <c r="L204" s="256" t="s">
        <v>283</v>
      </c>
      <c r="M204" s="256" t="s">
        <v>283</v>
      </c>
      <c r="N204" s="256" t="s">
        <v>283</v>
      </c>
      <c r="O204" s="257" t="s">
        <v>16</v>
      </c>
      <c r="P204" s="257" t="s">
        <v>16</v>
      </c>
      <c r="Q204" s="257" t="s">
        <v>16</v>
      </c>
      <c r="R204" s="257" t="s">
        <v>16</v>
      </c>
      <c r="S204" s="257" t="s">
        <v>16</v>
      </c>
      <c r="T204" s="257" t="s">
        <v>330</v>
      </c>
      <c r="U204" s="257" t="s">
        <v>250</v>
      </c>
      <c r="V204" s="257" t="s">
        <v>283</v>
      </c>
      <c r="W204" s="258" t="s">
        <v>283</v>
      </c>
      <c r="X204" s="258" t="s">
        <v>283</v>
      </c>
      <c r="Y204" s="259" t="s">
        <v>283</v>
      </c>
    </row>
    <row r="205" spans="1:25">
      <c r="A205" s="253">
        <v>4</v>
      </c>
      <c r="B205" s="254" t="str">
        <f>VLOOKUP(Tabel10[[#This Row],[Code]],Ruimtegroepen[[Code]:[Ruimte omschrijving]],2,FALSE)</f>
        <v>Vergader/spreekkamers</v>
      </c>
      <c r="C205" s="255" t="s">
        <v>450</v>
      </c>
      <c r="D205" s="254" t="s">
        <v>0</v>
      </c>
      <c r="E205" s="255" t="s">
        <v>102</v>
      </c>
      <c r="F205" s="255" t="s">
        <v>454</v>
      </c>
      <c r="G205" s="260" t="s">
        <v>283</v>
      </c>
      <c r="H205" s="256" t="s">
        <v>283</v>
      </c>
      <c r="I205" s="256" t="s">
        <v>16</v>
      </c>
      <c r="J205" s="256" t="s">
        <v>283</v>
      </c>
      <c r="K205" s="256" t="s">
        <v>330</v>
      </c>
      <c r="L205" s="256" t="s">
        <v>283</v>
      </c>
      <c r="M205" s="256" t="s">
        <v>283</v>
      </c>
      <c r="N205" s="256" t="s">
        <v>283</v>
      </c>
      <c r="O205" s="257" t="s">
        <v>16</v>
      </c>
      <c r="P205" s="257" t="s">
        <v>16</v>
      </c>
      <c r="Q205" s="257" t="s">
        <v>16</v>
      </c>
      <c r="R205" s="257" t="s">
        <v>16</v>
      </c>
      <c r="S205" s="257" t="s">
        <v>16</v>
      </c>
      <c r="T205" s="257" t="s">
        <v>330</v>
      </c>
      <c r="U205" s="257" t="s">
        <v>250</v>
      </c>
      <c r="V205" s="257" t="s">
        <v>283</v>
      </c>
      <c r="W205" s="258" t="s">
        <v>283</v>
      </c>
      <c r="X205" s="258" t="s">
        <v>283</v>
      </c>
      <c r="Y205" s="259" t="s">
        <v>283</v>
      </c>
    </row>
    <row r="206" spans="1:25">
      <c r="A206" s="253">
        <v>4</v>
      </c>
      <c r="B206" s="254" t="str">
        <f>VLOOKUP(Tabel10[[#This Row],[Code]],Ruimtegroepen[[Code]:[Ruimte omschrijving]],2,FALSE)</f>
        <v>Vergader/spreekkamers</v>
      </c>
      <c r="C206" s="255" t="s">
        <v>450</v>
      </c>
      <c r="D206" s="254" t="s">
        <v>0</v>
      </c>
      <c r="E206" s="255" t="s">
        <v>99</v>
      </c>
      <c r="F206" s="255" t="s">
        <v>452</v>
      </c>
      <c r="G206" s="260" t="s">
        <v>283</v>
      </c>
      <c r="H206" s="256" t="s">
        <v>16</v>
      </c>
      <c r="I206" s="256" t="s">
        <v>283</v>
      </c>
      <c r="J206" s="256" t="s">
        <v>283</v>
      </c>
      <c r="K206" s="256" t="s">
        <v>283</v>
      </c>
      <c r="L206" s="256" t="s">
        <v>283</v>
      </c>
      <c r="M206" s="256" t="s">
        <v>283</v>
      </c>
      <c r="N206" s="256" t="s">
        <v>283</v>
      </c>
      <c r="O206" s="257" t="s">
        <v>16</v>
      </c>
      <c r="P206" s="257" t="s">
        <v>16</v>
      </c>
      <c r="Q206" s="257" t="s">
        <v>16</v>
      </c>
      <c r="R206" s="257" t="s">
        <v>16</v>
      </c>
      <c r="S206" s="257" t="s">
        <v>16</v>
      </c>
      <c r="T206" s="257" t="s">
        <v>330</v>
      </c>
      <c r="U206" s="257" t="s">
        <v>250</v>
      </c>
      <c r="V206" s="257" t="s">
        <v>283</v>
      </c>
      <c r="W206" s="258" t="s">
        <v>283</v>
      </c>
      <c r="X206" s="258" t="s">
        <v>283</v>
      </c>
      <c r="Y206" s="259" t="s">
        <v>283</v>
      </c>
    </row>
    <row r="207" spans="1:25">
      <c r="A207" s="253">
        <v>4</v>
      </c>
      <c r="B207" s="254" t="str">
        <f>VLOOKUP(Tabel10[[#This Row],[Code]],Ruimtegroepen[[Code]:[Ruimte omschrijving]],2,FALSE)</f>
        <v>Vergader/spreekkamers</v>
      </c>
      <c r="C207" s="255" t="s">
        <v>450</v>
      </c>
      <c r="D207" s="254" t="s">
        <v>0</v>
      </c>
      <c r="E207" s="255" t="s">
        <v>1312</v>
      </c>
      <c r="F207" s="255" t="s">
        <v>1347</v>
      </c>
      <c r="G207" s="260" t="s">
        <v>283</v>
      </c>
      <c r="H207" s="256" t="s">
        <v>283</v>
      </c>
      <c r="I207" s="256" t="s">
        <v>16</v>
      </c>
      <c r="J207" s="256" t="s">
        <v>283</v>
      </c>
      <c r="K207" s="256" t="s">
        <v>330</v>
      </c>
      <c r="L207" s="256" t="s">
        <v>283</v>
      </c>
      <c r="M207" s="256" t="s">
        <v>283</v>
      </c>
      <c r="N207" s="256" t="s">
        <v>283</v>
      </c>
      <c r="O207" s="257" t="s">
        <v>16</v>
      </c>
      <c r="P207" s="257" t="s">
        <v>16</v>
      </c>
      <c r="Q207" s="257" t="s">
        <v>16</v>
      </c>
      <c r="R207" s="257" t="s">
        <v>16</v>
      </c>
      <c r="S207" s="257" t="s">
        <v>16</v>
      </c>
      <c r="T207" s="257" t="s">
        <v>330</v>
      </c>
      <c r="U207" s="257" t="s">
        <v>250</v>
      </c>
      <c r="V207" s="257" t="s">
        <v>283</v>
      </c>
      <c r="W207" s="258" t="s">
        <v>283</v>
      </c>
      <c r="X207" s="258" t="s">
        <v>283</v>
      </c>
      <c r="Y207" s="259" t="s">
        <v>283</v>
      </c>
    </row>
    <row r="208" spans="1:25">
      <c r="A208" s="253">
        <v>4</v>
      </c>
      <c r="B208" s="254" t="str">
        <f>VLOOKUP(Tabel10[[#This Row],[Code]],Ruimtegroepen[[Code]:[Ruimte omschrijving]],2,FALSE)</f>
        <v>Vergader/spreekkamers</v>
      </c>
      <c r="C208" s="255" t="s">
        <v>455</v>
      </c>
      <c r="D208" s="254" t="s">
        <v>27</v>
      </c>
      <c r="E208" s="255" t="s">
        <v>100</v>
      </c>
      <c r="F208" s="255" t="s">
        <v>456</v>
      </c>
      <c r="G208" s="260" t="s">
        <v>283</v>
      </c>
      <c r="H208" s="256" t="s">
        <v>283</v>
      </c>
      <c r="I208" s="256" t="s">
        <v>15</v>
      </c>
      <c r="J208" s="256" t="s">
        <v>283</v>
      </c>
      <c r="K208" s="256" t="s">
        <v>283</v>
      </c>
      <c r="L208" s="256" t="s">
        <v>283</v>
      </c>
      <c r="M208" s="256" t="s">
        <v>283</v>
      </c>
      <c r="N208" s="256" t="s">
        <v>283</v>
      </c>
      <c r="O208" s="257" t="s">
        <v>15</v>
      </c>
      <c r="P208" s="257" t="s">
        <v>15</v>
      </c>
      <c r="Q208" s="257" t="s">
        <v>15</v>
      </c>
      <c r="R208" s="257" t="s">
        <v>283</v>
      </c>
      <c r="S208" s="257" t="s">
        <v>283</v>
      </c>
      <c r="T208" s="257" t="s">
        <v>283</v>
      </c>
      <c r="U208" s="257" t="s">
        <v>283</v>
      </c>
      <c r="V208" s="257" t="s">
        <v>283</v>
      </c>
      <c r="W208" s="258" t="s">
        <v>283</v>
      </c>
      <c r="X208" s="258" t="s">
        <v>283</v>
      </c>
      <c r="Y208" s="259" t="s">
        <v>283</v>
      </c>
    </row>
    <row r="209" spans="1:25">
      <c r="A209" s="253">
        <v>4</v>
      </c>
      <c r="B209" s="254" t="str">
        <f>VLOOKUP(Tabel10[[#This Row],[Code]],Ruimtegroepen[[Code]:[Ruimte omschrijving]],2,FALSE)</f>
        <v>Vergader/spreekkamers</v>
      </c>
      <c r="C209" s="255" t="s">
        <v>455</v>
      </c>
      <c r="D209" s="254" t="s">
        <v>27</v>
      </c>
      <c r="E209" s="255" t="s">
        <v>99</v>
      </c>
      <c r="F209" s="255" t="s">
        <v>457</v>
      </c>
      <c r="G209" s="260" t="s">
        <v>283</v>
      </c>
      <c r="H209" s="256" t="s">
        <v>15</v>
      </c>
      <c r="I209" s="256" t="s">
        <v>283</v>
      </c>
      <c r="J209" s="256" t="s">
        <v>283</v>
      </c>
      <c r="K209" s="256" t="s">
        <v>283</v>
      </c>
      <c r="L209" s="256" t="s">
        <v>283</v>
      </c>
      <c r="M209" s="256" t="s">
        <v>283</v>
      </c>
      <c r="N209" s="256" t="s">
        <v>283</v>
      </c>
      <c r="O209" s="257" t="s">
        <v>15</v>
      </c>
      <c r="P209" s="257" t="s">
        <v>15</v>
      </c>
      <c r="Q209" s="257" t="s">
        <v>15</v>
      </c>
      <c r="R209" s="257" t="s">
        <v>283</v>
      </c>
      <c r="S209" s="257" t="s">
        <v>283</v>
      </c>
      <c r="T209" s="257" t="s">
        <v>283</v>
      </c>
      <c r="U209" s="257" t="s">
        <v>283</v>
      </c>
      <c r="V209" s="257" t="s">
        <v>283</v>
      </c>
      <c r="W209" s="258" t="s">
        <v>283</v>
      </c>
      <c r="X209" s="258" t="s">
        <v>283</v>
      </c>
      <c r="Y209" s="259" t="s">
        <v>283</v>
      </c>
    </row>
    <row r="210" spans="1:25">
      <c r="A210" s="253">
        <v>4</v>
      </c>
      <c r="B210" s="254" t="str">
        <f>VLOOKUP(Tabel10[[#This Row],[Code]],Ruimtegroepen[[Code]:[Ruimte omschrijving]],2,FALSE)</f>
        <v>Vergader/spreekkamers</v>
      </c>
      <c r="C210" s="255" t="s">
        <v>455</v>
      </c>
      <c r="D210" s="254" t="s">
        <v>27</v>
      </c>
      <c r="E210" s="255" t="s">
        <v>101</v>
      </c>
      <c r="F210" s="255" t="s">
        <v>458</v>
      </c>
      <c r="G210" s="260" t="s">
        <v>283</v>
      </c>
      <c r="H210" s="256" t="s">
        <v>283</v>
      </c>
      <c r="I210" s="256" t="s">
        <v>15</v>
      </c>
      <c r="J210" s="256" t="s">
        <v>283</v>
      </c>
      <c r="K210" s="256" t="s">
        <v>283</v>
      </c>
      <c r="L210" s="256" t="s">
        <v>283</v>
      </c>
      <c r="M210" s="256" t="s">
        <v>283</v>
      </c>
      <c r="N210" s="256" t="s">
        <v>283</v>
      </c>
      <c r="O210" s="257" t="s">
        <v>15</v>
      </c>
      <c r="P210" s="257" t="s">
        <v>15</v>
      </c>
      <c r="Q210" s="257" t="s">
        <v>15</v>
      </c>
      <c r="R210" s="257" t="s">
        <v>283</v>
      </c>
      <c r="S210" s="257" t="s">
        <v>283</v>
      </c>
      <c r="T210" s="257" t="s">
        <v>283</v>
      </c>
      <c r="U210" s="257" t="s">
        <v>283</v>
      </c>
      <c r="V210" s="257" t="s">
        <v>283</v>
      </c>
      <c r="W210" s="258" t="s">
        <v>283</v>
      </c>
      <c r="X210" s="258" t="s">
        <v>283</v>
      </c>
      <c r="Y210" s="259" t="s">
        <v>283</v>
      </c>
    </row>
    <row r="211" spans="1:25">
      <c r="A211" s="253">
        <v>4</v>
      </c>
      <c r="B211" s="254" t="str">
        <f>VLOOKUP(Tabel10[[#This Row],[Code]],Ruimtegroepen[[Code]:[Ruimte omschrijving]],2,FALSE)</f>
        <v>Vergader/spreekkamers</v>
      </c>
      <c r="C211" s="255" t="s">
        <v>455</v>
      </c>
      <c r="D211" s="254" t="s">
        <v>27</v>
      </c>
      <c r="E211" s="255" t="s">
        <v>102</v>
      </c>
      <c r="F211" s="255" t="s">
        <v>459</v>
      </c>
      <c r="G211" s="260" t="s">
        <v>283</v>
      </c>
      <c r="H211" s="256" t="s">
        <v>283</v>
      </c>
      <c r="I211" s="256" t="s">
        <v>15</v>
      </c>
      <c r="J211" s="256" t="s">
        <v>283</v>
      </c>
      <c r="K211" s="256" t="s">
        <v>283</v>
      </c>
      <c r="L211" s="256" t="s">
        <v>283</v>
      </c>
      <c r="M211" s="256" t="s">
        <v>283</v>
      </c>
      <c r="N211" s="256" t="s">
        <v>283</v>
      </c>
      <c r="O211" s="257" t="s">
        <v>15</v>
      </c>
      <c r="P211" s="257" t="s">
        <v>15</v>
      </c>
      <c r="Q211" s="257" t="s">
        <v>15</v>
      </c>
      <c r="R211" s="257" t="s">
        <v>283</v>
      </c>
      <c r="S211" s="257" t="s">
        <v>283</v>
      </c>
      <c r="T211" s="257" t="s">
        <v>283</v>
      </c>
      <c r="U211" s="257" t="s">
        <v>283</v>
      </c>
      <c r="V211" s="257" t="s">
        <v>283</v>
      </c>
      <c r="W211" s="258" t="s">
        <v>283</v>
      </c>
      <c r="X211" s="258" t="s">
        <v>283</v>
      </c>
      <c r="Y211" s="259" t="s">
        <v>283</v>
      </c>
    </row>
    <row r="212" spans="1:25">
      <c r="A212" s="253">
        <v>4</v>
      </c>
      <c r="B212" s="254" t="str">
        <f>VLOOKUP(Tabel10[[#This Row],[Code]],Ruimtegroepen[[Code]:[Ruimte omschrijving]],2,FALSE)</f>
        <v>Vergader/spreekkamers</v>
      </c>
      <c r="C212" s="255" t="s">
        <v>455</v>
      </c>
      <c r="D212" s="254" t="s">
        <v>27</v>
      </c>
      <c r="E212" s="255" t="s">
        <v>99</v>
      </c>
      <c r="F212" s="255" t="s">
        <v>457</v>
      </c>
      <c r="G212" s="260" t="s">
        <v>283</v>
      </c>
      <c r="H212" s="256" t="s">
        <v>15</v>
      </c>
      <c r="I212" s="256" t="s">
        <v>283</v>
      </c>
      <c r="J212" s="256" t="s">
        <v>283</v>
      </c>
      <c r="K212" s="256" t="s">
        <v>283</v>
      </c>
      <c r="L212" s="256" t="s">
        <v>283</v>
      </c>
      <c r="M212" s="256" t="s">
        <v>283</v>
      </c>
      <c r="N212" s="256" t="s">
        <v>283</v>
      </c>
      <c r="O212" s="257" t="s">
        <v>15</v>
      </c>
      <c r="P212" s="257" t="s">
        <v>15</v>
      </c>
      <c r="Q212" s="257" t="s">
        <v>15</v>
      </c>
      <c r="R212" s="257" t="s">
        <v>283</v>
      </c>
      <c r="S212" s="257" t="s">
        <v>283</v>
      </c>
      <c r="T212" s="257" t="s">
        <v>283</v>
      </c>
      <c r="U212" s="257" t="s">
        <v>283</v>
      </c>
      <c r="V212" s="257" t="s">
        <v>283</v>
      </c>
      <c r="W212" s="258" t="s">
        <v>283</v>
      </c>
      <c r="X212" s="258" t="s">
        <v>283</v>
      </c>
      <c r="Y212" s="259" t="s">
        <v>283</v>
      </c>
    </row>
    <row r="213" spans="1:25">
      <c r="A213" s="253">
        <v>4</v>
      </c>
      <c r="B213" s="254" t="str">
        <f>VLOOKUP(Tabel10[[#This Row],[Code]],Ruimtegroepen[[Code]:[Ruimte omschrijving]],2,FALSE)</f>
        <v>Vergader/spreekkamers</v>
      </c>
      <c r="C213" s="255" t="s">
        <v>455</v>
      </c>
      <c r="D213" s="254" t="s">
        <v>27</v>
      </c>
      <c r="E213" s="255" t="s">
        <v>1312</v>
      </c>
      <c r="F213" s="255" t="s">
        <v>1380</v>
      </c>
      <c r="G213" s="260" t="s">
        <v>283</v>
      </c>
      <c r="H213" s="256" t="s">
        <v>283</v>
      </c>
      <c r="I213" s="256" t="s">
        <v>15</v>
      </c>
      <c r="J213" s="256" t="s">
        <v>283</v>
      </c>
      <c r="K213" s="256" t="s">
        <v>283</v>
      </c>
      <c r="L213" s="256" t="s">
        <v>283</v>
      </c>
      <c r="M213" s="256" t="s">
        <v>283</v>
      </c>
      <c r="N213" s="256" t="s">
        <v>283</v>
      </c>
      <c r="O213" s="257" t="s">
        <v>15</v>
      </c>
      <c r="P213" s="257" t="s">
        <v>15</v>
      </c>
      <c r="Q213" s="257" t="s">
        <v>15</v>
      </c>
      <c r="R213" s="257" t="s">
        <v>283</v>
      </c>
      <c r="S213" s="257" t="s">
        <v>283</v>
      </c>
      <c r="T213" s="257" t="s">
        <v>283</v>
      </c>
      <c r="U213" s="257" t="s">
        <v>283</v>
      </c>
      <c r="V213" s="257" t="s">
        <v>283</v>
      </c>
      <c r="W213" s="258" t="s">
        <v>283</v>
      </c>
      <c r="X213" s="258" t="s">
        <v>283</v>
      </c>
      <c r="Y213" s="259" t="s">
        <v>283</v>
      </c>
    </row>
    <row r="214" spans="1:25">
      <c r="A214" s="253">
        <v>4</v>
      </c>
      <c r="B214" s="254" t="str">
        <f>VLOOKUP(Tabel10[[#This Row],[Code]],Ruimtegroepen[[Code]:[Ruimte omschrijving]],2,FALSE)</f>
        <v>Vergader/spreekkamers</v>
      </c>
      <c r="C214" s="255" t="s">
        <v>460</v>
      </c>
      <c r="D214" s="254" t="s">
        <v>28</v>
      </c>
      <c r="E214" s="255" t="s">
        <v>100</v>
      </c>
      <c r="F214" s="255" t="s">
        <v>461</v>
      </c>
      <c r="G214" s="260" t="s">
        <v>283</v>
      </c>
      <c r="H214" s="256" t="s">
        <v>283</v>
      </c>
      <c r="I214" s="256" t="s">
        <v>17</v>
      </c>
      <c r="J214" s="256" t="s">
        <v>283</v>
      </c>
      <c r="K214" s="256" t="s">
        <v>283</v>
      </c>
      <c r="L214" s="256" t="s">
        <v>283</v>
      </c>
      <c r="M214" s="256" t="s">
        <v>283</v>
      </c>
      <c r="N214" s="256" t="s">
        <v>283</v>
      </c>
      <c r="O214" s="257" t="s">
        <v>17</v>
      </c>
      <c r="P214" s="257" t="s">
        <v>17</v>
      </c>
      <c r="Q214" s="257" t="s">
        <v>15</v>
      </c>
      <c r="R214" s="257" t="s">
        <v>283</v>
      </c>
      <c r="S214" s="257" t="s">
        <v>283</v>
      </c>
      <c r="T214" s="257" t="s">
        <v>283</v>
      </c>
      <c r="U214" s="257" t="s">
        <v>283</v>
      </c>
      <c r="V214" s="257" t="s">
        <v>283</v>
      </c>
      <c r="W214" s="258" t="s">
        <v>283</v>
      </c>
      <c r="X214" s="258" t="s">
        <v>283</v>
      </c>
      <c r="Y214" s="259" t="s">
        <v>283</v>
      </c>
    </row>
    <row r="215" spans="1:25">
      <c r="A215" s="253">
        <v>4</v>
      </c>
      <c r="B215" s="254" t="str">
        <f>VLOOKUP(Tabel10[[#This Row],[Code]],Ruimtegroepen[[Code]:[Ruimte omschrijving]],2,FALSE)</f>
        <v>Vergader/spreekkamers</v>
      </c>
      <c r="C215" s="255" t="s">
        <v>460</v>
      </c>
      <c r="D215" s="254" t="s">
        <v>28</v>
      </c>
      <c r="E215" s="255" t="s">
        <v>99</v>
      </c>
      <c r="F215" s="255" t="s">
        <v>462</v>
      </c>
      <c r="G215" s="260" t="s">
        <v>283</v>
      </c>
      <c r="H215" s="256" t="s">
        <v>17</v>
      </c>
      <c r="I215" s="256" t="s">
        <v>283</v>
      </c>
      <c r="J215" s="256" t="s">
        <v>283</v>
      </c>
      <c r="K215" s="256" t="s">
        <v>283</v>
      </c>
      <c r="L215" s="256" t="s">
        <v>283</v>
      </c>
      <c r="M215" s="256" t="s">
        <v>283</v>
      </c>
      <c r="N215" s="256" t="s">
        <v>283</v>
      </c>
      <c r="O215" s="257" t="s">
        <v>17</v>
      </c>
      <c r="P215" s="257" t="s">
        <v>17</v>
      </c>
      <c r="Q215" s="257" t="s">
        <v>15</v>
      </c>
      <c r="R215" s="257" t="s">
        <v>283</v>
      </c>
      <c r="S215" s="257" t="s">
        <v>283</v>
      </c>
      <c r="T215" s="257" t="s">
        <v>283</v>
      </c>
      <c r="U215" s="257" t="s">
        <v>283</v>
      </c>
      <c r="V215" s="257" t="s">
        <v>283</v>
      </c>
      <c r="W215" s="258" t="s">
        <v>283</v>
      </c>
      <c r="X215" s="258" t="s">
        <v>283</v>
      </c>
      <c r="Y215" s="259" t="s">
        <v>283</v>
      </c>
    </row>
    <row r="216" spans="1:25">
      <c r="A216" s="253">
        <v>4</v>
      </c>
      <c r="B216" s="254" t="str">
        <f>VLOOKUP(Tabel10[[#This Row],[Code]],Ruimtegroepen[[Code]:[Ruimte omschrijving]],2,FALSE)</f>
        <v>Vergader/spreekkamers</v>
      </c>
      <c r="C216" s="255" t="s">
        <v>460</v>
      </c>
      <c r="D216" s="254" t="s">
        <v>28</v>
      </c>
      <c r="E216" s="255" t="s">
        <v>101</v>
      </c>
      <c r="F216" s="255" t="s">
        <v>463</v>
      </c>
      <c r="G216" s="260" t="s">
        <v>283</v>
      </c>
      <c r="H216" s="256" t="s">
        <v>283</v>
      </c>
      <c r="I216" s="256" t="s">
        <v>17</v>
      </c>
      <c r="J216" s="256" t="s">
        <v>283</v>
      </c>
      <c r="K216" s="256" t="s">
        <v>283</v>
      </c>
      <c r="L216" s="256" t="s">
        <v>283</v>
      </c>
      <c r="M216" s="256" t="s">
        <v>283</v>
      </c>
      <c r="N216" s="256" t="s">
        <v>283</v>
      </c>
      <c r="O216" s="257" t="s">
        <v>17</v>
      </c>
      <c r="P216" s="257" t="s">
        <v>17</v>
      </c>
      <c r="Q216" s="257" t="s">
        <v>15</v>
      </c>
      <c r="R216" s="257" t="s">
        <v>283</v>
      </c>
      <c r="S216" s="257" t="s">
        <v>283</v>
      </c>
      <c r="T216" s="257" t="s">
        <v>283</v>
      </c>
      <c r="U216" s="257" t="s">
        <v>283</v>
      </c>
      <c r="V216" s="257" t="s">
        <v>283</v>
      </c>
      <c r="W216" s="258" t="s">
        <v>283</v>
      </c>
      <c r="X216" s="258" t="s">
        <v>283</v>
      </c>
      <c r="Y216" s="259" t="s">
        <v>283</v>
      </c>
    </row>
    <row r="217" spans="1:25">
      <c r="A217" s="253">
        <v>4</v>
      </c>
      <c r="B217" s="254" t="str">
        <f>VLOOKUP(Tabel10[[#This Row],[Code]],Ruimtegroepen[[Code]:[Ruimte omschrijving]],2,FALSE)</f>
        <v>Vergader/spreekkamers</v>
      </c>
      <c r="C217" s="255" t="s">
        <v>460</v>
      </c>
      <c r="D217" s="254" t="s">
        <v>28</v>
      </c>
      <c r="E217" s="255" t="s">
        <v>102</v>
      </c>
      <c r="F217" s="255" t="s">
        <v>464</v>
      </c>
      <c r="G217" s="260" t="s">
        <v>283</v>
      </c>
      <c r="H217" s="256" t="s">
        <v>283</v>
      </c>
      <c r="I217" s="256" t="s">
        <v>17</v>
      </c>
      <c r="J217" s="256" t="s">
        <v>283</v>
      </c>
      <c r="K217" s="256" t="s">
        <v>283</v>
      </c>
      <c r="L217" s="256" t="s">
        <v>283</v>
      </c>
      <c r="M217" s="256" t="s">
        <v>283</v>
      </c>
      <c r="N217" s="256" t="s">
        <v>283</v>
      </c>
      <c r="O217" s="257" t="s">
        <v>17</v>
      </c>
      <c r="P217" s="257" t="s">
        <v>17</v>
      </c>
      <c r="Q217" s="257" t="s">
        <v>15</v>
      </c>
      <c r="R217" s="257" t="s">
        <v>283</v>
      </c>
      <c r="S217" s="257" t="s">
        <v>283</v>
      </c>
      <c r="T217" s="257" t="s">
        <v>283</v>
      </c>
      <c r="U217" s="257" t="s">
        <v>283</v>
      </c>
      <c r="V217" s="257" t="s">
        <v>283</v>
      </c>
      <c r="W217" s="258" t="s">
        <v>283</v>
      </c>
      <c r="X217" s="258" t="s">
        <v>283</v>
      </c>
      <c r="Y217" s="259" t="s">
        <v>283</v>
      </c>
    </row>
    <row r="218" spans="1:25">
      <c r="A218" s="253">
        <v>4</v>
      </c>
      <c r="B218" s="254" t="str">
        <f>VLOOKUP(Tabel10[[#This Row],[Code]],Ruimtegroepen[[Code]:[Ruimte omschrijving]],2,FALSE)</f>
        <v>Vergader/spreekkamers</v>
      </c>
      <c r="C218" s="255" t="s">
        <v>460</v>
      </c>
      <c r="D218" s="254" t="s">
        <v>28</v>
      </c>
      <c r="E218" s="255" t="s">
        <v>99</v>
      </c>
      <c r="F218" s="255" t="s">
        <v>462</v>
      </c>
      <c r="G218" s="260" t="s">
        <v>283</v>
      </c>
      <c r="H218" s="256" t="s">
        <v>17</v>
      </c>
      <c r="I218" s="256" t="s">
        <v>283</v>
      </c>
      <c r="J218" s="256" t="s">
        <v>283</v>
      </c>
      <c r="K218" s="256" t="s">
        <v>283</v>
      </c>
      <c r="L218" s="256" t="s">
        <v>283</v>
      </c>
      <c r="M218" s="256" t="s">
        <v>283</v>
      </c>
      <c r="N218" s="256" t="s">
        <v>283</v>
      </c>
      <c r="O218" s="257" t="s">
        <v>17</v>
      </c>
      <c r="P218" s="257" t="s">
        <v>17</v>
      </c>
      <c r="Q218" s="257" t="s">
        <v>15</v>
      </c>
      <c r="R218" s="257" t="s">
        <v>283</v>
      </c>
      <c r="S218" s="257" t="s">
        <v>283</v>
      </c>
      <c r="T218" s="257" t="s">
        <v>283</v>
      </c>
      <c r="U218" s="257" t="s">
        <v>283</v>
      </c>
      <c r="V218" s="257" t="s">
        <v>283</v>
      </c>
      <c r="W218" s="258" t="s">
        <v>283</v>
      </c>
      <c r="X218" s="258" t="s">
        <v>283</v>
      </c>
      <c r="Y218" s="259" t="s">
        <v>283</v>
      </c>
    </row>
    <row r="219" spans="1:25">
      <c r="A219" s="253">
        <v>4</v>
      </c>
      <c r="B219" s="254" t="str">
        <f>VLOOKUP(Tabel10[[#This Row],[Code]],Ruimtegroepen[[Code]:[Ruimte omschrijving]],2,FALSE)</f>
        <v>Vergader/spreekkamers</v>
      </c>
      <c r="C219" s="255" t="s">
        <v>460</v>
      </c>
      <c r="D219" s="254" t="s">
        <v>28</v>
      </c>
      <c r="E219" s="255" t="s">
        <v>1312</v>
      </c>
      <c r="F219" s="255" t="s">
        <v>1413</v>
      </c>
      <c r="G219" s="260" t="s">
        <v>283</v>
      </c>
      <c r="H219" s="256" t="s">
        <v>283</v>
      </c>
      <c r="I219" s="256" t="s">
        <v>17</v>
      </c>
      <c r="J219" s="256" t="s">
        <v>283</v>
      </c>
      <c r="K219" s="256" t="s">
        <v>283</v>
      </c>
      <c r="L219" s="256" t="s">
        <v>283</v>
      </c>
      <c r="M219" s="256" t="s">
        <v>283</v>
      </c>
      <c r="N219" s="256" t="s">
        <v>283</v>
      </c>
      <c r="O219" s="257" t="s">
        <v>17</v>
      </c>
      <c r="P219" s="257" t="s">
        <v>17</v>
      </c>
      <c r="Q219" s="257" t="s">
        <v>15</v>
      </c>
      <c r="R219" s="257" t="s">
        <v>283</v>
      </c>
      <c r="S219" s="257" t="s">
        <v>283</v>
      </c>
      <c r="T219" s="257" t="s">
        <v>283</v>
      </c>
      <c r="U219" s="257" t="s">
        <v>283</v>
      </c>
      <c r="V219" s="257" t="s">
        <v>283</v>
      </c>
      <c r="W219" s="258" t="s">
        <v>283</v>
      </c>
      <c r="X219" s="258" t="s">
        <v>283</v>
      </c>
      <c r="Y219" s="259" t="s">
        <v>283</v>
      </c>
    </row>
    <row r="220" spans="1:25">
      <c r="A220" s="253">
        <v>5</v>
      </c>
      <c r="B220" s="254" t="str">
        <f>VLOOKUP(Tabel10[[#This Row],[Code]],Ruimtegroepen[[Code]:[Ruimte omschrijving]],2,FALSE)</f>
        <v>Sanitair</v>
      </c>
      <c r="C220" s="255" t="s">
        <v>465</v>
      </c>
      <c r="D220" s="254" t="s">
        <v>29</v>
      </c>
      <c r="E220" s="255" t="s">
        <v>100</v>
      </c>
      <c r="F220" s="255" t="s">
        <v>466</v>
      </c>
      <c r="G220" s="260" t="s">
        <v>283</v>
      </c>
      <c r="H220" s="256" t="s">
        <v>283</v>
      </c>
      <c r="I220" s="256" t="s">
        <v>283</v>
      </c>
      <c r="J220" s="256" t="s">
        <v>20</v>
      </c>
      <c r="K220" s="256" t="s">
        <v>15</v>
      </c>
      <c r="L220" s="256" t="s">
        <v>283</v>
      </c>
      <c r="M220" s="256" t="s">
        <v>283</v>
      </c>
      <c r="N220" s="256" t="s">
        <v>2</v>
      </c>
      <c r="O220" s="257" t="s">
        <v>283</v>
      </c>
      <c r="P220" s="257" t="s">
        <v>283</v>
      </c>
      <c r="Q220" s="257" t="s">
        <v>283</v>
      </c>
      <c r="R220" s="257" t="s">
        <v>283</v>
      </c>
      <c r="S220" s="257" t="s">
        <v>283</v>
      </c>
      <c r="T220" s="257" t="s">
        <v>283</v>
      </c>
      <c r="U220" s="257" t="s">
        <v>283</v>
      </c>
      <c r="V220" s="257" t="s">
        <v>283</v>
      </c>
      <c r="W220" s="258" t="s">
        <v>20</v>
      </c>
      <c r="X220" s="258" t="s">
        <v>15</v>
      </c>
      <c r="Y220" s="259" t="s">
        <v>2</v>
      </c>
    </row>
    <row r="221" spans="1:25">
      <c r="A221" s="253">
        <v>5</v>
      </c>
      <c r="B221" s="254" t="str">
        <f>VLOOKUP(Tabel10[[#This Row],[Code]],Ruimtegroepen[[Code]:[Ruimte omschrijving]],2,FALSE)</f>
        <v>Sanitair</v>
      </c>
      <c r="C221" s="255" t="s">
        <v>465</v>
      </c>
      <c r="D221" s="254" t="s">
        <v>29</v>
      </c>
      <c r="E221" s="255" t="s">
        <v>99</v>
      </c>
      <c r="F221" s="255" t="s">
        <v>467</v>
      </c>
      <c r="G221" s="260" t="s">
        <v>283</v>
      </c>
      <c r="H221" s="256" t="s">
        <v>283</v>
      </c>
      <c r="I221" s="256" t="s">
        <v>283</v>
      </c>
      <c r="J221" s="256" t="s">
        <v>283</v>
      </c>
      <c r="K221" s="256" t="s">
        <v>283</v>
      </c>
      <c r="L221" s="256" t="s">
        <v>283</v>
      </c>
      <c r="M221" s="256" t="s">
        <v>283</v>
      </c>
      <c r="N221" s="256" t="s">
        <v>283</v>
      </c>
      <c r="O221" s="257" t="s">
        <v>283</v>
      </c>
      <c r="P221" s="257" t="s">
        <v>283</v>
      </c>
      <c r="Q221" s="257" t="s">
        <v>283</v>
      </c>
      <c r="R221" s="257" t="s">
        <v>283</v>
      </c>
      <c r="S221" s="257" t="s">
        <v>283</v>
      </c>
      <c r="T221" s="257" t="s">
        <v>283</v>
      </c>
      <c r="U221" s="257" t="s">
        <v>283</v>
      </c>
      <c r="V221" s="257" t="s">
        <v>283</v>
      </c>
      <c r="W221" s="258" t="s">
        <v>283</v>
      </c>
      <c r="X221" s="258" t="s">
        <v>283</v>
      </c>
      <c r="Y221" s="259" t="s">
        <v>283</v>
      </c>
    </row>
    <row r="222" spans="1:25">
      <c r="A222" s="253">
        <v>5</v>
      </c>
      <c r="B222" s="254" t="str">
        <f>VLOOKUP(Tabel10[[#This Row],[Code]],Ruimtegroepen[[Code]:[Ruimte omschrijving]],2,FALSE)</f>
        <v>Sanitair</v>
      </c>
      <c r="C222" s="255" t="s">
        <v>465</v>
      </c>
      <c r="D222" s="254" t="s">
        <v>29</v>
      </c>
      <c r="E222" s="255" t="s">
        <v>101</v>
      </c>
      <c r="F222" s="255" t="s">
        <v>468</v>
      </c>
      <c r="G222" s="260" t="s">
        <v>283</v>
      </c>
      <c r="H222" s="256" t="s">
        <v>283</v>
      </c>
      <c r="I222" s="256" t="s">
        <v>283</v>
      </c>
      <c r="J222" s="256" t="s">
        <v>20</v>
      </c>
      <c r="K222" s="256" t="s">
        <v>15</v>
      </c>
      <c r="L222" s="256" t="s">
        <v>283</v>
      </c>
      <c r="M222" s="256" t="s">
        <v>283</v>
      </c>
      <c r="N222" s="256" t="s">
        <v>2</v>
      </c>
      <c r="O222" s="257" t="s">
        <v>283</v>
      </c>
      <c r="P222" s="257" t="s">
        <v>283</v>
      </c>
      <c r="Q222" s="257" t="s">
        <v>283</v>
      </c>
      <c r="R222" s="257" t="s">
        <v>283</v>
      </c>
      <c r="S222" s="257" t="s">
        <v>283</v>
      </c>
      <c r="T222" s="257" t="s">
        <v>283</v>
      </c>
      <c r="U222" s="257" t="s">
        <v>283</v>
      </c>
      <c r="V222" s="257" t="s">
        <v>283</v>
      </c>
      <c r="W222" s="258" t="s">
        <v>20</v>
      </c>
      <c r="X222" s="258" t="s">
        <v>15</v>
      </c>
      <c r="Y222" s="259" t="s">
        <v>2</v>
      </c>
    </row>
    <row r="223" spans="1:25">
      <c r="A223" s="253">
        <v>5</v>
      </c>
      <c r="B223" s="254" t="str">
        <f>VLOOKUP(Tabel10[[#This Row],[Code]],Ruimtegroepen[[Code]:[Ruimte omschrijving]],2,FALSE)</f>
        <v>Sanitair</v>
      </c>
      <c r="C223" s="255" t="s">
        <v>465</v>
      </c>
      <c r="D223" s="254" t="s">
        <v>29</v>
      </c>
      <c r="E223" s="255" t="s">
        <v>102</v>
      </c>
      <c r="F223" s="255" t="s">
        <v>469</v>
      </c>
      <c r="G223" s="260" t="s">
        <v>283</v>
      </c>
      <c r="H223" s="256" t="s">
        <v>283</v>
      </c>
      <c r="I223" s="256" t="s">
        <v>283</v>
      </c>
      <c r="J223" s="256" t="s">
        <v>20</v>
      </c>
      <c r="K223" s="256" t="s">
        <v>15</v>
      </c>
      <c r="L223" s="256" t="s">
        <v>283</v>
      </c>
      <c r="M223" s="256" t="s">
        <v>283</v>
      </c>
      <c r="N223" s="256" t="s">
        <v>2</v>
      </c>
      <c r="O223" s="257" t="s">
        <v>283</v>
      </c>
      <c r="P223" s="257" t="s">
        <v>283</v>
      </c>
      <c r="Q223" s="257" t="s">
        <v>283</v>
      </c>
      <c r="R223" s="257" t="s">
        <v>283</v>
      </c>
      <c r="S223" s="257" t="s">
        <v>283</v>
      </c>
      <c r="T223" s="257" t="s">
        <v>283</v>
      </c>
      <c r="U223" s="257" t="s">
        <v>283</v>
      </c>
      <c r="V223" s="257" t="s">
        <v>283</v>
      </c>
      <c r="W223" s="258" t="s">
        <v>20</v>
      </c>
      <c r="X223" s="258" t="s">
        <v>15</v>
      </c>
      <c r="Y223" s="259" t="s">
        <v>2</v>
      </c>
    </row>
    <row r="224" spans="1:25">
      <c r="A224" s="253">
        <v>5</v>
      </c>
      <c r="B224" s="254" t="str">
        <f>VLOOKUP(Tabel10[[#This Row],[Code]],Ruimtegroepen[[Code]:[Ruimte omschrijving]],2,FALSE)</f>
        <v>Sanitair</v>
      </c>
      <c r="C224" s="255" t="s">
        <v>465</v>
      </c>
      <c r="D224" s="254" t="s">
        <v>29</v>
      </c>
      <c r="E224" s="255" t="s">
        <v>99</v>
      </c>
      <c r="F224" s="255" t="s">
        <v>467</v>
      </c>
      <c r="G224" s="260" t="s">
        <v>283</v>
      </c>
      <c r="H224" s="256" t="s">
        <v>283</v>
      </c>
      <c r="I224" s="256" t="s">
        <v>283</v>
      </c>
      <c r="J224" s="256" t="s">
        <v>283</v>
      </c>
      <c r="K224" s="256" t="s">
        <v>283</v>
      </c>
      <c r="L224" s="256" t="s">
        <v>283</v>
      </c>
      <c r="M224" s="256" t="s">
        <v>283</v>
      </c>
      <c r="N224" s="256" t="s">
        <v>283</v>
      </c>
      <c r="O224" s="257" t="s">
        <v>283</v>
      </c>
      <c r="P224" s="257" t="s">
        <v>283</v>
      </c>
      <c r="Q224" s="257" t="s">
        <v>283</v>
      </c>
      <c r="R224" s="257" t="s">
        <v>283</v>
      </c>
      <c r="S224" s="257" t="s">
        <v>283</v>
      </c>
      <c r="T224" s="257" t="s">
        <v>283</v>
      </c>
      <c r="U224" s="257" t="s">
        <v>283</v>
      </c>
      <c r="V224" s="257" t="s">
        <v>283</v>
      </c>
      <c r="W224" s="258" t="s">
        <v>283</v>
      </c>
      <c r="X224" s="258" t="s">
        <v>283</v>
      </c>
      <c r="Y224" s="259" t="s">
        <v>283</v>
      </c>
    </row>
    <row r="225" spans="1:25">
      <c r="A225" s="253">
        <v>5</v>
      </c>
      <c r="B225" s="254" t="str">
        <f>VLOOKUP(Tabel10[[#This Row],[Code]],Ruimtegroepen[[Code]:[Ruimte omschrijving]],2,FALSE)</f>
        <v>Sanitair</v>
      </c>
      <c r="C225" s="255" t="s">
        <v>465</v>
      </c>
      <c r="D225" s="254" t="s">
        <v>29</v>
      </c>
      <c r="E225" s="255" t="s">
        <v>1312</v>
      </c>
      <c r="F225" s="255" t="s">
        <v>1481</v>
      </c>
      <c r="G225" s="260" t="s">
        <v>283</v>
      </c>
      <c r="H225" s="256" t="s">
        <v>283</v>
      </c>
      <c r="I225" s="256" t="s">
        <v>283</v>
      </c>
      <c r="J225" s="256" t="s">
        <v>20</v>
      </c>
      <c r="K225" s="256" t="s">
        <v>15</v>
      </c>
      <c r="L225" s="256" t="s">
        <v>283</v>
      </c>
      <c r="M225" s="256" t="s">
        <v>283</v>
      </c>
      <c r="N225" s="256" t="s">
        <v>2</v>
      </c>
      <c r="O225" s="257" t="s">
        <v>283</v>
      </c>
      <c r="P225" s="257" t="s">
        <v>283</v>
      </c>
      <c r="Q225" s="257" t="s">
        <v>283</v>
      </c>
      <c r="R225" s="257" t="s">
        <v>283</v>
      </c>
      <c r="S225" s="257" t="s">
        <v>283</v>
      </c>
      <c r="T225" s="257" t="s">
        <v>283</v>
      </c>
      <c r="U225" s="257" t="s">
        <v>283</v>
      </c>
      <c r="V225" s="257" t="s">
        <v>283</v>
      </c>
      <c r="W225" s="258" t="s">
        <v>20</v>
      </c>
      <c r="X225" s="258" t="s">
        <v>15</v>
      </c>
      <c r="Y225" s="259" t="s">
        <v>2</v>
      </c>
    </row>
    <row r="226" spans="1:25">
      <c r="A226" s="253">
        <v>5</v>
      </c>
      <c r="B226" s="254" t="str">
        <f>VLOOKUP(Tabel10[[#This Row],[Code]],Ruimtegroepen[[Code]:[Ruimte omschrijving]],2,FALSE)</f>
        <v>Sanitair</v>
      </c>
      <c r="C226" s="255" t="s">
        <v>470</v>
      </c>
      <c r="D226" s="254" t="s">
        <v>1</v>
      </c>
      <c r="E226" s="255" t="s">
        <v>100</v>
      </c>
      <c r="F226" s="255" t="s">
        <v>471</v>
      </c>
      <c r="G226" s="260" t="s">
        <v>283</v>
      </c>
      <c r="H226" s="256" t="s">
        <v>283</v>
      </c>
      <c r="I226" s="256" t="s">
        <v>283</v>
      </c>
      <c r="J226" s="256" t="s">
        <v>20</v>
      </c>
      <c r="K226" s="256" t="s">
        <v>15</v>
      </c>
      <c r="L226" s="256" t="s">
        <v>283</v>
      </c>
      <c r="M226" s="256" t="s">
        <v>283</v>
      </c>
      <c r="N226" s="256" t="s">
        <v>283</v>
      </c>
      <c r="O226" s="257" t="s">
        <v>283</v>
      </c>
      <c r="P226" s="257" t="s">
        <v>283</v>
      </c>
      <c r="Q226" s="257" t="s">
        <v>283</v>
      </c>
      <c r="R226" s="257" t="s">
        <v>283</v>
      </c>
      <c r="S226" s="257" t="s">
        <v>283</v>
      </c>
      <c r="T226" s="257" t="s">
        <v>283</v>
      </c>
      <c r="U226" s="257" t="s">
        <v>283</v>
      </c>
      <c r="V226" s="257" t="s">
        <v>283</v>
      </c>
      <c r="W226" s="258" t="s">
        <v>20</v>
      </c>
      <c r="X226" s="258" t="s">
        <v>15</v>
      </c>
      <c r="Y226" s="259" t="s">
        <v>283</v>
      </c>
    </row>
    <row r="227" spans="1:25">
      <c r="A227" s="253">
        <v>5</v>
      </c>
      <c r="B227" s="254" t="str">
        <f>VLOOKUP(Tabel10[[#This Row],[Code]],Ruimtegroepen[[Code]:[Ruimte omschrijving]],2,FALSE)</f>
        <v>Sanitair</v>
      </c>
      <c r="C227" s="255" t="s">
        <v>470</v>
      </c>
      <c r="D227" s="254" t="s">
        <v>1</v>
      </c>
      <c r="E227" s="255" t="s">
        <v>99</v>
      </c>
      <c r="F227" s="255" t="s">
        <v>472</v>
      </c>
      <c r="G227" s="260" t="s">
        <v>283</v>
      </c>
      <c r="H227" s="256" t="s">
        <v>283</v>
      </c>
      <c r="I227" s="256" t="s">
        <v>283</v>
      </c>
      <c r="J227" s="256" t="s">
        <v>283</v>
      </c>
      <c r="K227" s="256" t="s">
        <v>283</v>
      </c>
      <c r="L227" s="256" t="s">
        <v>283</v>
      </c>
      <c r="M227" s="256" t="s">
        <v>283</v>
      </c>
      <c r="N227" s="256" t="s">
        <v>283</v>
      </c>
      <c r="O227" s="257" t="s">
        <v>283</v>
      </c>
      <c r="P227" s="257" t="s">
        <v>283</v>
      </c>
      <c r="Q227" s="257" t="s">
        <v>283</v>
      </c>
      <c r="R227" s="257" t="s">
        <v>283</v>
      </c>
      <c r="S227" s="257" t="s">
        <v>283</v>
      </c>
      <c r="T227" s="257" t="s">
        <v>283</v>
      </c>
      <c r="U227" s="257" t="s">
        <v>283</v>
      </c>
      <c r="V227" s="257" t="s">
        <v>283</v>
      </c>
      <c r="W227" s="258" t="s">
        <v>283</v>
      </c>
      <c r="X227" s="258" t="s">
        <v>283</v>
      </c>
      <c r="Y227" s="259" t="s">
        <v>283</v>
      </c>
    </row>
    <row r="228" spans="1:25">
      <c r="A228" s="253">
        <v>5</v>
      </c>
      <c r="B228" s="254" t="str">
        <f>VLOOKUP(Tabel10[[#This Row],[Code]],Ruimtegroepen[[Code]:[Ruimte omschrijving]],2,FALSE)</f>
        <v>Sanitair</v>
      </c>
      <c r="C228" s="255" t="s">
        <v>470</v>
      </c>
      <c r="D228" s="254" t="s">
        <v>1</v>
      </c>
      <c r="E228" s="255" t="s">
        <v>101</v>
      </c>
      <c r="F228" s="255" t="s">
        <v>473</v>
      </c>
      <c r="G228" s="260" t="s">
        <v>283</v>
      </c>
      <c r="H228" s="256" t="s">
        <v>283</v>
      </c>
      <c r="I228" s="256" t="s">
        <v>283</v>
      </c>
      <c r="J228" s="256" t="s">
        <v>20</v>
      </c>
      <c r="K228" s="256" t="s">
        <v>15</v>
      </c>
      <c r="L228" s="256" t="s">
        <v>283</v>
      </c>
      <c r="M228" s="256" t="s">
        <v>283</v>
      </c>
      <c r="N228" s="256" t="s">
        <v>283</v>
      </c>
      <c r="O228" s="257" t="s">
        <v>283</v>
      </c>
      <c r="P228" s="257" t="s">
        <v>283</v>
      </c>
      <c r="Q228" s="257" t="s">
        <v>283</v>
      </c>
      <c r="R228" s="257" t="s">
        <v>283</v>
      </c>
      <c r="S228" s="257" t="s">
        <v>283</v>
      </c>
      <c r="T228" s="257" t="s">
        <v>283</v>
      </c>
      <c r="U228" s="257" t="s">
        <v>283</v>
      </c>
      <c r="V228" s="257" t="s">
        <v>283</v>
      </c>
      <c r="W228" s="258" t="s">
        <v>20</v>
      </c>
      <c r="X228" s="258" t="s">
        <v>15</v>
      </c>
      <c r="Y228" s="259" t="s">
        <v>283</v>
      </c>
    </row>
    <row r="229" spans="1:25">
      <c r="A229" s="253">
        <v>5</v>
      </c>
      <c r="B229" s="254" t="str">
        <f>VLOOKUP(Tabel10[[#This Row],[Code]],Ruimtegroepen[[Code]:[Ruimte omschrijving]],2,FALSE)</f>
        <v>Sanitair</v>
      </c>
      <c r="C229" s="255" t="s">
        <v>470</v>
      </c>
      <c r="D229" s="254" t="s">
        <v>1</v>
      </c>
      <c r="E229" s="255" t="s">
        <v>102</v>
      </c>
      <c r="F229" s="255" t="s">
        <v>474</v>
      </c>
      <c r="G229" s="260" t="s">
        <v>283</v>
      </c>
      <c r="H229" s="256" t="s">
        <v>283</v>
      </c>
      <c r="I229" s="256" t="s">
        <v>283</v>
      </c>
      <c r="J229" s="256" t="s">
        <v>20</v>
      </c>
      <c r="K229" s="256" t="s">
        <v>15</v>
      </c>
      <c r="L229" s="256" t="s">
        <v>283</v>
      </c>
      <c r="M229" s="256" t="s">
        <v>283</v>
      </c>
      <c r="N229" s="256" t="s">
        <v>283</v>
      </c>
      <c r="O229" s="257" t="s">
        <v>283</v>
      </c>
      <c r="P229" s="257" t="s">
        <v>283</v>
      </c>
      <c r="Q229" s="257" t="s">
        <v>283</v>
      </c>
      <c r="R229" s="257" t="s">
        <v>283</v>
      </c>
      <c r="S229" s="257" t="s">
        <v>283</v>
      </c>
      <c r="T229" s="257" t="s">
        <v>283</v>
      </c>
      <c r="U229" s="257" t="s">
        <v>283</v>
      </c>
      <c r="V229" s="257" t="s">
        <v>283</v>
      </c>
      <c r="W229" s="258" t="s">
        <v>20</v>
      </c>
      <c r="X229" s="258" t="s">
        <v>15</v>
      </c>
      <c r="Y229" s="259" t="s">
        <v>283</v>
      </c>
    </row>
    <row r="230" spans="1:25">
      <c r="A230" s="253">
        <v>5</v>
      </c>
      <c r="B230" s="254" t="str">
        <f>VLOOKUP(Tabel10[[#This Row],[Code]],Ruimtegroepen[[Code]:[Ruimte omschrijving]],2,FALSE)</f>
        <v>Sanitair</v>
      </c>
      <c r="C230" s="255" t="s">
        <v>470</v>
      </c>
      <c r="D230" s="254" t="s">
        <v>1</v>
      </c>
      <c r="E230" s="255" t="s">
        <v>99</v>
      </c>
      <c r="F230" s="255" t="s">
        <v>472</v>
      </c>
      <c r="G230" s="260" t="s">
        <v>283</v>
      </c>
      <c r="H230" s="256" t="s">
        <v>283</v>
      </c>
      <c r="I230" s="256" t="s">
        <v>283</v>
      </c>
      <c r="J230" s="256" t="s">
        <v>283</v>
      </c>
      <c r="K230" s="256" t="s">
        <v>283</v>
      </c>
      <c r="L230" s="256" t="s">
        <v>283</v>
      </c>
      <c r="M230" s="256" t="s">
        <v>283</v>
      </c>
      <c r="N230" s="256" t="s">
        <v>283</v>
      </c>
      <c r="O230" s="257" t="s">
        <v>283</v>
      </c>
      <c r="P230" s="257" t="s">
        <v>283</v>
      </c>
      <c r="Q230" s="257" t="s">
        <v>283</v>
      </c>
      <c r="R230" s="257" t="s">
        <v>283</v>
      </c>
      <c r="S230" s="257" t="s">
        <v>283</v>
      </c>
      <c r="T230" s="257" t="s">
        <v>283</v>
      </c>
      <c r="U230" s="257" t="s">
        <v>283</v>
      </c>
      <c r="V230" s="257" t="s">
        <v>283</v>
      </c>
      <c r="W230" s="258" t="s">
        <v>283</v>
      </c>
      <c r="X230" s="258" t="s">
        <v>283</v>
      </c>
      <c r="Y230" s="259" t="s">
        <v>283</v>
      </c>
    </row>
    <row r="231" spans="1:25">
      <c r="A231" s="253">
        <v>5</v>
      </c>
      <c r="B231" s="254" t="str">
        <f>VLOOKUP(Tabel10[[#This Row],[Code]],Ruimtegroepen[[Code]:[Ruimte omschrijving]],2,FALSE)</f>
        <v>Sanitair</v>
      </c>
      <c r="C231" s="255" t="s">
        <v>470</v>
      </c>
      <c r="D231" s="254" t="s">
        <v>1</v>
      </c>
      <c r="E231" s="255" t="s">
        <v>1312</v>
      </c>
      <c r="F231" s="255" t="s">
        <v>1447</v>
      </c>
      <c r="G231" s="260" t="s">
        <v>283</v>
      </c>
      <c r="H231" s="256" t="s">
        <v>283</v>
      </c>
      <c r="I231" s="256" t="s">
        <v>283</v>
      </c>
      <c r="J231" s="256" t="s">
        <v>20</v>
      </c>
      <c r="K231" s="256" t="s">
        <v>15</v>
      </c>
      <c r="L231" s="256" t="s">
        <v>283</v>
      </c>
      <c r="M231" s="256" t="s">
        <v>283</v>
      </c>
      <c r="N231" s="256" t="s">
        <v>283</v>
      </c>
      <c r="O231" s="257" t="s">
        <v>283</v>
      </c>
      <c r="P231" s="257" t="s">
        <v>283</v>
      </c>
      <c r="Q231" s="257" t="s">
        <v>283</v>
      </c>
      <c r="R231" s="257" t="s">
        <v>283</v>
      </c>
      <c r="S231" s="257" t="s">
        <v>283</v>
      </c>
      <c r="T231" s="257" t="s">
        <v>283</v>
      </c>
      <c r="U231" s="257" t="s">
        <v>283</v>
      </c>
      <c r="V231" s="257" t="s">
        <v>283</v>
      </c>
      <c r="W231" s="258" t="s">
        <v>20</v>
      </c>
      <c r="X231" s="258" t="s">
        <v>15</v>
      </c>
      <c r="Y231" s="259" t="s">
        <v>283</v>
      </c>
    </row>
    <row r="232" spans="1:25">
      <c r="A232" s="253">
        <v>5</v>
      </c>
      <c r="B232" s="254" t="str">
        <f>VLOOKUP(Tabel10[[#This Row],[Code]],Ruimtegroepen[[Code]:[Ruimte omschrijving]],2,FALSE)</f>
        <v>Sanitair</v>
      </c>
      <c r="C232" s="255" t="s">
        <v>475</v>
      </c>
      <c r="D232" s="254" t="s">
        <v>476</v>
      </c>
      <c r="E232" s="255" t="s">
        <v>100</v>
      </c>
      <c r="F232" s="255" t="s">
        <v>477</v>
      </c>
      <c r="G232" s="260" t="s">
        <v>283</v>
      </c>
      <c r="H232" s="256" t="s">
        <v>283</v>
      </c>
      <c r="I232" s="256" t="s">
        <v>283</v>
      </c>
      <c r="J232" s="256" t="s">
        <v>478</v>
      </c>
      <c r="K232" s="256" t="s">
        <v>15</v>
      </c>
      <c r="L232" s="256" t="s">
        <v>283</v>
      </c>
      <c r="M232" s="256" t="s">
        <v>283</v>
      </c>
      <c r="N232" s="256" t="s">
        <v>283</v>
      </c>
      <c r="O232" s="257" t="s">
        <v>283</v>
      </c>
      <c r="P232" s="257" t="s">
        <v>283</v>
      </c>
      <c r="Q232" s="257" t="s">
        <v>283</v>
      </c>
      <c r="R232" s="257" t="s">
        <v>283</v>
      </c>
      <c r="S232" s="257" t="s">
        <v>283</v>
      </c>
      <c r="T232" s="257" t="s">
        <v>283</v>
      </c>
      <c r="U232" s="257" t="s">
        <v>283</v>
      </c>
      <c r="V232" s="257" t="s">
        <v>283</v>
      </c>
      <c r="W232" s="258" t="s">
        <v>478</v>
      </c>
      <c r="X232" s="258" t="s">
        <v>15</v>
      </c>
      <c r="Y232" s="259" t="s">
        <v>283</v>
      </c>
    </row>
    <row r="233" spans="1:25">
      <c r="A233" s="253">
        <v>5</v>
      </c>
      <c r="B233" s="254" t="str">
        <f>VLOOKUP(Tabel10[[#This Row],[Code]],Ruimtegroepen[[Code]:[Ruimte omschrijving]],2,FALSE)</f>
        <v>Sanitair</v>
      </c>
      <c r="C233" s="255" t="s">
        <v>475</v>
      </c>
      <c r="D233" s="254" t="s">
        <v>476</v>
      </c>
      <c r="E233" s="255" t="s">
        <v>99</v>
      </c>
      <c r="F233" s="255" t="s">
        <v>479</v>
      </c>
      <c r="G233" s="260" t="s">
        <v>283</v>
      </c>
      <c r="H233" s="256" t="s">
        <v>283</v>
      </c>
      <c r="I233" s="256" t="s">
        <v>283</v>
      </c>
      <c r="J233" s="256" t="s">
        <v>283</v>
      </c>
      <c r="K233" s="256" t="s">
        <v>283</v>
      </c>
      <c r="L233" s="256" t="s">
        <v>283</v>
      </c>
      <c r="M233" s="256" t="s">
        <v>283</v>
      </c>
      <c r="N233" s="256" t="s">
        <v>283</v>
      </c>
      <c r="O233" s="257" t="s">
        <v>283</v>
      </c>
      <c r="P233" s="257" t="s">
        <v>283</v>
      </c>
      <c r="Q233" s="257" t="s">
        <v>283</v>
      </c>
      <c r="R233" s="257" t="s">
        <v>283</v>
      </c>
      <c r="S233" s="257" t="s">
        <v>283</v>
      </c>
      <c r="T233" s="257" t="s">
        <v>283</v>
      </c>
      <c r="U233" s="257" t="s">
        <v>283</v>
      </c>
      <c r="V233" s="257" t="s">
        <v>283</v>
      </c>
      <c r="W233" s="258" t="s">
        <v>283</v>
      </c>
      <c r="X233" s="258" t="s">
        <v>283</v>
      </c>
      <c r="Y233" s="259" t="s">
        <v>283</v>
      </c>
    </row>
    <row r="234" spans="1:25">
      <c r="A234" s="253">
        <v>5</v>
      </c>
      <c r="B234" s="254" t="str">
        <f>VLOOKUP(Tabel10[[#This Row],[Code]],Ruimtegroepen[[Code]:[Ruimte omschrijving]],2,FALSE)</f>
        <v>Sanitair</v>
      </c>
      <c r="C234" s="255" t="s">
        <v>475</v>
      </c>
      <c r="D234" s="254" t="s">
        <v>476</v>
      </c>
      <c r="E234" s="255" t="s">
        <v>101</v>
      </c>
      <c r="F234" s="255" t="s">
        <v>480</v>
      </c>
      <c r="G234" s="260" t="s">
        <v>283</v>
      </c>
      <c r="H234" s="256" t="s">
        <v>283</v>
      </c>
      <c r="I234" s="256" t="s">
        <v>283</v>
      </c>
      <c r="J234" s="256" t="s">
        <v>478</v>
      </c>
      <c r="K234" s="256" t="s">
        <v>15</v>
      </c>
      <c r="L234" s="256" t="s">
        <v>283</v>
      </c>
      <c r="M234" s="256" t="s">
        <v>283</v>
      </c>
      <c r="N234" s="256" t="s">
        <v>283</v>
      </c>
      <c r="O234" s="257" t="s">
        <v>283</v>
      </c>
      <c r="P234" s="257" t="s">
        <v>283</v>
      </c>
      <c r="Q234" s="257" t="s">
        <v>283</v>
      </c>
      <c r="R234" s="257" t="s">
        <v>283</v>
      </c>
      <c r="S234" s="257" t="s">
        <v>283</v>
      </c>
      <c r="T234" s="257" t="s">
        <v>283</v>
      </c>
      <c r="U234" s="257" t="s">
        <v>283</v>
      </c>
      <c r="V234" s="257" t="s">
        <v>283</v>
      </c>
      <c r="W234" s="258" t="s">
        <v>478</v>
      </c>
      <c r="X234" s="258" t="s">
        <v>15</v>
      </c>
      <c r="Y234" s="259" t="s">
        <v>283</v>
      </c>
    </row>
    <row r="235" spans="1:25">
      <c r="A235" s="253">
        <v>5</v>
      </c>
      <c r="B235" s="254" t="str">
        <f>VLOOKUP(Tabel10[[#This Row],[Code]],Ruimtegroepen[[Code]:[Ruimte omschrijving]],2,FALSE)</f>
        <v>Sanitair</v>
      </c>
      <c r="C235" s="255" t="s">
        <v>475</v>
      </c>
      <c r="D235" s="254" t="s">
        <v>476</v>
      </c>
      <c r="E235" s="255" t="s">
        <v>102</v>
      </c>
      <c r="F235" s="255" t="s">
        <v>481</v>
      </c>
      <c r="G235" s="260" t="s">
        <v>283</v>
      </c>
      <c r="H235" s="256" t="s">
        <v>283</v>
      </c>
      <c r="I235" s="256" t="s">
        <v>283</v>
      </c>
      <c r="J235" s="256" t="s">
        <v>478</v>
      </c>
      <c r="K235" s="256" t="s">
        <v>15</v>
      </c>
      <c r="L235" s="256" t="s">
        <v>283</v>
      </c>
      <c r="M235" s="256" t="s">
        <v>283</v>
      </c>
      <c r="N235" s="256" t="s">
        <v>283</v>
      </c>
      <c r="O235" s="257" t="s">
        <v>283</v>
      </c>
      <c r="P235" s="257" t="s">
        <v>283</v>
      </c>
      <c r="Q235" s="257" t="s">
        <v>283</v>
      </c>
      <c r="R235" s="257" t="s">
        <v>283</v>
      </c>
      <c r="S235" s="257" t="s">
        <v>283</v>
      </c>
      <c r="T235" s="257" t="s">
        <v>283</v>
      </c>
      <c r="U235" s="257" t="s">
        <v>283</v>
      </c>
      <c r="V235" s="257" t="s">
        <v>283</v>
      </c>
      <c r="W235" s="258" t="s">
        <v>478</v>
      </c>
      <c r="X235" s="258" t="s">
        <v>15</v>
      </c>
      <c r="Y235" s="259" t="s">
        <v>283</v>
      </c>
    </row>
    <row r="236" spans="1:25">
      <c r="A236" s="253">
        <v>5</v>
      </c>
      <c r="B236" s="254" t="str">
        <f>VLOOKUP(Tabel10[[#This Row],[Code]],Ruimtegroepen[[Code]:[Ruimte omschrijving]],2,FALSE)</f>
        <v>Sanitair</v>
      </c>
      <c r="C236" s="255" t="s">
        <v>475</v>
      </c>
      <c r="D236" s="254" t="s">
        <v>476</v>
      </c>
      <c r="E236" s="255" t="s">
        <v>99</v>
      </c>
      <c r="F236" s="255" t="s">
        <v>479</v>
      </c>
      <c r="G236" s="260" t="s">
        <v>283</v>
      </c>
      <c r="H236" s="256" t="s">
        <v>283</v>
      </c>
      <c r="I236" s="256" t="s">
        <v>283</v>
      </c>
      <c r="J236" s="256" t="s">
        <v>283</v>
      </c>
      <c r="K236" s="256" t="s">
        <v>283</v>
      </c>
      <c r="L236" s="256" t="s">
        <v>283</v>
      </c>
      <c r="M236" s="256" t="s">
        <v>283</v>
      </c>
      <c r="N236" s="256" t="s">
        <v>283</v>
      </c>
      <c r="O236" s="257" t="s">
        <v>283</v>
      </c>
      <c r="P236" s="257" t="s">
        <v>283</v>
      </c>
      <c r="Q236" s="257" t="s">
        <v>283</v>
      </c>
      <c r="R236" s="257" t="s">
        <v>283</v>
      </c>
      <c r="S236" s="257" t="s">
        <v>283</v>
      </c>
      <c r="T236" s="257" t="s">
        <v>283</v>
      </c>
      <c r="U236" s="257" t="s">
        <v>283</v>
      </c>
      <c r="V236" s="257" t="s">
        <v>283</v>
      </c>
      <c r="W236" s="258" t="s">
        <v>283</v>
      </c>
      <c r="X236" s="258" t="s">
        <v>283</v>
      </c>
      <c r="Y236" s="259" t="s">
        <v>283</v>
      </c>
    </row>
    <row r="237" spans="1:25">
      <c r="A237" s="253">
        <v>5</v>
      </c>
      <c r="B237" s="254" t="str">
        <f>VLOOKUP(Tabel10[[#This Row],[Code]],Ruimtegroepen[[Code]:[Ruimte omschrijving]],2,FALSE)</f>
        <v>Sanitair</v>
      </c>
      <c r="C237" s="255" t="s">
        <v>475</v>
      </c>
      <c r="D237" s="254" t="s">
        <v>476</v>
      </c>
      <c r="E237" s="255" t="s">
        <v>1312</v>
      </c>
      <c r="F237" s="255" t="s">
        <v>1464</v>
      </c>
      <c r="G237" s="260" t="s">
        <v>283</v>
      </c>
      <c r="H237" s="256" t="s">
        <v>283</v>
      </c>
      <c r="I237" s="256" t="s">
        <v>283</v>
      </c>
      <c r="J237" s="256" t="s">
        <v>478</v>
      </c>
      <c r="K237" s="256" t="s">
        <v>15</v>
      </c>
      <c r="L237" s="256" t="s">
        <v>283</v>
      </c>
      <c r="M237" s="256" t="s">
        <v>283</v>
      </c>
      <c r="N237" s="256" t="s">
        <v>283</v>
      </c>
      <c r="O237" s="257" t="s">
        <v>283</v>
      </c>
      <c r="P237" s="257" t="s">
        <v>283</v>
      </c>
      <c r="Q237" s="257" t="s">
        <v>283</v>
      </c>
      <c r="R237" s="257" t="s">
        <v>283</v>
      </c>
      <c r="S237" s="257" t="s">
        <v>283</v>
      </c>
      <c r="T237" s="257" t="s">
        <v>283</v>
      </c>
      <c r="U237" s="257" t="s">
        <v>283</v>
      </c>
      <c r="V237" s="257" t="s">
        <v>283</v>
      </c>
      <c r="W237" s="258" t="s">
        <v>478</v>
      </c>
      <c r="X237" s="258" t="s">
        <v>15</v>
      </c>
      <c r="Y237" s="259" t="s">
        <v>283</v>
      </c>
    </row>
    <row r="238" spans="1:25">
      <c r="A238" s="253">
        <v>5</v>
      </c>
      <c r="B238" s="254" t="str">
        <f>VLOOKUP(Tabel10[[#This Row],[Code]],Ruimtegroepen[[Code]:[Ruimte omschrijving]],2,FALSE)</f>
        <v>Sanitair</v>
      </c>
      <c r="C238" s="255" t="s">
        <v>1265</v>
      </c>
      <c r="D238" s="254" t="s">
        <v>482</v>
      </c>
      <c r="E238" s="255" t="s">
        <v>100</v>
      </c>
      <c r="F238" s="255" t="s">
        <v>483</v>
      </c>
      <c r="G238" s="260" t="s">
        <v>283</v>
      </c>
      <c r="H238" s="256" t="s">
        <v>283</v>
      </c>
      <c r="I238" s="256" t="s">
        <v>283</v>
      </c>
      <c r="J238" s="256" t="s">
        <v>478</v>
      </c>
      <c r="K238" s="256" t="s">
        <v>15</v>
      </c>
      <c r="L238" s="256" t="s">
        <v>283</v>
      </c>
      <c r="M238" s="256" t="s">
        <v>283</v>
      </c>
      <c r="N238" s="256" t="s">
        <v>1264</v>
      </c>
      <c r="O238" s="257" t="s">
        <v>283</v>
      </c>
      <c r="P238" s="257" t="s">
        <v>283</v>
      </c>
      <c r="Q238" s="257" t="s">
        <v>283</v>
      </c>
      <c r="R238" s="257" t="s">
        <v>283</v>
      </c>
      <c r="S238" s="257" t="s">
        <v>283</v>
      </c>
      <c r="T238" s="257" t="s">
        <v>283</v>
      </c>
      <c r="U238" s="257" t="s">
        <v>283</v>
      </c>
      <c r="V238" s="257" t="s">
        <v>283</v>
      </c>
      <c r="W238" s="258" t="s">
        <v>478</v>
      </c>
      <c r="X238" s="258" t="s">
        <v>15</v>
      </c>
      <c r="Y238" s="259" t="s">
        <v>1264</v>
      </c>
    </row>
    <row r="239" spans="1:25">
      <c r="A239" s="253">
        <v>5</v>
      </c>
      <c r="B239" s="254" t="str">
        <f>VLOOKUP(Tabel10[[#This Row],[Code]],Ruimtegroepen[[Code]:[Ruimte omschrijving]],2,FALSE)</f>
        <v>Sanitair</v>
      </c>
      <c r="C239" s="255" t="s">
        <v>1265</v>
      </c>
      <c r="D239" s="254" t="s">
        <v>482</v>
      </c>
      <c r="E239" s="255" t="s">
        <v>99</v>
      </c>
      <c r="F239" s="255" t="s">
        <v>484</v>
      </c>
      <c r="G239" s="260" t="s">
        <v>283</v>
      </c>
      <c r="H239" s="256" t="s">
        <v>283</v>
      </c>
      <c r="I239" s="256" t="s">
        <v>283</v>
      </c>
      <c r="J239" s="256" t="s">
        <v>283</v>
      </c>
      <c r="K239" s="256" t="s">
        <v>283</v>
      </c>
      <c r="L239" s="256" t="s">
        <v>283</v>
      </c>
      <c r="M239" s="256" t="s">
        <v>283</v>
      </c>
      <c r="N239" s="256" t="s">
        <v>283</v>
      </c>
      <c r="O239" s="257" t="s">
        <v>283</v>
      </c>
      <c r="P239" s="257" t="s">
        <v>283</v>
      </c>
      <c r="Q239" s="257" t="s">
        <v>283</v>
      </c>
      <c r="R239" s="257" t="s">
        <v>283</v>
      </c>
      <c r="S239" s="257" t="s">
        <v>283</v>
      </c>
      <c r="T239" s="257" t="s">
        <v>283</v>
      </c>
      <c r="U239" s="257" t="s">
        <v>283</v>
      </c>
      <c r="V239" s="257" t="s">
        <v>283</v>
      </c>
      <c r="W239" s="258" t="s">
        <v>283</v>
      </c>
      <c r="X239" s="258" t="s">
        <v>283</v>
      </c>
      <c r="Y239" s="259" t="s">
        <v>283</v>
      </c>
    </row>
    <row r="240" spans="1:25">
      <c r="A240" s="253">
        <v>5</v>
      </c>
      <c r="B240" s="254" t="str">
        <f>VLOOKUP(Tabel10[[#This Row],[Code]],Ruimtegroepen[[Code]:[Ruimte omschrijving]],2,FALSE)</f>
        <v>Sanitair</v>
      </c>
      <c r="C240" s="255" t="s">
        <v>1265</v>
      </c>
      <c r="D240" s="254" t="s">
        <v>482</v>
      </c>
      <c r="E240" s="255" t="s">
        <v>101</v>
      </c>
      <c r="F240" s="255" t="s">
        <v>485</v>
      </c>
      <c r="G240" s="260" t="s">
        <v>283</v>
      </c>
      <c r="H240" s="256" t="s">
        <v>283</v>
      </c>
      <c r="I240" s="256" t="s">
        <v>283</v>
      </c>
      <c r="J240" s="256" t="s">
        <v>478</v>
      </c>
      <c r="K240" s="256" t="s">
        <v>15</v>
      </c>
      <c r="L240" s="256" t="s">
        <v>283</v>
      </c>
      <c r="M240" s="256" t="s">
        <v>283</v>
      </c>
      <c r="N240" s="256" t="s">
        <v>1264</v>
      </c>
      <c r="O240" s="257" t="s">
        <v>283</v>
      </c>
      <c r="P240" s="257" t="s">
        <v>283</v>
      </c>
      <c r="Q240" s="257" t="s">
        <v>283</v>
      </c>
      <c r="R240" s="257" t="s">
        <v>283</v>
      </c>
      <c r="S240" s="257" t="s">
        <v>283</v>
      </c>
      <c r="T240" s="257" t="s">
        <v>283</v>
      </c>
      <c r="U240" s="257" t="s">
        <v>283</v>
      </c>
      <c r="V240" s="257" t="s">
        <v>283</v>
      </c>
      <c r="W240" s="258" t="s">
        <v>478</v>
      </c>
      <c r="X240" s="258" t="s">
        <v>15</v>
      </c>
      <c r="Y240" s="259" t="s">
        <v>1264</v>
      </c>
    </row>
    <row r="241" spans="1:25">
      <c r="A241" s="253">
        <v>5</v>
      </c>
      <c r="B241" s="254" t="str">
        <f>VLOOKUP(Tabel10[[#This Row],[Code]],Ruimtegroepen[[Code]:[Ruimte omschrijving]],2,FALSE)</f>
        <v>Sanitair</v>
      </c>
      <c r="C241" s="255" t="s">
        <v>1265</v>
      </c>
      <c r="D241" s="254" t="s">
        <v>482</v>
      </c>
      <c r="E241" s="255" t="s">
        <v>102</v>
      </c>
      <c r="F241" s="255" t="s">
        <v>486</v>
      </c>
      <c r="G241" s="260" t="s">
        <v>283</v>
      </c>
      <c r="H241" s="256" t="s">
        <v>283</v>
      </c>
      <c r="I241" s="256" t="s">
        <v>283</v>
      </c>
      <c r="J241" s="256" t="s">
        <v>478</v>
      </c>
      <c r="K241" s="256" t="s">
        <v>15</v>
      </c>
      <c r="L241" s="256" t="s">
        <v>283</v>
      </c>
      <c r="M241" s="256" t="s">
        <v>283</v>
      </c>
      <c r="N241" s="256" t="s">
        <v>1264</v>
      </c>
      <c r="O241" s="257" t="s">
        <v>283</v>
      </c>
      <c r="P241" s="257" t="s">
        <v>283</v>
      </c>
      <c r="Q241" s="257" t="s">
        <v>283</v>
      </c>
      <c r="R241" s="257" t="s">
        <v>283</v>
      </c>
      <c r="S241" s="257" t="s">
        <v>283</v>
      </c>
      <c r="T241" s="257" t="s">
        <v>283</v>
      </c>
      <c r="U241" s="257" t="s">
        <v>283</v>
      </c>
      <c r="V241" s="257" t="s">
        <v>283</v>
      </c>
      <c r="W241" s="258" t="s">
        <v>478</v>
      </c>
      <c r="X241" s="258" t="s">
        <v>15</v>
      </c>
      <c r="Y241" s="259" t="s">
        <v>1264</v>
      </c>
    </row>
    <row r="242" spans="1:25">
      <c r="A242" s="253">
        <v>5</v>
      </c>
      <c r="B242" s="254" t="str">
        <f>VLOOKUP(Tabel10[[#This Row],[Code]],Ruimtegroepen[[Code]:[Ruimte omschrijving]],2,FALSE)</f>
        <v>Sanitair</v>
      </c>
      <c r="C242" s="255" t="s">
        <v>1265</v>
      </c>
      <c r="D242" s="254" t="s">
        <v>482</v>
      </c>
      <c r="E242" s="255" t="s">
        <v>99</v>
      </c>
      <c r="F242" s="255" t="s">
        <v>484</v>
      </c>
      <c r="G242" s="260" t="s">
        <v>283</v>
      </c>
      <c r="H242" s="256" t="s">
        <v>283</v>
      </c>
      <c r="I242" s="256" t="s">
        <v>283</v>
      </c>
      <c r="J242" s="256" t="s">
        <v>283</v>
      </c>
      <c r="K242" s="256" t="s">
        <v>283</v>
      </c>
      <c r="L242" s="256" t="s">
        <v>283</v>
      </c>
      <c r="M242" s="256" t="s">
        <v>283</v>
      </c>
      <c r="N242" s="256" t="s">
        <v>283</v>
      </c>
      <c r="O242" s="257" t="s">
        <v>283</v>
      </c>
      <c r="P242" s="257" t="s">
        <v>283</v>
      </c>
      <c r="Q242" s="257" t="s">
        <v>283</v>
      </c>
      <c r="R242" s="257" t="s">
        <v>283</v>
      </c>
      <c r="S242" s="257" t="s">
        <v>283</v>
      </c>
      <c r="T242" s="257" t="s">
        <v>283</v>
      </c>
      <c r="U242" s="257" t="s">
        <v>283</v>
      </c>
      <c r="V242" s="257" t="s">
        <v>283</v>
      </c>
      <c r="W242" s="258" t="s">
        <v>283</v>
      </c>
      <c r="X242" s="258" t="s">
        <v>283</v>
      </c>
      <c r="Y242" s="259" t="s">
        <v>283</v>
      </c>
    </row>
    <row r="243" spans="1:25">
      <c r="A243" s="253">
        <v>5</v>
      </c>
      <c r="B243" s="254" t="str">
        <f>VLOOKUP(Tabel10[[#This Row],[Code]],Ruimtegroepen[[Code]:[Ruimte omschrijving]],2,FALSE)</f>
        <v>Sanitair</v>
      </c>
      <c r="C243" s="255" t="s">
        <v>1265</v>
      </c>
      <c r="D243" s="254" t="s">
        <v>482</v>
      </c>
      <c r="E243" s="255" t="s">
        <v>1312</v>
      </c>
      <c r="F243" s="255" t="s">
        <v>1445</v>
      </c>
      <c r="G243" s="260" t="s">
        <v>283</v>
      </c>
      <c r="H243" s="256" t="s">
        <v>283</v>
      </c>
      <c r="I243" s="256" t="s">
        <v>283</v>
      </c>
      <c r="J243" s="256" t="s">
        <v>478</v>
      </c>
      <c r="K243" s="256" t="s">
        <v>15</v>
      </c>
      <c r="L243" s="256" t="s">
        <v>283</v>
      </c>
      <c r="M243" s="256" t="s">
        <v>283</v>
      </c>
      <c r="N243" s="256" t="s">
        <v>1264</v>
      </c>
      <c r="O243" s="257" t="s">
        <v>283</v>
      </c>
      <c r="P243" s="257" t="s">
        <v>283</v>
      </c>
      <c r="Q243" s="257" t="s">
        <v>283</v>
      </c>
      <c r="R243" s="257" t="s">
        <v>283</v>
      </c>
      <c r="S243" s="257" t="s">
        <v>283</v>
      </c>
      <c r="T243" s="257" t="s">
        <v>283</v>
      </c>
      <c r="U243" s="257" t="s">
        <v>283</v>
      </c>
      <c r="V243" s="257" t="s">
        <v>283</v>
      </c>
      <c r="W243" s="258" t="s">
        <v>478</v>
      </c>
      <c r="X243" s="258" t="s">
        <v>15</v>
      </c>
      <c r="Y243" s="259" t="s">
        <v>1264</v>
      </c>
    </row>
    <row r="244" spans="1:25">
      <c r="A244" s="253">
        <v>5</v>
      </c>
      <c r="B244" s="254" t="str">
        <f>VLOOKUP(Tabel10[[#This Row],[Code]],Ruimtegroepen[[Code]:[Ruimte omschrijving]],2,FALSE)</f>
        <v>Sanitair</v>
      </c>
      <c r="C244" s="255" t="s">
        <v>487</v>
      </c>
      <c r="D244" s="254" t="s">
        <v>21</v>
      </c>
      <c r="E244" s="255" t="s">
        <v>100</v>
      </c>
      <c r="F244" s="255" t="s">
        <v>488</v>
      </c>
      <c r="G244" s="260" t="s">
        <v>283</v>
      </c>
      <c r="H244" s="256" t="s">
        <v>283</v>
      </c>
      <c r="I244" s="256" t="s">
        <v>283</v>
      </c>
      <c r="J244" s="256" t="s">
        <v>18</v>
      </c>
      <c r="K244" s="256" t="s">
        <v>15</v>
      </c>
      <c r="L244" s="256" t="s">
        <v>283</v>
      </c>
      <c r="M244" s="256" t="s">
        <v>283</v>
      </c>
      <c r="N244" s="256" t="s">
        <v>283</v>
      </c>
      <c r="O244" s="257" t="s">
        <v>283</v>
      </c>
      <c r="P244" s="257" t="s">
        <v>283</v>
      </c>
      <c r="Q244" s="257" t="s">
        <v>283</v>
      </c>
      <c r="R244" s="257" t="s">
        <v>283</v>
      </c>
      <c r="S244" s="257" t="s">
        <v>283</v>
      </c>
      <c r="T244" s="257" t="s">
        <v>283</v>
      </c>
      <c r="U244" s="257" t="s">
        <v>283</v>
      </c>
      <c r="V244" s="257" t="s">
        <v>283</v>
      </c>
      <c r="W244" s="258" t="s">
        <v>18</v>
      </c>
      <c r="X244" s="258" t="s">
        <v>15</v>
      </c>
      <c r="Y244" s="259" t="s">
        <v>283</v>
      </c>
    </row>
    <row r="245" spans="1:25">
      <c r="A245" s="253">
        <v>5</v>
      </c>
      <c r="B245" s="254" t="str">
        <f>VLOOKUP(Tabel10[[#This Row],[Code]],Ruimtegroepen[[Code]:[Ruimte omschrijving]],2,FALSE)</f>
        <v>Sanitair</v>
      </c>
      <c r="C245" s="255" t="s">
        <v>487</v>
      </c>
      <c r="D245" s="254" t="s">
        <v>21</v>
      </c>
      <c r="E245" s="255" t="s">
        <v>99</v>
      </c>
      <c r="F245" s="255" t="s">
        <v>489</v>
      </c>
      <c r="G245" s="260" t="s">
        <v>283</v>
      </c>
      <c r="H245" s="256" t="s">
        <v>283</v>
      </c>
      <c r="I245" s="256" t="s">
        <v>283</v>
      </c>
      <c r="J245" s="256" t="s">
        <v>283</v>
      </c>
      <c r="K245" s="256" t="s">
        <v>283</v>
      </c>
      <c r="L245" s="256" t="s">
        <v>283</v>
      </c>
      <c r="M245" s="256" t="s">
        <v>283</v>
      </c>
      <c r="N245" s="256" t="s">
        <v>283</v>
      </c>
      <c r="O245" s="257" t="s">
        <v>283</v>
      </c>
      <c r="P245" s="257" t="s">
        <v>283</v>
      </c>
      <c r="Q245" s="257" t="s">
        <v>283</v>
      </c>
      <c r="R245" s="257" t="s">
        <v>283</v>
      </c>
      <c r="S245" s="257" t="s">
        <v>283</v>
      </c>
      <c r="T245" s="257" t="s">
        <v>283</v>
      </c>
      <c r="U245" s="257" t="s">
        <v>283</v>
      </c>
      <c r="V245" s="257" t="s">
        <v>283</v>
      </c>
      <c r="W245" s="258" t="s">
        <v>283</v>
      </c>
      <c r="X245" s="258" t="s">
        <v>283</v>
      </c>
      <c r="Y245" s="259" t="s">
        <v>283</v>
      </c>
    </row>
    <row r="246" spans="1:25">
      <c r="A246" s="253">
        <v>5</v>
      </c>
      <c r="B246" s="254" t="str">
        <f>VLOOKUP(Tabel10[[#This Row],[Code]],Ruimtegroepen[[Code]:[Ruimte omschrijving]],2,FALSE)</f>
        <v>Sanitair</v>
      </c>
      <c r="C246" s="255" t="s">
        <v>487</v>
      </c>
      <c r="D246" s="254" t="s">
        <v>21</v>
      </c>
      <c r="E246" s="255" t="s">
        <v>101</v>
      </c>
      <c r="F246" s="255" t="s">
        <v>490</v>
      </c>
      <c r="G246" s="260" t="s">
        <v>283</v>
      </c>
      <c r="H246" s="256" t="s">
        <v>283</v>
      </c>
      <c r="I246" s="256" t="s">
        <v>283</v>
      </c>
      <c r="J246" s="256" t="s">
        <v>18</v>
      </c>
      <c r="K246" s="256" t="s">
        <v>15</v>
      </c>
      <c r="L246" s="256" t="s">
        <v>283</v>
      </c>
      <c r="M246" s="256" t="s">
        <v>283</v>
      </c>
      <c r="N246" s="256" t="s">
        <v>283</v>
      </c>
      <c r="O246" s="257" t="s">
        <v>283</v>
      </c>
      <c r="P246" s="257" t="s">
        <v>283</v>
      </c>
      <c r="Q246" s="257" t="s">
        <v>283</v>
      </c>
      <c r="R246" s="257" t="s">
        <v>283</v>
      </c>
      <c r="S246" s="257" t="s">
        <v>283</v>
      </c>
      <c r="T246" s="257" t="s">
        <v>283</v>
      </c>
      <c r="U246" s="257" t="s">
        <v>283</v>
      </c>
      <c r="V246" s="257" t="s">
        <v>283</v>
      </c>
      <c r="W246" s="258" t="s">
        <v>18</v>
      </c>
      <c r="X246" s="258" t="s">
        <v>15</v>
      </c>
      <c r="Y246" s="259" t="s">
        <v>283</v>
      </c>
    </row>
    <row r="247" spans="1:25">
      <c r="A247" s="253">
        <v>5</v>
      </c>
      <c r="B247" s="254" t="str">
        <f>VLOOKUP(Tabel10[[#This Row],[Code]],Ruimtegroepen[[Code]:[Ruimte omschrijving]],2,FALSE)</f>
        <v>Sanitair</v>
      </c>
      <c r="C247" s="255" t="s">
        <v>487</v>
      </c>
      <c r="D247" s="254" t="s">
        <v>21</v>
      </c>
      <c r="E247" s="255" t="s">
        <v>102</v>
      </c>
      <c r="F247" s="255" t="s">
        <v>491</v>
      </c>
      <c r="G247" s="260" t="s">
        <v>283</v>
      </c>
      <c r="H247" s="256" t="s">
        <v>283</v>
      </c>
      <c r="I247" s="256" t="s">
        <v>283</v>
      </c>
      <c r="J247" s="256" t="s">
        <v>18</v>
      </c>
      <c r="K247" s="256" t="s">
        <v>15</v>
      </c>
      <c r="L247" s="256" t="s">
        <v>283</v>
      </c>
      <c r="M247" s="256" t="s">
        <v>283</v>
      </c>
      <c r="N247" s="256" t="s">
        <v>283</v>
      </c>
      <c r="O247" s="257" t="s">
        <v>283</v>
      </c>
      <c r="P247" s="257" t="s">
        <v>283</v>
      </c>
      <c r="Q247" s="257" t="s">
        <v>283</v>
      </c>
      <c r="R247" s="257" t="s">
        <v>283</v>
      </c>
      <c r="S247" s="257" t="s">
        <v>283</v>
      </c>
      <c r="T247" s="257" t="s">
        <v>283</v>
      </c>
      <c r="U247" s="257" t="s">
        <v>283</v>
      </c>
      <c r="V247" s="257" t="s">
        <v>283</v>
      </c>
      <c r="W247" s="258" t="s">
        <v>18</v>
      </c>
      <c r="X247" s="258" t="s">
        <v>15</v>
      </c>
      <c r="Y247" s="259" t="s">
        <v>283</v>
      </c>
    </row>
    <row r="248" spans="1:25">
      <c r="A248" s="253">
        <v>5</v>
      </c>
      <c r="B248" s="254" t="str">
        <f>VLOOKUP(Tabel10[[#This Row],[Code]],Ruimtegroepen[[Code]:[Ruimte omschrijving]],2,FALSE)</f>
        <v>Sanitair</v>
      </c>
      <c r="C248" s="255" t="s">
        <v>487</v>
      </c>
      <c r="D248" s="254" t="s">
        <v>21</v>
      </c>
      <c r="E248" s="255" t="s">
        <v>99</v>
      </c>
      <c r="F248" s="255" t="s">
        <v>489</v>
      </c>
      <c r="G248" s="260" t="s">
        <v>283</v>
      </c>
      <c r="H248" s="256" t="s">
        <v>283</v>
      </c>
      <c r="I248" s="256" t="s">
        <v>283</v>
      </c>
      <c r="J248" s="256" t="s">
        <v>283</v>
      </c>
      <c r="K248" s="256" t="s">
        <v>283</v>
      </c>
      <c r="L248" s="256" t="s">
        <v>283</v>
      </c>
      <c r="M248" s="256" t="s">
        <v>283</v>
      </c>
      <c r="N248" s="256" t="s">
        <v>283</v>
      </c>
      <c r="O248" s="257" t="s">
        <v>283</v>
      </c>
      <c r="P248" s="257" t="s">
        <v>283</v>
      </c>
      <c r="Q248" s="257" t="s">
        <v>283</v>
      </c>
      <c r="R248" s="257" t="s">
        <v>283</v>
      </c>
      <c r="S248" s="257" t="s">
        <v>283</v>
      </c>
      <c r="T248" s="257" t="s">
        <v>283</v>
      </c>
      <c r="U248" s="257" t="s">
        <v>283</v>
      </c>
      <c r="V248" s="257" t="s">
        <v>283</v>
      </c>
      <c r="W248" s="258" t="s">
        <v>283</v>
      </c>
      <c r="X248" s="258" t="s">
        <v>283</v>
      </c>
      <c r="Y248" s="259" t="s">
        <v>283</v>
      </c>
    </row>
    <row r="249" spans="1:25">
      <c r="A249" s="253">
        <v>5</v>
      </c>
      <c r="B249" s="254" t="str">
        <f>VLOOKUP(Tabel10[[#This Row],[Code]],Ruimtegroepen[[Code]:[Ruimte omschrijving]],2,FALSE)</f>
        <v>Sanitair</v>
      </c>
      <c r="C249" s="255" t="s">
        <v>487</v>
      </c>
      <c r="D249" s="254" t="s">
        <v>21</v>
      </c>
      <c r="E249" s="255" t="s">
        <v>1312</v>
      </c>
      <c r="F249" s="255" t="s">
        <v>1448</v>
      </c>
      <c r="G249" s="260" t="s">
        <v>283</v>
      </c>
      <c r="H249" s="256" t="s">
        <v>283</v>
      </c>
      <c r="I249" s="256" t="s">
        <v>283</v>
      </c>
      <c r="J249" s="256" t="s">
        <v>18</v>
      </c>
      <c r="K249" s="256" t="s">
        <v>15</v>
      </c>
      <c r="L249" s="256" t="s">
        <v>283</v>
      </c>
      <c r="M249" s="256" t="s">
        <v>283</v>
      </c>
      <c r="N249" s="256" t="s">
        <v>283</v>
      </c>
      <c r="O249" s="257" t="s">
        <v>283</v>
      </c>
      <c r="P249" s="257" t="s">
        <v>283</v>
      </c>
      <c r="Q249" s="257" t="s">
        <v>283</v>
      </c>
      <c r="R249" s="257" t="s">
        <v>283</v>
      </c>
      <c r="S249" s="257" t="s">
        <v>283</v>
      </c>
      <c r="T249" s="257" t="s">
        <v>283</v>
      </c>
      <c r="U249" s="257" t="s">
        <v>283</v>
      </c>
      <c r="V249" s="257" t="s">
        <v>283</v>
      </c>
      <c r="W249" s="258" t="s">
        <v>18</v>
      </c>
      <c r="X249" s="258" t="s">
        <v>15</v>
      </c>
      <c r="Y249" s="259" t="s">
        <v>283</v>
      </c>
    </row>
    <row r="250" spans="1:25">
      <c r="A250" s="253">
        <v>5</v>
      </c>
      <c r="B250" s="254" t="str">
        <f>VLOOKUP(Tabel10[[#This Row],[Code]],Ruimtegroepen[[Code]:[Ruimte omschrijving]],2,FALSE)</f>
        <v>Sanitair</v>
      </c>
      <c r="C250" s="255" t="s">
        <v>492</v>
      </c>
      <c r="D250" s="254" t="s">
        <v>12</v>
      </c>
      <c r="E250" s="255" t="s">
        <v>100</v>
      </c>
      <c r="F250" s="255" t="s">
        <v>493</v>
      </c>
      <c r="G250" s="260" t="s">
        <v>283</v>
      </c>
      <c r="H250" s="256" t="s">
        <v>283</v>
      </c>
      <c r="I250" s="256" t="s">
        <v>283</v>
      </c>
      <c r="J250" s="256" t="s">
        <v>17</v>
      </c>
      <c r="K250" s="256" t="s">
        <v>15</v>
      </c>
      <c r="L250" s="256" t="s">
        <v>283</v>
      </c>
      <c r="M250" s="256" t="s">
        <v>283</v>
      </c>
      <c r="N250" s="256" t="s">
        <v>283</v>
      </c>
      <c r="O250" s="257" t="s">
        <v>283</v>
      </c>
      <c r="P250" s="257" t="s">
        <v>283</v>
      </c>
      <c r="Q250" s="257" t="s">
        <v>283</v>
      </c>
      <c r="R250" s="257" t="s">
        <v>283</v>
      </c>
      <c r="S250" s="257" t="s">
        <v>283</v>
      </c>
      <c r="T250" s="257" t="s">
        <v>283</v>
      </c>
      <c r="U250" s="257" t="s">
        <v>283</v>
      </c>
      <c r="V250" s="257" t="s">
        <v>283</v>
      </c>
      <c r="W250" s="258" t="s">
        <v>17</v>
      </c>
      <c r="X250" s="258" t="s">
        <v>15</v>
      </c>
      <c r="Y250" s="259" t="s">
        <v>283</v>
      </c>
    </row>
    <row r="251" spans="1:25">
      <c r="A251" s="253">
        <v>5</v>
      </c>
      <c r="B251" s="254" t="str">
        <f>VLOOKUP(Tabel10[[#This Row],[Code]],Ruimtegroepen[[Code]:[Ruimte omschrijving]],2,FALSE)</f>
        <v>Sanitair</v>
      </c>
      <c r="C251" s="255" t="s">
        <v>492</v>
      </c>
      <c r="D251" s="254" t="s">
        <v>12</v>
      </c>
      <c r="E251" s="255" t="s">
        <v>99</v>
      </c>
      <c r="F251" s="255" t="s">
        <v>494</v>
      </c>
      <c r="G251" s="260" t="s">
        <v>283</v>
      </c>
      <c r="H251" s="256" t="s">
        <v>283</v>
      </c>
      <c r="I251" s="256" t="s">
        <v>283</v>
      </c>
      <c r="J251" s="256" t="s">
        <v>283</v>
      </c>
      <c r="K251" s="256" t="s">
        <v>283</v>
      </c>
      <c r="L251" s="256" t="s">
        <v>283</v>
      </c>
      <c r="M251" s="256" t="s">
        <v>283</v>
      </c>
      <c r="N251" s="256" t="s">
        <v>283</v>
      </c>
      <c r="O251" s="257" t="s">
        <v>283</v>
      </c>
      <c r="P251" s="257" t="s">
        <v>283</v>
      </c>
      <c r="Q251" s="257" t="s">
        <v>283</v>
      </c>
      <c r="R251" s="257" t="s">
        <v>283</v>
      </c>
      <c r="S251" s="257" t="s">
        <v>283</v>
      </c>
      <c r="T251" s="257" t="s">
        <v>283</v>
      </c>
      <c r="U251" s="257" t="s">
        <v>283</v>
      </c>
      <c r="V251" s="257" t="s">
        <v>283</v>
      </c>
      <c r="W251" s="258" t="s">
        <v>283</v>
      </c>
      <c r="X251" s="258" t="s">
        <v>283</v>
      </c>
      <c r="Y251" s="259" t="s">
        <v>283</v>
      </c>
    </row>
    <row r="252" spans="1:25">
      <c r="A252" s="253">
        <v>5</v>
      </c>
      <c r="B252" s="254" t="str">
        <f>VLOOKUP(Tabel10[[#This Row],[Code]],Ruimtegroepen[[Code]:[Ruimte omschrijving]],2,FALSE)</f>
        <v>Sanitair</v>
      </c>
      <c r="C252" s="255" t="s">
        <v>492</v>
      </c>
      <c r="D252" s="254" t="s">
        <v>12</v>
      </c>
      <c r="E252" s="255" t="s">
        <v>101</v>
      </c>
      <c r="F252" s="255" t="s">
        <v>495</v>
      </c>
      <c r="G252" s="260" t="s">
        <v>283</v>
      </c>
      <c r="H252" s="256" t="s">
        <v>283</v>
      </c>
      <c r="I252" s="256" t="s">
        <v>283</v>
      </c>
      <c r="J252" s="256" t="s">
        <v>17</v>
      </c>
      <c r="K252" s="256" t="s">
        <v>15</v>
      </c>
      <c r="L252" s="256" t="s">
        <v>283</v>
      </c>
      <c r="M252" s="256" t="s">
        <v>283</v>
      </c>
      <c r="N252" s="256" t="s">
        <v>283</v>
      </c>
      <c r="O252" s="257" t="s">
        <v>283</v>
      </c>
      <c r="P252" s="257" t="s">
        <v>283</v>
      </c>
      <c r="Q252" s="257" t="s">
        <v>283</v>
      </c>
      <c r="R252" s="257" t="s">
        <v>283</v>
      </c>
      <c r="S252" s="257" t="s">
        <v>283</v>
      </c>
      <c r="T252" s="257" t="s">
        <v>283</v>
      </c>
      <c r="U252" s="257" t="s">
        <v>283</v>
      </c>
      <c r="V252" s="257" t="s">
        <v>283</v>
      </c>
      <c r="W252" s="258" t="s">
        <v>17</v>
      </c>
      <c r="X252" s="258" t="s">
        <v>15</v>
      </c>
      <c r="Y252" s="259" t="s">
        <v>283</v>
      </c>
    </row>
    <row r="253" spans="1:25">
      <c r="A253" s="253">
        <v>5</v>
      </c>
      <c r="B253" s="254" t="str">
        <f>VLOOKUP(Tabel10[[#This Row],[Code]],Ruimtegroepen[[Code]:[Ruimte omschrijving]],2,FALSE)</f>
        <v>Sanitair</v>
      </c>
      <c r="C253" s="255" t="s">
        <v>492</v>
      </c>
      <c r="D253" s="254" t="s">
        <v>12</v>
      </c>
      <c r="E253" s="255" t="s">
        <v>102</v>
      </c>
      <c r="F253" s="255" t="s">
        <v>496</v>
      </c>
      <c r="G253" s="260" t="s">
        <v>283</v>
      </c>
      <c r="H253" s="256" t="s">
        <v>283</v>
      </c>
      <c r="I253" s="256" t="s">
        <v>283</v>
      </c>
      <c r="J253" s="256" t="s">
        <v>17</v>
      </c>
      <c r="K253" s="256" t="s">
        <v>15</v>
      </c>
      <c r="L253" s="256" t="s">
        <v>283</v>
      </c>
      <c r="M253" s="256" t="s">
        <v>283</v>
      </c>
      <c r="N253" s="256" t="s">
        <v>283</v>
      </c>
      <c r="O253" s="257" t="s">
        <v>283</v>
      </c>
      <c r="P253" s="257" t="s">
        <v>283</v>
      </c>
      <c r="Q253" s="257" t="s">
        <v>283</v>
      </c>
      <c r="R253" s="257" t="s">
        <v>283</v>
      </c>
      <c r="S253" s="257" t="s">
        <v>283</v>
      </c>
      <c r="T253" s="257" t="s">
        <v>283</v>
      </c>
      <c r="U253" s="257" t="s">
        <v>283</v>
      </c>
      <c r="V253" s="257" t="s">
        <v>283</v>
      </c>
      <c r="W253" s="258" t="s">
        <v>17</v>
      </c>
      <c r="X253" s="258" t="s">
        <v>15</v>
      </c>
      <c r="Y253" s="259" t="s">
        <v>283</v>
      </c>
    </row>
    <row r="254" spans="1:25">
      <c r="A254" s="253">
        <v>5</v>
      </c>
      <c r="B254" s="254" t="str">
        <f>VLOOKUP(Tabel10[[#This Row],[Code]],Ruimtegroepen[[Code]:[Ruimte omschrijving]],2,FALSE)</f>
        <v>Sanitair</v>
      </c>
      <c r="C254" s="255" t="s">
        <v>492</v>
      </c>
      <c r="D254" s="254" t="s">
        <v>12</v>
      </c>
      <c r="E254" s="255" t="s">
        <v>99</v>
      </c>
      <c r="F254" s="255" t="s">
        <v>494</v>
      </c>
      <c r="G254" s="260" t="s">
        <v>283</v>
      </c>
      <c r="H254" s="256" t="s">
        <v>283</v>
      </c>
      <c r="I254" s="256" t="s">
        <v>283</v>
      </c>
      <c r="J254" s="256" t="s">
        <v>283</v>
      </c>
      <c r="K254" s="256" t="s">
        <v>283</v>
      </c>
      <c r="L254" s="256" t="s">
        <v>283</v>
      </c>
      <c r="M254" s="256" t="s">
        <v>283</v>
      </c>
      <c r="N254" s="256" t="s">
        <v>283</v>
      </c>
      <c r="O254" s="257" t="s">
        <v>283</v>
      </c>
      <c r="P254" s="257" t="s">
        <v>283</v>
      </c>
      <c r="Q254" s="257" t="s">
        <v>283</v>
      </c>
      <c r="R254" s="257" t="s">
        <v>283</v>
      </c>
      <c r="S254" s="257" t="s">
        <v>283</v>
      </c>
      <c r="T254" s="257" t="s">
        <v>283</v>
      </c>
      <c r="U254" s="257" t="s">
        <v>283</v>
      </c>
      <c r="V254" s="257" t="s">
        <v>283</v>
      </c>
      <c r="W254" s="258" t="s">
        <v>283</v>
      </c>
      <c r="X254" s="258" t="s">
        <v>283</v>
      </c>
      <c r="Y254" s="259" t="s">
        <v>283</v>
      </c>
    </row>
    <row r="255" spans="1:25">
      <c r="A255" s="253">
        <v>5</v>
      </c>
      <c r="B255" s="254" t="str">
        <f>VLOOKUP(Tabel10[[#This Row],[Code]],Ruimtegroepen[[Code]:[Ruimte omschrijving]],2,FALSE)</f>
        <v>Sanitair</v>
      </c>
      <c r="C255" s="255" t="s">
        <v>492</v>
      </c>
      <c r="D255" s="254" t="s">
        <v>12</v>
      </c>
      <c r="E255" s="255" t="s">
        <v>1312</v>
      </c>
      <c r="F255" s="255" t="s">
        <v>1430</v>
      </c>
      <c r="G255" s="260" t="s">
        <v>283</v>
      </c>
      <c r="H255" s="256" t="s">
        <v>283</v>
      </c>
      <c r="I255" s="256" t="s">
        <v>283</v>
      </c>
      <c r="J255" s="256" t="s">
        <v>17</v>
      </c>
      <c r="K255" s="256" t="s">
        <v>15</v>
      </c>
      <c r="L255" s="256" t="s">
        <v>283</v>
      </c>
      <c r="M255" s="256" t="s">
        <v>283</v>
      </c>
      <c r="N255" s="256" t="s">
        <v>283</v>
      </c>
      <c r="O255" s="257" t="s">
        <v>283</v>
      </c>
      <c r="P255" s="257" t="s">
        <v>283</v>
      </c>
      <c r="Q255" s="257" t="s">
        <v>283</v>
      </c>
      <c r="R255" s="257" t="s">
        <v>283</v>
      </c>
      <c r="S255" s="257" t="s">
        <v>283</v>
      </c>
      <c r="T255" s="257" t="s">
        <v>283</v>
      </c>
      <c r="U255" s="257" t="s">
        <v>283</v>
      </c>
      <c r="V255" s="257" t="s">
        <v>283</v>
      </c>
      <c r="W255" s="258" t="s">
        <v>17</v>
      </c>
      <c r="X255" s="258" t="s">
        <v>15</v>
      </c>
      <c r="Y255" s="259" t="s">
        <v>283</v>
      </c>
    </row>
    <row r="256" spans="1:25">
      <c r="A256" s="253">
        <v>5</v>
      </c>
      <c r="B256" s="254" t="str">
        <f>VLOOKUP(Tabel10[[#This Row],[Code]],Ruimtegroepen[[Code]:[Ruimte omschrijving]],2,FALSE)</f>
        <v>Sanitair</v>
      </c>
      <c r="C256" s="255" t="s">
        <v>497</v>
      </c>
      <c r="D256" s="254" t="s">
        <v>14</v>
      </c>
      <c r="E256" s="255" t="s">
        <v>100</v>
      </c>
      <c r="F256" s="255" t="s">
        <v>498</v>
      </c>
      <c r="G256" s="260" t="s">
        <v>283</v>
      </c>
      <c r="H256" s="256" t="s">
        <v>283</v>
      </c>
      <c r="I256" s="256" t="s">
        <v>283</v>
      </c>
      <c r="J256" s="256" t="s">
        <v>15</v>
      </c>
      <c r="K256" s="256" t="s">
        <v>15</v>
      </c>
      <c r="L256" s="256" t="s">
        <v>283</v>
      </c>
      <c r="M256" s="256" t="s">
        <v>283</v>
      </c>
      <c r="N256" s="256" t="s">
        <v>283</v>
      </c>
      <c r="O256" s="257" t="s">
        <v>283</v>
      </c>
      <c r="P256" s="257" t="s">
        <v>283</v>
      </c>
      <c r="Q256" s="257" t="s">
        <v>283</v>
      </c>
      <c r="R256" s="257" t="s">
        <v>283</v>
      </c>
      <c r="S256" s="257" t="s">
        <v>283</v>
      </c>
      <c r="T256" s="257" t="s">
        <v>283</v>
      </c>
      <c r="U256" s="257" t="s">
        <v>283</v>
      </c>
      <c r="V256" s="257" t="s">
        <v>283</v>
      </c>
      <c r="W256" s="258" t="s">
        <v>15</v>
      </c>
      <c r="X256" s="258" t="s">
        <v>15</v>
      </c>
      <c r="Y256" s="259" t="s">
        <v>283</v>
      </c>
    </row>
    <row r="257" spans="1:25">
      <c r="A257" s="253">
        <v>5</v>
      </c>
      <c r="B257" s="254" t="str">
        <f>VLOOKUP(Tabel10[[#This Row],[Code]],Ruimtegroepen[[Code]:[Ruimte omschrijving]],2,FALSE)</f>
        <v>Sanitair</v>
      </c>
      <c r="C257" s="255" t="s">
        <v>497</v>
      </c>
      <c r="D257" s="254" t="s">
        <v>14</v>
      </c>
      <c r="E257" s="255" t="s">
        <v>99</v>
      </c>
      <c r="F257" s="255" t="s">
        <v>499</v>
      </c>
      <c r="G257" s="260" t="s">
        <v>283</v>
      </c>
      <c r="H257" s="256" t="s">
        <v>283</v>
      </c>
      <c r="I257" s="256" t="s">
        <v>283</v>
      </c>
      <c r="J257" s="256" t="s">
        <v>283</v>
      </c>
      <c r="K257" s="256" t="s">
        <v>283</v>
      </c>
      <c r="L257" s="256" t="s">
        <v>283</v>
      </c>
      <c r="M257" s="256" t="s">
        <v>283</v>
      </c>
      <c r="N257" s="256" t="s">
        <v>283</v>
      </c>
      <c r="O257" s="257" t="s">
        <v>283</v>
      </c>
      <c r="P257" s="257" t="s">
        <v>283</v>
      </c>
      <c r="Q257" s="257" t="s">
        <v>283</v>
      </c>
      <c r="R257" s="257" t="s">
        <v>283</v>
      </c>
      <c r="S257" s="257" t="s">
        <v>283</v>
      </c>
      <c r="T257" s="257" t="s">
        <v>283</v>
      </c>
      <c r="U257" s="257" t="s">
        <v>283</v>
      </c>
      <c r="V257" s="257" t="s">
        <v>283</v>
      </c>
      <c r="W257" s="258" t="s">
        <v>283</v>
      </c>
      <c r="X257" s="258" t="s">
        <v>283</v>
      </c>
      <c r="Y257" s="259" t="s">
        <v>283</v>
      </c>
    </row>
    <row r="258" spans="1:25">
      <c r="A258" s="253">
        <v>5</v>
      </c>
      <c r="B258" s="254" t="str">
        <f>VLOOKUP(Tabel10[[#This Row],[Code]],Ruimtegroepen[[Code]:[Ruimte omschrijving]],2,FALSE)</f>
        <v>Sanitair</v>
      </c>
      <c r="C258" s="255" t="s">
        <v>497</v>
      </c>
      <c r="D258" s="254" t="s">
        <v>14</v>
      </c>
      <c r="E258" s="255" t="s">
        <v>101</v>
      </c>
      <c r="F258" s="255" t="s">
        <v>500</v>
      </c>
      <c r="G258" s="260" t="s">
        <v>283</v>
      </c>
      <c r="H258" s="256" t="s">
        <v>283</v>
      </c>
      <c r="I258" s="256" t="s">
        <v>283</v>
      </c>
      <c r="J258" s="256" t="s">
        <v>15</v>
      </c>
      <c r="K258" s="256" t="s">
        <v>15</v>
      </c>
      <c r="L258" s="256" t="s">
        <v>283</v>
      </c>
      <c r="M258" s="256" t="s">
        <v>283</v>
      </c>
      <c r="N258" s="256" t="s">
        <v>283</v>
      </c>
      <c r="O258" s="257" t="s">
        <v>283</v>
      </c>
      <c r="P258" s="257" t="s">
        <v>283</v>
      </c>
      <c r="Q258" s="257" t="s">
        <v>283</v>
      </c>
      <c r="R258" s="257" t="s">
        <v>283</v>
      </c>
      <c r="S258" s="257" t="s">
        <v>283</v>
      </c>
      <c r="T258" s="257" t="s">
        <v>283</v>
      </c>
      <c r="U258" s="257" t="s">
        <v>283</v>
      </c>
      <c r="V258" s="257" t="s">
        <v>283</v>
      </c>
      <c r="W258" s="258" t="s">
        <v>15</v>
      </c>
      <c r="X258" s="258" t="s">
        <v>15</v>
      </c>
      <c r="Y258" s="259" t="s">
        <v>283</v>
      </c>
    </row>
    <row r="259" spans="1:25">
      <c r="A259" s="253">
        <v>5</v>
      </c>
      <c r="B259" s="254" t="str">
        <f>VLOOKUP(Tabel10[[#This Row],[Code]],Ruimtegroepen[[Code]:[Ruimte omschrijving]],2,FALSE)</f>
        <v>Sanitair</v>
      </c>
      <c r="C259" s="255" t="s">
        <v>497</v>
      </c>
      <c r="D259" s="254" t="s">
        <v>14</v>
      </c>
      <c r="E259" s="255" t="s">
        <v>102</v>
      </c>
      <c r="F259" s="255" t="s">
        <v>501</v>
      </c>
      <c r="G259" s="260" t="s">
        <v>283</v>
      </c>
      <c r="H259" s="256" t="s">
        <v>283</v>
      </c>
      <c r="I259" s="256" t="s">
        <v>283</v>
      </c>
      <c r="J259" s="256" t="s">
        <v>15</v>
      </c>
      <c r="K259" s="256" t="s">
        <v>15</v>
      </c>
      <c r="L259" s="256" t="s">
        <v>283</v>
      </c>
      <c r="M259" s="256" t="s">
        <v>283</v>
      </c>
      <c r="N259" s="256" t="s">
        <v>283</v>
      </c>
      <c r="O259" s="257" t="s">
        <v>283</v>
      </c>
      <c r="P259" s="257" t="s">
        <v>283</v>
      </c>
      <c r="Q259" s="257" t="s">
        <v>283</v>
      </c>
      <c r="R259" s="257" t="s">
        <v>283</v>
      </c>
      <c r="S259" s="257" t="s">
        <v>283</v>
      </c>
      <c r="T259" s="257" t="s">
        <v>283</v>
      </c>
      <c r="U259" s="257" t="s">
        <v>283</v>
      </c>
      <c r="V259" s="257" t="s">
        <v>283</v>
      </c>
      <c r="W259" s="258" t="s">
        <v>15</v>
      </c>
      <c r="X259" s="258" t="s">
        <v>15</v>
      </c>
      <c r="Y259" s="259" t="s">
        <v>283</v>
      </c>
    </row>
    <row r="260" spans="1:25">
      <c r="A260" s="253">
        <v>5</v>
      </c>
      <c r="B260" s="254" t="str">
        <f>VLOOKUP(Tabel10[[#This Row],[Code]],Ruimtegroepen[[Code]:[Ruimte omschrijving]],2,FALSE)</f>
        <v>Sanitair</v>
      </c>
      <c r="C260" s="255" t="s">
        <v>497</v>
      </c>
      <c r="D260" s="254" t="s">
        <v>14</v>
      </c>
      <c r="E260" s="255" t="s">
        <v>99</v>
      </c>
      <c r="F260" s="255" t="s">
        <v>499</v>
      </c>
      <c r="G260" s="260" t="s">
        <v>283</v>
      </c>
      <c r="H260" s="256" t="s">
        <v>283</v>
      </c>
      <c r="I260" s="256" t="s">
        <v>283</v>
      </c>
      <c r="J260" s="256" t="s">
        <v>283</v>
      </c>
      <c r="K260" s="256" t="s">
        <v>283</v>
      </c>
      <c r="L260" s="256" t="s">
        <v>283</v>
      </c>
      <c r="M260" s="256" t="s">
        <v>283</v>
      </c>
      <c r="N260" s="256" t="s">
        <v>283</v>
      </c>
      <c r="O260" s="257" t="s">
        <v>283</v>
      </c>
      <c r="P260" s="257" t="s">
        <v>283</v>
      </c>
      <c r="Q260" s="257" t="s">
        <v>283</v>
      </c>
      <c r="R260" s="257" t="s">
        <v>283</v>
      </c>
      <c r="S260" s="257" t="s">
        <v>283</v>
      </c>
      <c r="T260" s="257" t="s">
        <v>283</v>
      </c>
      <c r="U260" s="257" t="s">
        <v>283</v>
      </c>
      <c r="V260" s="257" t="s">
        <v>283</v>
      </c>
      <c r="W260" s="258" t="s">
        <v>283</v>
      </c>
      <c r="X260" s="258" t="s">
        <v>283</v>
      </c>
      <c r="Y260" s="259" t="s">
        <v>283</v>
      </c>
    </row>
    <row r="261" spans="1:25">
      <c r="A261" s="253">
        <v>5</v>
      </c>
      <c r="B261" s="254" t="str">
        <f>VLOOKUP(Tabel10[[#This Row],[Code]],Ruimtegroepen[[Code]:[Ruimte omschrijving]],2,FALSE)</f>
        <v>Sanitair</v>
      </c>
      <c r="C261" s="255" t="s">
        <v>497</v>
      </c>
      <c r="D261" s="254" t="s">
        <v>14</v>
      </c>
      <c r="E261" s="255" t="s">
        <v>1312</v>
      </c>
      <c r="F261" s="255" t="s">
        <v>1397</v>
      </c>
      <c r="G261" s="260" t="s">
        <v>283</v>
      </c>
      <c r="H261" s="256" t="s">
        <v>283</v>
      </c>
      <c r="I261" s="256" t="s">
        <v>283</v>
      </c>
      <c r="J261" s="256" t="s">
        <v>15</v>
      </c>
      <c r="K261" s="256" t="s">
        <v>15</v>
      </c>
      <c r="L261" s="256" t="s">
        <v>283</v>
      </c>
      <c r="M261" s="256" t="s">
        <v>283</v>
      </c>
      <c r="N261" s="256" t="s">
        <v>283</v>
      </c>
      <c r="O261" s="257" t="s">
        <v>283</v>
      </c>
      <c r="P261" s="257" t="s">
        <v>283</v>
      </c>
      <c r="Q261" s="257" t="s">
        <v>283</v>
      </c>
      <c r="R261" s="257" t="s">
        <v>283</v>
      </c>
      <c r="S261" s="257" t="s">
        <v>283</v>
      </c>
      <c r="T261" s="257" t="s">
        <v>283</v>
      </c>
      <c r="U261" s="257" t="s">
        <v>283</v>
      </c>
      <c r="V261" s="257" t="s">
        <v>283</v>
      </c>
      <c r="W261" s="258" t="s">
        <v>15</v>
      </c>
      <c r="X261" s="258" t="s">
        <v>15</v>
      </c>
      <c r="Y261" s="259" t="s">
        <v>283</v>
      </c>
    </row>
    <row r="262" spans="1:25">
      <c r="A262" s="253">
        <v>5</v>
      </c>
      <c r="B262" s="254" t="str">
        <f>VLOOKUP(Tabel10[[#This Row],[Code]],Ruimtegroepen[[Code]:[Ruimte omschrijving]],2,FALSE)</f>
        <v>Sanitair</v>
      </c>
      <c r="C262" s="255" t="s">
        <v>502</v>
      </c>
      <c r="D262" s="254" t="s">
        <v>13</v>
      </c>
      <c r="E262" s="255" t="s">
        <v>100</v>
      </c>
      <c r="F262" s="255" t="s">
        <v>503</v>
      </c>
      <c r="G262" s="260" t="s">
        <v>283</v>
      </c>
      <c r="H262" s="256" t="s">
        <v>283</v>
      </c>
      <c r="I262" s="256" t="s">
        <v>283</v>
      </c>
      <c r="J262" s="256" t="s">
        <v>283</v>
      </c>
      <c r="K262" s="256" t="s">
        <v>15</v>
      </c>
      <c r="L262" s="256" t="s">
        <v>283</v>
      </c>
      <c r="M262" s="256" t="s">
        <v>283</v>
      </c>
      <c r="N262" s="256" t="s">
        <v>283</v>
      </c>
      <c r="O262" s="257" t="s">
        <v>283</v>
      </c>
      <c r="P262" s="257" t="s">
        <v>283</v>
      </c>
      <c r="Q262" s="257" t="s">
        <v>283</v>
      </c>
      <c r="R262" s="257" t="s">
        <v>283</v>
      </c>
      <c r="S262" s="257" t="s">
        <v>283</v>
      </c>
      <c r="T262" s="257" t="s">
        <v>283</v>
      </c>
      <c r="U262" s="257" t="s">
        <v>283</v>
      </c>
      <c r="V262" s="257" t="s">
        <v>283</v>
      </c>
      <c r="W262" s="258" t="s">
        <v>283</v>
      </c>
      <c r="X262" s="258" t="s">
        <v>15</v>
      </c>
      <c r="Y262" s="259" t="s">
        <v>283</v>
      </c>
    </row>
    <row r="263" spans="1:25">
      <c r="A263" s="253">
        <v>5</v>
      </c>
      <c r="B263" s="254" t="str">
        <f>VLOOKUP(Tabel10[[#This Row],[Code]],Ruimtegroepen[[Code]:[Ruimte omschrijving]],2,FALSE)</f>
        <v>Sanitair</v>
      </c>
      <c r="C263" s="255" t="s">
        <v>502</v>
      </c>
      <c r="D263" s="254" t="s">
        <v>13</v>
      </c>
      <c r="E263" s="255" t="s">
        <v>99</v>
      </c>
      <c r="F263" s="255" t="s">
        <v>504</v>
      </c>
      <c r="G263" s="260" t="s">
        <v>283</v>
      </c>
      <c r="H263" s="256" t="s">
        <v>283</v>
      </c>
      <c r="I263" s="256" t="s">
        <v>283</v>
      </c>
      <c r="J263" s="256" t="s">
        <v>283</v>
      </c>
      <c r="K263" s="256" t="s">
        <v>283</v>
      </c>
      <c r="L263" s="256" t="s">
        <v>283</v>
      </c>
      <c r="M263" s="256" t="s">
        <v>283</v>
      </c>
      <c r="N263" s="256" t="s">
        <v>283</v>
      </c>
      <c r="O263" s="257" t="s">
        <v>283</v>
      </c>
      <c r="P263" s="257" t="s">
        <v>283</v>
      </c>
      <c r="Q263" s="257" t="s">
        <v>283</v>
      </c>
      <c r="R263" s="257" t="s">
        <v>283</v>
      </c>
      <c r="S263" s="257" t="s">
        <v>283</v>
      </c>
      <c r="T263" s="257" t="s">
        <v>283</v>
      </c>
      <c r="U263" s="257" t="s">
        <v>283</v>
      </c>
      <c r="V263" s="257" t="s">
        <v>283</v>
      </c>
      <c r="W263" s="258" t="s">
        <v>283</v>
      </c>
      <c r="X263" s="258" t="s">
        <v>283</v>
      </c>
      <c r="Y263" s="259" t="s">
        <v>283</v>
      </c>
    </row>
    <row r="264" spans="1:25">
      <c r="A264" s="253">
        <v>5</v>
      </c>
      <c r="B264" s="254" t="str">
        <f>VLOOKUP(Tabel10[[#This Row],[Code]],Ruimtegroepen[[Code]:[Ruimte omschrijving]],2,FALSE)</f>
        <v>Sanitair</v>
      </c>
      <c r="C264" s="255" t="s">
        <v>502</v>
      </c>
      <c r="D264" s="254" t="s">
        <v>13</v>
      </c>
      <c r="E264" s="255" t="s">
        <v>101</v>
      </c>
      <c r="F264" s="255" t="s">
        <v>505</v>
      </c>
      <c r="G264" s="260" t="s">
        <v>283</v>
      </c>
      <c r="H264" s="256" t="s">
        <v>283</v>
      </c>
      <c r="I264" s="256" t="s">
        <v>283</v>
      </c>
      <c r="J264" s="256" t="s">
        <v>283</v>
      </c>
      <c r="K264" s="256" t="s">
        <v>15</v>
      </c>
      <c r="L264" s="256" t="s">
        <v>283</v>
      </c>
      <c r="M264" s="256" t="s">
        <v>283</v>
      </c>
      <c r="N264" s="256" t="s">
        <v>283</v>
      </c>
      <c r="O264" s="257" t="s">
        <v>283</v>
      </c>
      <c r="P264" s="257" t="s">
        <v>283</v>
      </c>
      <c r="Q264" s="257" t="s">
        <v>283</v>
      </c>
      <c r="R264" s="257" t="s">
        <v>283</v>
      </c>
      <c r="S264" s="257" t="s">
        <v>283</v>
      </c>
      <c r="T264" s="257" t="s">
        <v>283</v>
      </c>
      <c r="U264" s="257" t="s">
        <v>283</v>
      </c>
      <c r="V264" s="257" t="s">
        <v>283</v>
      </c>
      <c r="W264" s="258" t="s">
        <v>283</v>
      </c>
      <c r="X264" s="258" t="s">
        <v>15</v>
      </c>
      <c r="Y264" s="259" t="s">
        <v>283</v>
      </c>
    </row>
    <row r="265" spans="1:25">
      <c r="A265" s="253">
        <v>5</v>
      </c>
      <c r="B265" s="254" t="str">
        <f>VLOOKUP(Tabel10[[#This Row],[Code]],Ruimtegroepen[[Code]:[Ruimte omschrijving]],2,FALSE)</f>
        <v>Sanitair</v>
      </c>
      <c r="C265" s="255" t="s">
        <v>502</v>
      </c>
      <c r="D265" s="254" t="s">
        <v>13</v>
      </c>
      <c r="E265" s="255" t="s">
        <v>102</v>
      </c>
      <c r="F265" s="255" t="s">
        <v>506</v>
      </c>
      <c r="G265" s="260" t="s">
        <v>283</v>
      </c>
      <c r="H265" s="256" t="s">
        <v>283</v>
      </c>
      <c r="I265" s="256" t="s">
        <v>283</v>
      </c>
      <c r="J265" s="256" t="s">
        <v>283</v>
      </c>
      <c r="K265" s="256" t="s">
        <v>15</v>
      </c>
      <c r="L265" s="256" t="s">
        <v>283</v>
      </c>
      <c r="M265" s="256" t="s">
        <v>283</v>
      </c>
      <c r="N265" s="256" t="s">
        <v>283</v>
      </c>
      <c r="O265" s="257" t="s">
        <v>283</v>
      </c>
      <c r="P265" s="257" t="s">
        <v>283</v>
      </c>
      <c r="Q265" s="257" t="s">
        <v>283</v>
      </c>
      <c r="R265" s="257" t="s">
        <v>283</v>
      </c>
      <c r="S265" s="257" t="s">
        <v>283</v>
      </c>
      <c r="T265" s="257" t="s">
        <v>283</v>
      </c>
      <c r="U265" s="257" t="s">
        <v>283</v>
      </c>
      <c r="V265" s="257" t="s">
        <v>283</v>
      </c>
      <c r="W265" s="258" t="s">
        <v>283</v>
      </c>
      <c r="X265" s="258" t="s">
        <v>15</v>
      </c>
      <c r="Y265" s="259" t="s">
        <v>283</v>
      </c>
    </row>
    <row r="266" spans="1:25">
      <c r="A266" s="253">
        <v>5</v>
      </c>
      <c r="B266" s="254" t="str">
        <f>VLOOKUP(Tabel10[[#This Row],[Code]],Ruimtegroepen[[Code]:[Ruimte omschrijving]],2,FALSE)</f>
        <v>Sanitair</v>
      </c>
      <c r="C266" s="255" t="s">
        <v>502</v>
      </c>
      <c r="D266" s="254" t="s">
        <v>13</v>
      </c>
      <c r="E266" s="255" t="s">
        <v>99</v>
      </c>
      <c r="F266" s="255" t="s">
        <v>504</v>
      </c>
      <c r="G266" s="260" t="s">
        <v>283</v>
      </c>
      <c r="H266" s="256" t="s">
        <v>283</v>
      </c>
      <c r="I266" s="256" t="s">
        <v>283</v>
      </c>
      <c r="J266" s="256" t="s">
        <v>283</v>
      </c>
      <c r="K266" s="256" t="s">
        <v>283</v>
      </c>
      <c r="L266" s="256" t="s">
        <v>283</v>
      </c>
      <c r="M266" s="256" t="s">
        <v>283</v>
      </c>
      <c r="N266" s="256" t="s">
        <v>283</v>
      </c>
      <c r="O266" s="257" t="s">
        <v>283</v>
      </c>
      <c r="P266" s="257" t="s">
        <v>283</v>
      </c>
      <c r="Q266" s="257" t="s">
        <v>283</v>
      </c>
      <c r="R266" s="257" t="s">
        <v>283</v>
      </c>
      <c r="S266" s="257" t="s">
        <v>283</v>
      </c>
      <c r="T266" s="257" t="s">
        <v>283</v>
      </c>
      <c r="U266" s="257" t="s">
        <v>283</v>
      </c>
      <c r="V266" s="257" t="s">
        <v>283</v>
      </c>
      <c r="W266" s="258" t="s">
        <v>283</v>
      </c>
      <c r="X266" s="258" t="s">
        <v>283</v>
      </c>
      <c r="Y266" s="259" t="s">
        <v>283</v>
      </c>
    </row>
    <row r="267" spans="1:25">
      <c r="A267" s="253">
        <v>5</v>
      </c>
      <c r="B267" s="254" t="str">
        <f>VLOOKUP(Tabel10[[#This Row],[Code]],Ruimtegroepen[[Code]:[Ruimte omschrijving]],2,FALSE)</f>
        <v>Sanitair</v>
      </c>
      <c r="C267" s="255" t="s">
        <v>502</v>
      </c>
      <c r="D267" s="254" t="s">
        <v>13</v>
      </c>
      <c r="E267" s="255" t="s">
        <v>1312</v>
      </c>
      <c r="F267" s="255" t="s">
        <v>1364</v>
      </c>
      <c r="G267" s="260" t="s">
        <v>283</v>
      </c>
      <c r="H267" s="256" t="s">
        <v>283</v>
      </c>
      <c r="I267" s="256" t="s">
        <v>283</v>
      </c>
      <c r="J267" s="256" t="s">
        <v>283</v>
      </c>
      <c r="K267" s="256" t="s">
        <v>15</v>
      </c>
      <c r="L267" s="256" t="s">
        <v>283</v>
      </c>
      <c r="M267" s="256" t="s">
        <v>283</v>
      </c>
      <c r="N267" s="256" t="s">
        <v>283</v>
      </c>
      <c r="O267" s="257" t="s">
        <v>283</v>
      </c>
      <c r="P267" s="257" t="s">
        <v>283</v>
      </c>
      <c r="Q267" s="257" t="s">
        <v>283</v>
      </c>
      <c r="R267" s="257" t="s">
        <v>283</v>
      </c>
      <c r="S267" s="257" t="s">
        <v>283</v>
      </c>
      <c r="T267" s="257" t="s">
        <v>283</v>
      </c>
      <c r="U267" s="257" t="s">
        <v>283</v>
      </c>
      <c r="V267" s="257" t="s">
        <v>283</v>
      </c>
      <c r="W267" s="258" t="s">
        <v>283</v>
      </c>
      <c r="X267" s="258" t="s">
        <v>15</v>
      </c>
      <c r="Y267" s="259" t="s">
        <v>283</v>
      </c>
    </row>
    <row r="268" spans="1:25">
      <c r="A268" s="253">
        <v>5</v>
      </c>
      <c r="B268" s="254" t="str">
        <f>VLOOKUP(Tabel10[[#This Row],[Code]],Ruimtegroepen[[Code]:[Ruimte omschrijving]],2,FALSE)</f>
        <v>Sanitair</v>
      </c>
      <c r="C268" s="255" t="s">
        <v>507</v>
      </c>
      <c r="D268" s="254" t="s">
        <v>0</v>
      </c>
      <c r="E268" s="255" t="s">
        <v>100</v>
      </c>
      <c r="F268" s="255" t="s">
        <v>508</v>
      </c>
      <c r="G268" s="260" t="s">
        <v>283</v>
      </c>
      <c r="H268" s="256" t="s">
        <v>283</v>
      </c>
      <c r="I268" s="256" t="s">
        <v>283</v>
      </c>
      <c r="J268" s="256" t="s">
        <v>283</v>
      </c>
      <c r="K268" s="256" t="s">
        <v>16</v>
      </c>
      <c r="L268" s="256" t="s">
        <v>283</v>
      </c>
      <c r="M268" s="256" t="s">
        <v>283</v>
      </c>
      <c r="N268" s="256" t="s">
        <v>283</v>
      </c>
      <c r="O268" s="257" t="s">
        <v>283</v>
      </c>
      <c r="P268" s="257" t="s">
        <v>283</v>
      </c>
      <c r="Q268" s="257" t="s">
        <v>283</v>
      </c>
      <c r="R268" s="257" t="s">
        <v>283</v>
      </c>
      <c r="S268" s="257" t="s">
        <v>283</v>
      </c>
      <c r="T268" s="257" t="s">
        <v>283</v>
      </c>
      <c r="U268" s="257" t="s">
        <v>283</v>
      </c>
      <c r="V268" s="257" t="s">
        <v>283</v>
      </c>
      <c r="W268" s="258" t="s">
        <v>283</v>
      </c>
      <c r="X268" s="258" t="s">
        <v>16</v>
      </c>
      <c r="Y268" s="259" t="s">
        <v>283</v>
      </c>
    </row>
    <row r="269" spans="1:25">
      <c r="A269" s="253">
        <v>5</v>
      </c>
      <c r="B269" s="254" t="str">
        <f>VLOOKUP(Tabel10[[#This Row],[Code]],Ruimtegroepen[[Code]:[Ruimte omschrijving]],2,FALSE)</f>
        <v>Sanitair</v>
      </c>
      <c r="C269" s="255" t="s">
        <v>507</v>
      </c>
      <c r="D269" s="254" t="s">
        <v>0</v>
      </c>
      <c r="E269" s="255" t="s">
        <v>99</v>
      </c>
      <c r="F269" s="255" t="s">
        <v>509</v>
      </c>
      <c r="G269" s="260" t="s">
        <v>283</v>
      </c>
      <c r="H269" s="256" t="s">
        <v>283</v>
      </c>
      <c r="I269" s="256" t="s">
        <v>283</v>
      </c>
      <c r="J269" s="256" t="s">
        <v>283</v>
      </c>
      <c r="K269" s="256" t="s">
        <v>283</v>
      </c>
      <c r="L269" s="256" t="s">
        <v>283</v>
      </c>
      <c r="M269" s="256" t="s">
        <v>283</v>
      </c>
      <c r="N269" s="256" t="s">
        <v>283</v>
      </c>
      <c r="O269" s="257" t="s">
        <v>283</v>
      </c>
      <c r="P269" s="257" t="s">
        <v>283</v>
      </c>
      <c r="Q269" s="257" t="s">
        <v>283</v>
      </c>
      <c r="R269" s="257" t="s">
        <v>283</v>
      </c>
      <c r="S269" s="257" t="s">
        <v>283</v>
      </c>
      <c r="T269" s="257" t="s">
        <v>283</v>
      </c>
      <c r="U269" s="257" t="s">
        <v>283</v>
      </c>
      <c r="V269" s="257" t="s">
        <v>283</v>
      </c>
      <c r="W269" s="258" t="s">
        <v>283</v>
      </c>
      <c r="X269" s="258" t="s">
        <v>283</v>
      </c>
      <c r="Y269" s="259" t="s">
        <v>283</v>
      </c>
    </row>
    <row r="270" spans="1:25">
      <c r="A270" s="253">
        <v>5</v>
      </c>
      <c r="B270" s="254" t="str">
        <f>VLOOKUP(Tabel10[[#This Row],[Code]],Ruimtegroepen[[Code]:[Ruimte omschrijving]],2,FALSE)</f>
        <v>Sanitair</v>
      </c>
      <c r="C270" s="255" t="s">
        <v>507</v>
      </c>
      <c r="D270" s="254" t="s">
        <v>0</v>
      </c>
      <c r="E270" s="255" t="s">
        <v>101</v>
      </c>
      <c r="F270" s="255" t="s">
        <v>510</v>
      </c>
      <c r="G270" s="260" t="s">
        <v>283</v>
      </c>
      <c r="H270" s="256" t="s">
        <v>283</v>
      </c>
      <c r="I270" s="256" t="s">
        <v>283</v>
      </c>
      <c r="J270" s="256" t="s">
        <v>283</v>
      </c>
      <c r="K270" s="256" t="s">
        <v>16</v>
      </c>
      <c r="L270" s="256" t="s">
        <v>283</v>
      </c>
      <c r="M270" s="256" t="s">
        <v>283</v>
      </c>
      <c r="N270" s="256" t="s">
        <v>283</v>
      </c>
      <c r="O270" s="257" t="s">
        <v>283</v>
      </c>
      <c r="P270" s="257" t="s">
        <v>283</v>
      </c>
      <c r="Q270" s="257" t="s">
        <v>283</v>
      </c>
      <c r="R270" s="257" t="s">
        <v>283</v>
      </c>
      <c r="S270" s="257" t="s">
        <v>283</v>
      </c>
      <c r="T270" s="257" t="s">
        <v>283</v>
      </c>
      <c r="U270" s="257" t="s">
        <v>283</v>
      </c>
      <c r="V270" s="257" t="s">
        <v>283</v>
      </c>
      <c r="W270" s="258" t="s">
        <v>283</v>
      </c>
      <c r="X270" s="258" t="s">
        <v>16</v>
      </c>
      <c r="Y270" s="259" t="s">
        <v>283</v>
      </c>
    </row>
    <row r="271" spans="1:25">
      <c r="A271" s="253">
        <v>5</v>
      </c>
      <c r="B271" s="254" t="str">
        <f>VLOOKUP(Tabel10[[#This Row],[Code]],Ruimtegroepen[[Code]:[Ruimte omschrijving]],2,FALSE)</f>
        <v>Sanitair</v>
      </c>
      <c r="C271" s="255" t="s">
        <v>507</v>
      </c>
      <c r="D271" s="254" t="s">
        <v>0</v>
      </c>
      <c r="E271" s="255" t="s">
        <v>102</v>
      </c>
      <c r="F271" s="255" t="s">
        <v>511</v>
      </c>
      <c r="G271" s="260" t="s">
        <v>283</v>
      </c>
      <c r="H271" s="256" t="s">
        <v>283</v>
      </c>
      <c r="I271" s="256" t="s">
        <v>283</v>
      </c>
      <c r="J271" s="256" t="s">
        <v>283</v>
      </c>
      <c r="K271" s="256" t="s">
        <v>16</v>
      </c>
      <c r="L271" s="256" t="s">
        <v>283</v>
      </c>
      <c r="M271" s="256" t="s">
        <v>283</v>
      </c>
      <c r="N271" s="256" t="s">
        <v>283</v>
      </c>
      <c r="O271" s="257" t="s">
        <v>283</v>
      </c>
      <c r="P271" s="257" t="s">
        <v>283</v>
      </c>
      <c r="Q271" s="257" t="s">
        <v>283</v>
      </c>
      <c r="R271" s="257" t="s">
        <v>283</v>
      </c>
      <c r="S271" s="257" t="s">
        <v>283</v>
      </c>
      <c r="T271" s="257" t="s">
        <v>283</v>
      </c>
      <c r="U271" s="257" t="s">
        <v>283</v>
      </c>
      <c r="V271" s="257" t="s">
        <v>283</v>
      </c>
      <c r="W271" s="258" t="s">
        <v>283</v>
      </c>
      <c r="X271" s="258" t="s">
        <v>16</v>
      </c>
      <c r="Y271" s="259" t="s">
        <v>283</v>
      </c>
    </row>
    <row r="272" spans="1:25">
      <c r="A272" s="253">
        <v>5</v>
      </c>
      <c r="B272" s="254" t="str">
        <f>VLOOKUP(Tabel10[[#This Row],[Code]],Ruimtegroepen[[Code]:[Ruimte omschrijving]],2,FALSE)</f>
        <v>Sanitair</v>
      </c>
      <c r="C272" s="255" t="s">
        <v>507</v>
      </c>
      <c r="D272" s="254" t="s">
        <v>0</v>
      </c>
      <c r="E272" s="255" t="s">
        <v>99</v>
      </c>
      <c r="F272" s="255" t="s">
        <v>509</v>
      </c>
      <c r="G272" s="260" t="s">
        <v>283</v>
      </c>
      <c r="H272" s="256" t="s">
        <v>283</v>
      </c>
      <c r="I272" s="256" t="s">
        <v>283</v>
      </c>
      <c r="J272" s="256" t="s">
        <v>283</v>
      </c>
      <c r="K272" s="256" t="s">
        <v>283</v>
      </c>
      <c r="L272" s="256" t="s">
        <v>283</v>
      </c>
      <c r="M272" s="256" t="s">
        <v>283</v>
      </c>
      <c r="N272" s="256" t="s">
        <v>283</v>
      </c>
      <c r="O272" s="257" t="s">
        <v>283</v>
      </c>
      <c r="P272" s="257" t="s">
        <v>283</v>
      </c>
      <c r="Q272" s="257" t="s">
        <v>283</v>
      </c>
      <c r="R272" s="257" t="s">
        <v>283</v>
      </c>
      <c r="S272" s="257" t="s">
        <v>283</v>
      </c>
      <c r="T272" s="257" t="s">
        <v>283</v>
      </c>
      <c r="U272" s="257" t="s">
        <v>283</v>
      </c>
      <c r="V272" s="257" t="s">
        <v>283</v>
      </c>
      <c r="W272" s="258" t="s">
        <v>283</v>
      </c>
      <c r="X272" s="258" t="s">
        <v>283</v>
      </c>
      <c r="Y272" s="259" t="s">
        <v>283</v>
      </c>
    </row>
    <row r="273" spans="1:25">
      <c r="A273" s="253">
        <v>5</v>
      </c>
      <c r="B273" s="254" t="str">
        <f>VLOOKUP(Tabel10[[#This Row],[Code]],Ruimtegroepen[[Code]:[Ruimte omschrijving]],2,FALSE)</f>
        <v>Sanitair</v>
      </c>
      <c r="C273" s="255" t="s">
        <v>507</v>
      </c>
      <c r="D273" s="254" t="s">
        <v>0</v>
      </c>
      <c r="E273" s="255" t="s">
        <v>1312</v>
      </c>
      <c r="F273" s="255" t="s">
        <v>1348</v>
      </c>
      <c r="G273" s="260" t="s">
        <v>283</v>
      </c>
      <c r="H273" s="256" t="s">
        <v>283</v>
      </c>
      <c r="I273" s="256" t="s">
        <v>283</v>
      </c>
      <c r="J273" s="256" t="s">
        <v>283</v>
      </c>
      <c r="K273" s="256" t="s">
        <v>16</v>
      </c>
      <c r="L273" s="256" t="s">
        <v>283</v>
      </c>
      <c r="M273" s="256" t="s">
        <v>283</v>
      </c>
      <c r="N273" s="256" t="s">
        <v>283</v>
      </c>
      <c r="O273" s="257" t="s">
        <v>283</v>
      </c>
      <c r="P273" s="257" t="s">
        <v>283</v>
      </c>
      <c r="Q273" s="257" t="s">
        <v>283</v>
      </c>
      <c r="R273" s="257" t="s">
        <v>283</v>
      </c>
      <c r="S273" s="257" t="s">
        <v>283</v>
      </c>
      <c r="T273" s="257" t="s">
        <v>283</v>
      </c>
      <c r="U273" s="257" t="s">
        <v>283</v>
      </c>
      <c r="V273" s="257" t="s">
        <v>283</v>
      </c>
      <c r="W273" s="258" t="s">
        <v>283</v>
      </c>
      <c r="X273" s="258" t="s">
        <v>16</v>
      </c>
      <c r="Y273" s="259" t="s">
        <v>283</v>
      </c>
    </row>
    <row r="274" spans="1:25">
      <c r="A274" s="253">
        <v>5</v>
      </c>
      <c r="B274" s="254" t="str">
        <f>VLOOKUP(Tabel10[[#This Row],[Code]],Ruimtegroepen[[Code]:[Ruimte omschrijving]],2,FALSE)</f>
        <v>Sanitair</v>
      </c>
      <c r="C274" s="255" t="s">
        <v>512</v>
      </c>
      <c r="D274" s="254" t="s">
        <v>27</v>
      </c>
      <c r="E274" s="255" t="s">
        <v>100</v>
      </c>
      <c r="F274" s="255" t="s">
        <v>513</v>
      </c>
      <c r="G274" s="260" t="s">
        <v>283</v>
      </c>
      <c r="H274" s="256" t="s">
        <v>283</v>
      </c>
      <c r="I274" s="256" t="s">
        <v>283</v>
      </c>
      <c r="J274" s="256" t="s">
        <v>15</v>
      </c>
      <c r="K274" s="256" t="s">
        <v>283</v>
      </c>
      <c r="L274" s="256" t="s">
        <v>283</v>
      </c>
      <c r="M274" s="256" t="s">
        <v>283</v>
      </c>
      <c r="N274" s="256" t="s">
        <v>283</v>
      </c>
      <c r="O274" s="257" t="s">
        <v>283</v>
      </c>
      <c r="P274" s="257" t="s">
        <v>283</v>
      </c>
      <c r="Q274" s="257" t="s">
        <v>283</v>
      </c>
      <c r="R274" s="257" t="s">
        <v>283</v>
      </c>
      <c r="S274" s="257" t="s">
        <v>283</v>
      </c>
      <c r="T274" s="257" t="s">
        <v>283</v>
      </c>
      <c r="U274" s="257" t="s">
        <v>283</v>
      </c>
      <c r="V274" s="257" t="s">
        <v>283</v>
      </c>
      <c r="W274" s="258" t="s">
        <v>15</v>
      </c>
      <c r="X274" s="258" t="s">
        <v>15</v>
      </c>
      <c r="Y274" s="259" t="s">
        <v>283</v>
      </c>
    </row>
    <row r="275" spans="1:25">
      <c r="A275" s="253">
        <v>5</v>
      </c>
      <c r="B275" s="254" t="str">
        <f>VLOOKUP(Tabel10[[#This Row],[Code]],Ruimtegroepen[[Code]:[Ruimte omschrijving]],2,FALSE)</f>
        <v>Sanitair</v>
      </c>
      <c r="C275" s="255" t="s">
        <v>512</v>
      </c>
      <c r="D275" s="254" t="s">
        <v>27</v>
      </c>
      <c r="E275" s="255" t="s">
        <v>99</v>
      </c>
      <c r="F275" s="255" t="s">
        <v>514</v>
      </c>
      <c r="G275" s="260" t="s">
        <v>283</v>
      </c>
      <c r="H275" s="256" t="s">
        <v>283</v>
      </c>
      <c r="I275" s="256" t="s">
        <v>283</v>
      </c>
      <c r="J275" s="256" t="s">
        <v>283</v>
      </c>
      <c r="K275" s="256" t="s">
        <v>283</v>
      </c>
      <c r="L275" s="256" t="s">
        <v>283</v>
      </c>
      <c r="M275" s="256" t="s">
        <v>283</v>
      </c>
      <c r="N275" s="256" t="s">
        <v>283</v>
      </c>
      <c r="O275" s="257" t="s">
        <v>283</v>
      </c>
      <c r="P275" s="257" t="s">
        <v>283</v>
      </c>
      <c r="Q275" s="257" t="s">
        <v>283</v>
      </c>
      <c r="R275" s="257" t="s">
        <v>283</v>
      </c>
      <c r="S275" s="257" t="s">
        <v>283</v>
      </c>
      <c r="T275" s="257" t="s">
        <v>283</v>
      </c>
      <c r="U275" s="257" t="s">
        <v>283</v>
      </c>
      <c r="V275" s="257" t="s">
        <v>283</v>
      </c>
      <c r="W275" s="258" t="s">
        <v>283</v>
      </c>
      <c r="X275" s="258" t="s">
        <v>283</v>
      </c>
      <c r="Y275" s="259" t="s">
        <v>283</v>
      </c>
    </row>
    <row r="276" spans="1:25">
      <c r="A276" s="253">
        <v>5</v>
      </c>
      <c r="B276" s="254" t="str">
        <f>VLOOKUP(Tabel10[[#This Row],[Code]],Ruimtegroepen[[Code]:[Ruimte omschrijving]],2,FALSE)</f>
        <v>Sanitair</v>
      </c>
      <c r="C276" s="255" t="s">
        <v>512</v>
      </c>
      <c r="D276" s="254" t="s">
        <v>27</v>
      </c>
      <c r="E276" s="255" t="s">
        <v>101</v>
      </c>
      <c r="F276" s="255" t="s">
        <v>515</v>
      </c>
      <c r="G276" s="260" t="s">
        <v>283</v>
      </c>
      <c r="H276" s="256" t="s">
        <v>283</v>
      </c>
      <c r="I276" s="256" t="s">
        <v>283</v>
      </c>
      <c r="J276" s="256" t="s">
        <v>15</v>
      </c>
      <c r="K276" s="256" t="s">
        <v>283</v>
      </c>
      <c r="L276" s="256" t="s">
        <v>283</v>
      </c>
      <c r="M276" s="256" t="s">
        <v>283</v>
      </c>
      <c r="N276" s="256" t="s">
        <v>283</v>
      </c>
      <c r="O276" s="257" t="s">
        <v>283</v>
      </c>
      <c r="P276" s="257" t="s">
        <v>283</v>
      </c>
      <c r="Q276" s="257" t="s">
        <v>283</v>
      </c>
      <c r="R276" s="257" t="s">
        <v>283</v>
      </c>
      <c r="S276" s="257" t="s">
        <v>283</v>
      </c>
      <c r="T276" s="257" t="s">
        <v>283</v>
      </c>
      <c r="U276" s="257" t="s">
        <v>283</v>
      </c>
      <c r="V276" s="257" t="s">
        <v>283</v>
      </c>
      <c r="W276" s="258" t="s">
        <v>15</v>
      </c>
      <c r="X276" s="258" t="s">
        <v>15</v>
      </c>
      <c r="Y276" s="259" t="s">
        <v>283</v>
      </c>
    </row>
    <row r="277" spans="1:25">
      <c r="A277" s="253">
        <v>5</v>
      </c>
      <c r="B277" s="254" t="str">
        <f>VLOOKUP(Tabel10[[#This Row],[Code]],Ruimtegroepen[[Code]:[Ruimte omschrijving]],2,FALSE)</f>
        <v>Sanitair</v>
      </c>
      <c r="C277" s="255" t="s">
        <v>512</v>
      </c>
      <c r="D277" s="254" t="s">
        <v>27</v>
      </c>
      <c r="E277" s="255" t="s">
        <v>102</v>
      </c>
      <c r="F277" s="255" t="s">
        <v>516</v>
      </c>
      <c r="G277" s="260" t="s">
        <v>283</v>
      </c>
      <c r="H277" s="256" t="s">
        <v>283</v>
      </c>
      <c r="I277" s="256" t="s">
        <v>283</v>
      </c>
      <c r="J277" s="256" t="s">
        <v>15</v>
      </c>
      <c r="K277" s="256" t="s">
        <v>283</v>
      </c>
      <c r="L277" s="256" t="s">
        <v>283</v>
      </c>
      <c r="M277" s="256" t="s">
        <v>283</v>
      </c>
      <c r="N277" s="256" t="s">
        <v>283</v>
      </c>
      <c r="O277" s="257" t="s">
        <v>283</v>
      </c>
      <c r="P277" s="257" t="s">
        <v>283</v>
      </c>
      <c r="Q277" s="257" t="s">
        <v>283</v>
      </c>
      <c r="R277" s="257" t="s">
        <v>283</v>
      </c>
      <c r="S277" s="257" t="s">
        <v>283</v>
      </c>
      <c r="T277" s="257" t="s">
        <v>283</v>
      </c>
      <c r="U277" s="257" t="s">
        <v>283</v>
      </c>
      <c r="V277" s="257" t="s">
        <v>283</v>
      </c>
      <c r="W277" s="258" t="s">
        <v>15</v>
      </c>
      <c r="X277" s="258" t="s">
        <v>15</v>
      </c>
      <c r="Y277" s="259" t="s">
        <v>283</v>
      </c>
    </row>
    <row r="278" spans="1:25">
      <c r="A278" s="253">
        <v>5</v>
      </c>
      <c r="B278" s="254" t="str">
        <f>VLOOKUP(Tabel10[[#This Row],[Code]],Ruimtegroepen[[Code]:[Ruimte omschrijving]],2,FALSE)</f>
        <v>Sanitair</v>
      </c>
      <c r="C278" s="255" t="s">
        <v>512</v>
      </c>
      <c r="D278" s="254" t="s">
        <v>27</v>
      </c>
      <c r="E278" s="255" t="s">
        <v>99</v>
      </c>
      <c r="F278" s="255" t="s">
        <v>514</v>
      </c>
      <c r="G278" s="260" t="s">
        <v>283</v>
      </c>
      <c r="H278" s="256" t="s">
        <v>283</v>
      </c>
      <c r="I278" s="256" t="s">
        <v>283</v>
      </c>
      <c r="J278" s="256" t="s">
        <v>283</v>
      </c>
      <c r="K278" s="256" t="s">
        <v>283</v>
      </c>
      <c r="L278" s="256" t="s">
        <v>283</v>
      </c>
      <c r="M278" s="256" t="s">
        <v>283</v>
      </c>
      <c r="N278" s="256" t="s">
        <v>283</v>
      </c>
      <c r="O278" s="257" t="s">
        <v>283</v>
      </c>
      <c r="P278" s="257" t="s">
        <v>283</v>
      </c>
      <c r="Q278" s="257" t="s">
        <v>283</v>
      </c>
      <c r="R278" s="257" t="s">
        <v>283</v>
      </c>
      <c r="S278" s="257" t="s">
        <v>283</v>
      </c>
      <c r="T278" s="257" t="s">
        <v>283</v>
      </c>
      <c r="U278" s="257" t="s">
        <v>283</v>
      </c>
      <c r="V278" s="257" t="s">
        <v>283</v>
      </c>
      <c r="W278" s="258" t="s">
        <v>283</v>
      </c>
      <c r="X278" s="258" t="s">
        <v>283</v>
      </c>
      <c r="Y278" s="259" t="s">
        <v>283</v>
      </c>
    </row>
    <row r="279" spans="1:25">
      <c r="A279" s="253">
        <v>5</v>
      </c>
      <c r="B279" s="254" t="str">
        <f>VLOOKUP(Tabel10[[#This Row],[Code]],Ruimtegroepen[[Code]:[Ruimte omschrijving]],2,FALSE)</f>
        <v>Sanitair</v>
      </c>
      <c r="C279" s="255" t="s">
        <v>512</v>
      </c>
      <c r="D279" s="254" t="s">
        <v>27</v>
      </c>
      <c r="E279" s="255" t="s">
        <v>1312</v>
      </c>
      <c r="F279" s="255" t="s">
        <v>1381</v>
      </c>
      <c r="G279" s="260" t="s">
        <v>283</v>
      </c>
      <c r="H279" s="256" t="s">
        <v>283</v>
      </c>
      <c r="I279" s="256" t="s">
        <v>283</v>
      </c>
      <c r="J279" s="256" t="s">
        <v>15</v>
      </c>
      <c r="K279" s="256" t="s">
        <v>283</v>
      </c>
      <c r="L279" s="256" t="s">
        <v>283</v>
      </c>
      <c r="M279" s="256" t="s">
        <v>283</v>
      </c>
      <c r="N279" s="256" t="s">
        <v>283</v>
      </c>
      <c r="O279" s="257" t="s">
        <v>283</v>
      </c>
      <c r="P279" s="257" t="s">
        <v>283</v>
      </c>
      <c r="Q279" s="257" t="s">
        <v>283</v>
      </c>
      <c r="R279" s="257" t="s">
        <v>283</v>
      </c>
      <c r="S279" s="257" t="s">
        <v>283</v>
      </c>
      <c r="T279" s="257" t="s">
        <v>283</v>
      </c>
      <c r="U279" s="257" t="s">
        <v>283</v>
      </c>
      <c r="V279" s="257" t="s">
        <v>283</v>
      </c>
      <c r="W279" s="258" t="s">
        <v>15</v>
      </c>
      <c r="X279" s="258" t="s">
        <v>15</v>
      </c>
      <c r="Y279" s="259" t="s">
        <v>283</v>
      </c>
    </row>
    <row r="280" spans="1:25">
      <c r="A280" s="253">
        <v>5</v>
      </c>
      <c r="B280" s="254" t="str">
        <f>VLOOKUP(Tabel10[[#This Row],[Code]],Ruimtegroepen[[Code]:[Ruimte omschrijving]],2,FALSE)</f>
        <v>Sanitair</v>
      </c>
      <c r="C280" s="255" t="s">
        <v>517</v>
      </c>
      <c r="D280" s="254" t="s">
        <v>28</v>
      </c>
      <c r="E280" s="255" t="s">
        <v>100</v>
      </c>
      <c r="F280" s="255" t="s">
        <v>518</v>
      </c>
      <c r="G280" s="260" t="s">
        <v>283</v>
      </c>
      <c r="H280" s="256" t="s">
        <v>283</v>
      </c>
      <c r="I280" s="256" t="s">
        <v>283</v>
      </c>
      <c r="J280" s="256" t="s">
        <v>17</v>
      </c>
      <c r="K280" s="256" t="s">
        <v>283</v>
      </c>
      <c r="L280" s="256" t="s">
        <v>283</v>
      </c>
      <c r="M280" s="256" t="s">
        <v>283</v>
      </c>
      <c r="N280" s="256" t="s">
        <v>283</v>
      </c>
      <c r="O280" s="257" t="s">
        <v>283</v>
      </c>
      <c r="P280" s="257" t="s">
        <v>283</v>
      </c>
      <c r="Q280" s="257" t="s">
        <v>283</v>
      </c>
      <c r="R280" s="257" t="s">
        <v>283</v>
      </c>
      <c r="S280" s="257" t="s">
        <v>283</v>
      </c>
      <c r="T280" s="257" t="s">
        <v>283</v>
      </c>
      <c r="U280" s="257" t="s">
        <v>283</v>
      </c>
      <c r="V280" s="257" t="s">
        <v>283</v>
      </c>
      <c r="W280" s="258" t="s">
        <v>17</v>
      </c>
      <c r="X280" s="258" t="s">
        <v>17</v>
      </c>
      <c r="Y280" s="259" t="s">
        <v>283</v>
      </c>
    </row>
    <row r="281" spans="1:25">
      <c r="A281" s="253">
        <v>5</v>
      </c>
      <c r="B281" s="254" t="str">
        <f>VLOOKUP(Tabel10[[#This Row],[Code]],Ruimtegroepen[[Code]:[Ruimte omschrijving]],2,FALSE)</f>
        <v>Sanitair</v>
      </c>
      <c r="C281" s="255" t="s">
        <v>517</v>
      </c>
      <c r="D281" s="254" t="s">
        <v>28</v>
      </c>
      <c r="E281" s="255" t="s">
        <v>99</v>
      </c>
      <c r="F281" s="255" t="s">
        <v>519</v>
      </c>
      <c r="G281" s="260" t="s">
        <v>283</v>
      </c>
      <c r="H281" s="256" t="s">
        <v>283</v>
      </c>
      <c r="I281" s="256" t="s">
        <v>283</v>
      </c>
      <c r="J281" s="256" t="s">
        <v>283</v>
      </c>
      <c r="K281" s="256" t="s">
        <v>283</v>
      </c>
      <c r="L281" s="256" t="s">
        <v>283</v>
      </c>
      <c r="M281" s="256" t="s">
        <v>283</v>
      </c>
      <c r="N281" s="256" t="s">
        <v>283</v>
      </c>
      <c r="O281" s="257" t="s">
        <v>283</v>
      </c>
      <c r="P281" s="257" t="s">
        <v>283</v>
      </c>
      <c r="Q281" s="257" t="s">
        <v>283</v>
      </c>
      <c r="R281" s="257" t="s">
        <v>283</v>
      </c>
      <c r="S281" s="257" t="s">
        <v>283</v>
      </c>
      <c r="T281" s="257" t="s">
        <v>283</v>
      </c>
      <c r="U281" s="257" t="s">
        <v>283</v>
      </c>
      <c r="V281" s="257" t="s">
        <v>283</v>
      </c>
      <c r="W281" s="258" t="s">
        <v>283</v>
      </c>
      <c r="X281" s="258" t="s">
        <v>283</v>
      </c>
      <c r="Y281" s="259" t="s">
        <v>283</v>
      </c>
    </row>
    <row r="282" spans="1:25">
      <c r="A282" s="253">
        <v>5</v>
      </c>
      <c r="B282" s="254" t="str">
        <f>VLOOKUP(Tabel10[[#This Row],[Code]],Ruimtegroepen[[Code]:[Ruimte omschrijving]],2,FALSE)</f>
        <v>Sanitair</v>
      </c>
      <c r="C282" s="255" t="s">
        <v>517</v>
      </c>
      <c r="D282" s="254" t="s">
        <v>28</v>
      </c>
      <c r="E282" s="255" t="s">
        <v>101</v>
      </c>
      <c r="F282" s="255" t="s">
        <v>520</v>
      </c>
      <c r="G282" s="260" t="s">
        <v>283</v>
      </c>
      <c r="H282" s="256" t="s">
        <v>283</v>
      </c>
      <c r="I282" s="256" t="s">
        <v>283</v>
      </c>
      <c r="J282" s="256" t="s">
        <v>17</v>
      </c>
      <c r="K282" s="256" t="s">
        <v>283</v>
      </c>
      <c r="L282" s="256" t="s">
        <v>283</v>
      </c>
      <c r="M282" s="256" t="s">
        <v>283</v>
      </c>
      <c r="N282" s="256" t="s">
        <v>283</v>
      </c>
      <c r="O282" s="257" t="s">
        <v>283</v>
      </c>
      <c r="P282" s="257" t="s">
        <v>283</v>
      </c>
      <c r="Q282" s="257" t="s">
        <v>283</v>
      </c>
      <c r="R282" s="257" t="s">
        <v>283</v>
      </c>
      <c r="S282" s="257" t="s">
        <v>283</v>
      </c>
      <c r="T282" s="257" t="s">
        <v>283</v>
      </c>
      <c r="U282" s="257" t="s">
        <v>283</v>
      </c>
      <c r="V282" s="257" t="s">
        <v>283</v>
      </c>
      <c r="W282" s="258" t="s">
        <v>17</v>
      </c>
      <c r="X282" s="258" t="s">
        <v>17</v>
      </c>
      <c r="Y282" s="259" t="s">
        <v>283</v>
      </c>
    </row>
    <row r="283" spans="1:25">
      <c r="A283" s="253">
        <v>5</v>
      </c>
      <c r="B283" s="254" t="str">
        <f>VLOOKUP(Tabel10[[#This Row],[Code]],Ruimtegroepen[[Code]:[Ruimte omschrijving]],2,FALSE)</f>
        <v>Sanitair</v>
      </c>
      <c r="C283" s="255" t="s">
        <v>517</v>
      </c>
      <c r="D283" s="254" t="s">
        <v>28</v>
      </c>
      <c r="E283" s="255" t="s">
        <v>102</v>
      </c>
      <c r="F283" s="255" t="s">
        <v>521</v>
      </c>
      <c r="G283" s="260" t="s">
        <v>283</v>
      </c>
      <c r="H283" s="256" t="s">
        <v>283</v>
      </c>
      <c r="I283" s="256" t="s">
        <v>283</v>
      </c>
      <c r="J283" s="256" t="s">
        <v>17</v>
      </c>
      <c r="K283" s="256" t="s">
        <v>283</v>
      </c>
      <c r="L283" s="256" t="s">
        <v>283</v>
      </c>
      <c r="M283" s="256" t="s">
        <v>283</v>
      </c>
      <c r="N283" s="256" t="s">
        <v>283</v>
      </c>
      <c r="O283" s="257" t="s">
        <v>283</v>
      </c>
      <c r="P283" s="257" t="s">
        <v>283</v>
      </c>
      <c r="Q283" s="257" t="s">
        <v>283</v>
      </c>
      <c r="R283" s="257" t="s">
        <v>283</v>
      </c>
      <c r="S283" s="257" t="s">
        <v>283</v>
      </c>
      <c r="T283" s="257" t="s">
        <v>283</v>
      </c>
      <c r="U283" s="257" t="s">
        <v>283</v>
      </c>
      <c r="V283" s="257" t="s">
        <v>283</v>
      </c>
      <c r="W283" s="258" t="s">
        <v>17</v>
      </c>
      <c r="X283" s="258" t="s">
        <v>17</v>
      </c>
      <c r="Y283" s="259" t="s">
        <v>283</v>
      </c>
    </row>
    <row r="284" spans="1:25">
      <c r="A284" s="253">
        <v>5</v>
      </c>
      <c r="B284" s="254" t="str">
        <f>VLOOKUP(Tabel10[[#This Row],[Code]],Ruimtegroepen[[Code]:[Ruimte omschrijving]],2,FALSE)</f>
        <v>Sanitair</v>
      </c>
      <c r="C284" s="255" t="s">
        <v>517</v>
      </c>
      <c r="D284" s="254" t="s">
        <v>28</v>
      </c>
      <c r="E284" s="255" t="s">
        <v>99</v>
      </c>
      <c r="F284" s="255" t="s">
        <v>519</v>
      </c>
      <c r="G284" s="260" t="s">
        <v>283</v>
      </c>
      <c r="H284" s="256" t="s">
        <v>283</v>
      </c>
      <c r="I284" s="256" t="s">
        <v>283</v>
      </c>
      <c r="J284" s="256" t="s">
        <v>283</v>
      </c>
      <c r="K284" s="256" t="s">
        <v>283</v>
      </c>
      <c r="L284" s="256" t="s">
        <v>283</v>
      </c>
      <c r="M284" s="256" t="s">
        <v>283</v>
      </c>
      <c r="N284" s="256" t="s">
        <v>283</v>
      </c>
      <c r="O284" s="257" t="s">
        <v>283</v>
      </c>
      <c r="P284" s="257" t="s">
        <v>283</v>
      </c>
      <c r="Q284" s="257" t="s">
        <v>283</v>
      </c>
      <c r="R284" s="257" t="s">
        <v>283</v>
      </c>
      <c r="S284" s="257" t="s">
        <v>283</v>
      </c>
      <c r="T284" s="257" t="s">
        <v>283</v>
      </c>
      <c r="U284" s="257" t="s">
        <v>283</v>
      </c>
      <c r="V284" s="257" t="s">
        <v>283</v>
      </c>
      <c r="W284" s="258" t="s">
        <v>283</v>
      </c>
      <c r="X284" s="258" t="s">
        <v>283</v>
      </c>
      <c r="Y284" s="259" t="s">
        <v>283</v>
      </c>
    </row>
    <row r="285" spans="1:25">
      <c r="A285" s="253">
        <v>5</v>
      </c>
      <c r="B285" s="254" t="str">
        <f>VLOOKUP(Tabel10[[#This Row],[Code]],Ruimtegroepen[[Code]:[Ruimte omschrijving]],2,FALSE)</f>
        <v>Sanitair</v>
      </c>
      <c r="C285" s="255" t="s">
        <v>517</v>
      </c>
      <c r="D285" s="254" t="s">
        <v>28</v>
      </c>
      <c r="E285" s="255" t="s">
        <v>1312</v>
      </c>
      <c r="F285" s="255" t="s">
        <v>1414</v>
      </c>
      <c r="G285" s="260" t="s">
        <v>283</v>
      </c>
      <c r="H285" s="256" t="s">
        <v>283</v>
      </c>
      <c r="I285" s="256" t="s">
        <v>283</v>
      </c>
      <c r="J285" s="256" t="s">
        <v>17</v>
      </c>
      <c r="K285" s="256" t="s">
        <v>283</v>
      </c>
      <c r="L285" s="256" t="s">
        <v>283</v>
      </c>
      <c r="M285" s="256" t="s">
        <v>283</v>
      </c>
      <c r="N285" s="256" t="s">
        <v>283</v>
      </c>
      <c r="O285" s="257" t="s">
        <v>283</v>
      </c>
      <c r="P285" s="257" t="s">
        <v>283</v>
      </c>
      <c r="Q285" s="257" t="s">
        <v>283</v>
      </c>
      <c r="R285" s="257" t="s">
        <v>283</v>
      </c>
      <c r="S285" s="257" t="s">
        <v>283</v>
      </c>
      <c r="T285" s="257" t="s">
        <v>283</v>
      </c>
      <c r="U285" s="257" t="s">
        <v>283</v>
      </c>
      <c r="V285" s="257" t="s">
        <v>283</v>
      </c>
      <c r="W285" s="258" t="s">
        <v>17</v>
      </c>
      <c r="X285" s="258" t="s">
        <v>17</v>
      </c>
      <c r="Y285" s="259" t="s">
        <v>283</v>
      </c>
    </row>
    <row r="286" spans="1:25">
      <c r="A286" s="253">
        <v>5</v>
      </c>
      <c r="B286" s="254" t="str">
        <f>VLOOKUP(Tabel10[[#This Row],[Code]],Ruimtegroepen[[Code]:[Ruimte omschrijving]],2,FALSE)</f>
        <v>Sanitair</v>
      </c>
      <c r="C286" s="255" t="s">
        <v>522</v>
      </c>
      <c r="D286" s="254" t="s">
        <v>523</v>
      </c>
      <c r="E286" s="255" t="s">
        <v>100</v>
      </c>
      <c r="F286" s="255" t="s">
        <v>524</v>
      </c>
      <c r="G286" s="260" t="s">
        <v>283</v>
      </c>
      <c r="H286" s="256" t="s">
        <v>283</v>
      </c>
      <c r="I286" s="256" t="s">
        <v>283</v>
      </c>
      <c r="J286" s="256" t="s">
        <v>20</v>
      </c>
      <c r="K286" s="256" t="s">
        <v>283</v>
      </c>
      <c r="L286" s="256" t="s">
        <v>283</v>
      </c>
      <c r="M286" s="256" t="s">
        <v>283</v>
      </c>
      <c r="N286" s="256" t="s">
        <v>283</v>
      </c>
      <c r="O286" s="257" t="s">
        <v>283</v>
      </c>
      <c r="P286" s="257" t="s">
        <v>283</v>
      </c>
      <c r="Q286" s="257" t="s">
        <v>283</v>
      </c>
      <c r="R286" s="257" t="s">
        <v>283</v>
      </c>
      <c r="S286" s="257" t="s">
        <v>283</v>
      </c>
      <c r="T286" s="257" t="s">
        <v>283</v>
      </c>
      <c r="U286" s="257" t="s">
        <v>283</v>
      </c>
      <c r="V286" s="257" t="s">
        <v>283</v>
      </c>
      <c r="W286" s="258" t="s">
        <v>18</v>
      </c>
      <c r="X286" s="258" t="s">
        <v>15</v>
      </c>
      <c r="Y286" s="259" t="s">
        <v>283</v>
      </c>
    </row>
    <row r="287" spans="1:25">
      <c r="A287" s="253">
        <v>5</v>
      </c>
      <c r="B287" s="254" t="str">
        <f>VLOOKUP(Tabel10[[#This Row],[Code]],Ruimtegroepen[[Code]:[Ruimte omschrijving]],2,FALSE)</f>
        <v>Sanitair</v>
      </c>
      <c r="C287" s="255" t="s">
        <v>522</v>
      </c>
      <c r="D287" s="254" t="s">
        <v>523</v>
      </c>
      <c r="E287" s="255" t="s">
        <v>99</v>
      </c>
      <c r="F287" s="255" t="s">
        <v>525</v>
      </c>
      <c r="G287" s="260" t="s">
        <v>283</v>
      </c>
      <c r="H287" s="256" t="s">
        <v>283</v>
      </c>
      <c r="I287" s="256" t="s">
        <v>283</v>
      </c>
      <c r="J287" s="256" t="s">
        <v>283</v>
      </c>
      <c r="K287" s="256" t="s">
        <v>283</v>
      </c>
      <c r="L287" s="256" t="s">
        <v>283</v>
      </c>
      <c r="M287" s="256" t="s">
        <v>283</v>
      </c>
      <c r="N287" s="256" t="s">
        <v>283</v>
      </c>
      <c r="O287" s="257" t="s">
        <v>283</v>
      </c>
      <c r="P287" s="257" t="s">
        <v>283</v>
      </c>
      <c r="Q287" s="257" t="s">
        <v>283</v>
      </c>
      <c r="R287" s="257" t="s">
        <v>283</v>
      </c>
      <c r="S287" s="257" t="s">
        <v>283</v>
      </c>
      <c r="T287" s="257" t="s">
        <v>283</v>
      </c>
      <c r="U287" s="257" t="s">
        <v>283</v>
      </c>
      <c r="V287" s="257" t="s">
        <v>283</v>
      </c>
      <c r="W287" s="258" t="s">
        <v>283</v>
      </c>
      <c r="X287" s="258" t="s">
        <v>283</v>
      </c>
      <c r="Y287" s="259" t="s">
        <v>283</v>
      </c>
    </row>
    <row r="288" spans="1:25">
      <c r="A288" s="253">
        <v>5</v>
      </c>
      <c r="B288" s="254" t="str">
        <f>VLOOKUP(Tabel10[[#This Row],[Code]],Ruimtegroepen[[Code]:[Ruimte omschrijving]],2,FALSE)</f>
        <v>Sanitair</v>
      </c>
      <c r="C288" s="255" t="s">
        <v>522</v>
      </c>
      <c r="D288" s="254" t="s">
        <v>523</v>
      </c>
      <c r="E288" s="255" t="s">
        <v>101</v>
      </c>
      <c r="F288" s="255" t="s">
        <v>526</v>
      </c>
      <c r="G288" s="260" t="s">
        <v>283</v>
      </c>
      <c r="H288" s="256" t="s">
        <v>283</v>
      </c>
      <c r="I288" s="256" t="s">
        <v>283</v>
      </c>
      <c r="J288" s="256" t="s">
        <v>20</v>
      </c>
      <c r="K288" s="256" t="s">
        <v>283</v>
      </c>
      <c r="L288" s="256" t="s">
        <v>283</v>
      </c>
      <c r="M288" s="256" t="s">
        <v>283</v>
      </c>
      <c r="N288" s="256" t="s">
        <v>283</v>
      </c>
      <c r="O288" s="257" t="s">
        <v>283</v>
      </c>
      <c r="P288" s="257" t="s">
        <v>283</v>
      </c>
      <c r="Q288" s="257" t="s">
        <v>283</v>
      </c>
      <c r="R288" s="257" t="s">
        <v>283</v>
      </c>
      <c r="S288" s="257" t="s">
        <v>283</v>
      </c>
      <c r="T288" s="257" t="s">
        <v>283</v>
      </c>
      <c r="U288" s="257" t="s">
        <v>283</v>
      </c>
      <c r="V288" s="257" t="s">
        <v>283</v>
      </c>
      <c r="W288" s="258" t="s">
        <v>18</v>
      </c>
      <c r="X288" s="258" t="s">
        <v>15</v>
      </c>
      <c r="Y288" s="259" t="s">
        <v>283</v>
      </c>
    </row>
    <row r="289" spans="1:25">
      <c r="A289" s="253">
        <v>5</v>
      </c>
      <c r="B289" s="254" t="str">
        <f>VLOOKUP(Tabel10[[#This Row],[Code]],Ruimtegroepen[[Code]:[Ruimte omschrijving]],2,FALSE)</f>
        <v>Sanitair</v>
      </c>
      <c r="C289" s="255" t="s">
        <v>522</v>
      </c>
      <c r="D289" s="254" t="s">
        <v>523</v>
      </c>
      <c r="E289" s="255" t="s">
        <v>102</v>
      </c>
      <c r="F289" s="255" t="s">
        <v>527</v>
      </c>
      <c r="G289" s="260" t="s">
        <v>283</v>
      </c>
      <c r="H289" s="256" t="s">
        <v>283</v>
      </c>
      <c r="I289" s="256" t="s">
        <v>283</v>
      </c>
      <c r="J289" s="256" t="s">
        <v>20</v>
      </c>
      <c r="K289" s="256" t="s">
        <v>283</v>
      </c>
      <c r="L289" s="256" t="s">
        <v>283</v>
      </c>
      <c r="M289" s="256" t="s">
        <v>283</v>
      </c>
      <c r="N289" s="256" t="s">
        <v>283</v>
      </c>
      <c r="O289" s="257" t="s">
        <v>283</v>
      </c>
      <c r="P289" s="257" t="s">
        <v>283</v>
      </c>
      <c r="Q289" s="257" t="s">
        <v>283</v>
      </c>
      <c r="R289" s="257" t="s">
        <v>283</v>
      </c>
      <c r="S289" s="257" t="s">
        <v>283</v>
      </c>
      <c r="T289" s="257" t="s">
        <v>283</v>
      </c>
      <c r="U289" s="257" t="s">
        <v>283</v>
      </c>
      <c r="V289" s="257" t="s">
        <v>283</v>
      </c>
      <c r="W289" s="258" t="s">
        <v>18</v>
      </c>
      <c r="X289" s="258" t="s">
        <v>15</v>
      </c>
      <c r="Y289" s="259" t="s">
        <v>283</v>
      </c>
    </row>
    <row r="290" spans="1:25">
      <c r="A290" s="253">
        <v>5</v>
      </c>
      <c r="B290" s="254" t="str">
        <f>VLOOKUP(Tabel10[[#This Row],[Code]],Ruimtegroepen[[Code]:[Ruimte omschrijving]],2,FALSE)</f>
        <v>Sanitair</v>
      </c>
      <c r="C290" s="255" t="s">
        <v>522</v>
      </c>
      <c r="D290" s="254" t="s">
        <v>523</v>
      </c>
      <c r="E290" s="255" t="s">
        <v>99</v>
      </c>
      <c r="F290" s="255" t="s">
        <v>525</v>
      </c>
      <c r="G290" s="260" t="s">
        <v>283</v>
      </c>
      <c r="H290" s="256" t="s">
        <v>283</v>
      </c>
      <c r="I290" s="256" t="s">
        <v>283</v>
      </c>
      <c r="J290" s="256" t="s">
        <v>283</v>
      </c>
      <c r="K290" s="256" t="s">
        <v>283</v>
      </c>
      <c r="L290" s="256" t="s">
        <v>283</v>
      </c>
      <c r="M290" s="256" t="s">
        <v>283</v>
      </c>
      <c r="N290" s="256" t="s">
        <v>283</v>
      </c>
      <c r="O290" s="257" t="s">
        <v>283</v>
      </c>
      <c r="P290" s="257" t="s">
        <v>283</v>
      </c>
      <c r="Q290" s="257" t="s">
        <v>283</v>
      </c>
      <c r="R290" s="257" t="s">
        <v>283</v>
      </c>
      <c r="S290" s="257" t="s">
        <v>283</v>
      </c>
      <c r="T290" s="257" t="s">
        <v>283</v>
      </c>
      <c r="U290" s="257" t="s">
        <v>283</v>
      </c>
      <c r="V290" s="257" t="s">
        <v>283</v>
      </c>
      <c r="W290" s="258" t="s">
        <v>283</v>
      </c>
      <c r="X290" s="258" t="s">
        <v>283</v>
      </c>
      <c r="Y290" s="259" t="s">
        <v>283</v>
      </c>
    </row>
    <row r="291" spans="1:25">
      <c r="A291" s="253">
        <v>5</v>
      </c>
      <c r="B291" s="254" t="str">
        <f>VLOOKUP(Tabel10[[#This Row],[Code]],Ruimtegroepen[[Code]:[Ruimte omschrijving]],2,FALSE)</f>
        <v>Sanitair</v>
      </c>
      <c r="C291" s="255" t="s">
        <v>522</v>
      </c>
      <c r="D291" s="254" t="s">
        <v>523</v>
      </c>
      <c r="E291" s="255" t="s">
        <v>1312</v>
      </c>
      <c r="F291" s="255" t="s">
        <v>1463</v>
      </c>
      <c r="G291" s="260" t="s">
        <v>283</v>
      </c>
      <c r="H291" s="256" t="s">
        <v>283</v>
      </c>
      <c r="I291" s="256" t="s">
        <v>283</v>
      </c>
      <c r="J291" s="256" t="s">
        <v>20</v>
      </c>
      <c r="K291" s="256" t="s">
        <v>283</v>
      </c>
      <c r="L291" s="256" t="s">
        <v>283</v>
      </c>
      <c r="M291" s="256" t="s">
        <v>283</v>
      </c>
      <c r="N291" s="256" t="s">
        <v>283</v>
      </c>
      <c r="O291" s="257" t="s">
        <v>283</v>
      </c>
      <c r="P291" s="257" t="s">
        <v>283</v>
      </c>
      <c r="Q291" s="257" t="s">
        <v>283</v>
      </c>
      <c r="R291" s="257" t="s">
        <v>283</v>
      </c>
      <c r="S291" s="257" t="s">
        <v>283</v>
      </c>
      <c r="T291" s="257" t="s">
        <v>283</v>
      </c>
      <c r="U291" s="257" t="s">
        <v>283</v>
      </c>
      <c r="V291" s="257" t="s">
        <v>283</v>
      </c>
      <c r="W291" s="258" t="s">
        <v>18</v>
      </c>
      <c r="X291" s="258" t="s">
        <v>15</v>
      </c>
      <c r="Y291" s="259" t="s">
        <v>283</v>
      </c>
    </row>
    <row r="292" spans="1:25">
      <c r="A292" s="253">
        <v>6</v>
      </c>
      <c r="B292" s="254" t="str">
        <f>VLOOKUP(Tabel10[[#This Row],[Code]],Ruimtegroepen[[Code]:[Ruimte omschrijving]],2,FALSE)</f>
        <v>Gangen/hallen</v>
      </c>
      <c r="C292" s="255" t="s">
        <v>528</v>
      </c>
      <c r="D292" s="254" t="s">
        <v>29</v>
      </c>
      <c r="E292" s="255" t="s">
        <v>100</v>
      </c>
      <c r="F292" s="255" t="s">
        <v>529</v>
      </c>
      <c r="G292" s="260" t="s">
        <v>283</v>
      </c>
      <c r="H292" s="256" t="s">
        <v>283</v>
      </c>
      <c r="I292" s="256" t="s">
        <v>283</v>
      </c>
      <c r="J292" s="256" t="s">
        <v>2</v>
      </c>
      <c r="K292" s="256" t="s">
        <v>283</v>
      </c>
      <c r="L292" s="256" t="s">
        <v>283</v>
      </c>
      <c r="M292" s="256" t="s">
        <v>283</v>
      </c>
      <c r="N292" s="256" t="s">
        <v>2</v>
      </c>
      <c r="O292" s="257" t="s">
        <v>2</v>
      </c>
      <c r="P292" s="257" t="s">
        <v>2</v>
      </c>
      <c r="Q292" s="257" t="s">
        <v>15</v>
      </c>
      <c r="R292" s="257" t="s">
        <v>15</v>
      </c>
      <c r="S292" s="257" t="s">
        <v>16</v>
      </c>
      <c r="T292" s="257" t="s">
        <v>330</v>
      </c>
      <c r="U292" s="257" t="s">
        <v>250</v>
      </c>
      <c r="V292" s="257" t="s">
        <v>2</v>
      </c>
      <c r="W292" s="258" t="s">
        <v>283</v>
      </c>
      <c r="X292" s="258" t="s">
        <v>283</v>
      </c>
      <c r="Y292" s="259" t="s">
        <v>283</v>
      </c>
    </row>
    <row r="293" spans="1:25">
      <c r="A293" s="253">
        <v>6</v>
      </c>
      <c r="B293" s="254" t="str">
        <f>VLOOKUP(Tabel10[[#This Row],[Code]],Ruimtegroepen[[Code]:[Ruimte omschrijving]],2,FALSE)</f>
        <v>Gangen/hallen</v>
      </c>
      <c r="C293" s="255" t="s">
        <v>528</v>
      </c>
      <c r="D293" s="254" t="s">
        <v>29</v>
      </c>
      <c r="E293" s="255" t="s">
        <v>99</v>
      </c>
      <c r="F293" s="255" t="s">
        <v>530</v>
      </c>
      <c r="G293" s="260" t="s">
        <v>283</v>
      </c>
      <c r="H293" s="256" t="s">
        <v>2</v>
      </c>
      <c r="I293" s="256" t="s">
        <v>283</v>
      </c>
      <c r="J293" s="256" t="s">
        <v>283</v>
      </c>
      <c r="K293" s="256" t="s">
        <v>283</v>
      </c>
      <c r="L293" s="256" t="s">
        <v>283</v>
      </c>
      <c r="M293" s="256" t="s">
        <v>283</v>
      </c>
      <c r="N293" s="256" t="s">
        <v>2</v>
      </c>
      <c r="O293" s="257" t="s">
        <v>2</v>
      </c>
      <c r="P293" s="257" t="s">
        <v>2</v>
      </c>
      <c r="Q293" s="257" t="s">
        <v>15</v>
      </c>
      <c r="R293" s="257" t="s">
        <v>15</v>
      </c>
      <c r="S293" s="257" t="s">
        <v>16</v>
      </c>
      <c r="T293" s="257" t="s">
        <v>330</v>
      </c>
      <c r="U293" s="257" t="s">
        <v>250</v>
      </c>
      <c r="V293" s="257" t="s">
        <v>2</v>
      </c>
      <c r="W293" s="258" t="s">
        <v>283</v>
      </c>
      <c r="X293" s="258" t="s">
        <v>283</v>
      </c>
      <c r="Y293" s="259" t="s">
        <v>283</v>
      </c>
    </row>
    <row r="294" spans="1:25">
      <c r="A294" s="253">
        <v>6</v>
      </c>
      <c r="B294" s="254" t="str">
        <f>VLOOKUP(Tabel10[[#This Row],[Code]],Ruimtegroepen[[Code]:[Ruimte omschrijving]],2,FALSE)</f>
        <v>Gangen/hallen</v>
      </c>
      <c r="C294" s="255" t="s">
        <v>528</v>
      </c>
      <c r="D294" s="254" t="s">
        <v>29</v>
      </c>
      <c r="E294" s="255" t="s">
        <v>101</v>
      </c>
      <c r="F294" s="255" t="s">
        <v>531</v>
      </c>
      <c r="G294" s="260" t="s">
        <v>283</v>
      </c>
      <c r="H294" s="256" t="s">
        <v>283</v>
      </c>
      <c r="I294" s="256" t="s">
        <v>2</v>
      </c>
      <c r="J294" s="256" t="s">
        <v>283</v>
      </c>
      <c r="K294" s="256" t="s">
        <v>2</v>
      </c>
      <c r="L294" s="256" t="s">
        <v>283</v>
      </c>
      <c r="M294" s="256" t="s">
        <v>283</v>
      </c>
      <c r="N294" s="256" t="s">
        <v>2</v>
      </c>
      <c r="O294" s="257" t="s">
        <v>2</v>
      </c>
      <c r="P294" s="257" t="s">
        <v>2</v>
      </c>
      <c r="Q294" s="257" t="s">
        <v>15</v>
      </c>
      <c r="R294" s="257" t="s">
        <v>15</v>
      </c>
      <c r="S294" s="257" t="s">
        <v>16</v>
      </c>
      <c r="T294" s="257" t="s">
        <v>330</v>
      </c>
      <c r="U294" s="257" t="s">
        <v>250</v>
      </c>
      <c r="V294" s="257" t="s">
        <v>2</v>
      </c>
      <c r="W294" s="258" t="s">
        <v>283</v>
      </c>
      <c r="X294" s="258" t="s">
        <v>283</v>
      </c>
      <c r="Y294" s="259" t="s">
        <v>283</v>
      </c>
    </row>
    <row r="295" spans="1:25">
      <c r="A295" s="253">
        <v>6</v>
      </c>
      <c r="B295" s="254" t="str">
        <f>VLOOKUP(Tabel10[[#This Row],[Code]],Ruimtegroepen[[Code]:[Ruimte omschrijving]],2,FALSE)</f>
        <v>Gangen/hallen</v>
      </c>
      <c r="C295" s="255" t="s">
        <v>528</v>
      </c>
      <c r="D295" s="254" t="s">
        <v>29</v>
      </c>
      <c r="E295" s="255" t="s">
        <v>102</v>
      </c>
      <c r="F295" s="255" t="s">
        <v>532</v>
      </c>
      <c r="G295" s="260" t="s">
        <v>283</v>
      </c>
      <c r="H295" s="256" t="s">
        <v>283</v>
      </c>
      <c r="I295" s="256" t="s">
        <v>2</v>
      </c>
      <c r="J295" s="256" t="s">
        <v>283</v>
      </c>
      <c r="K295" s="256" t="s">
        <v>2</v>
      </c>
      <c r="L295" s="256" t="s">
        <v>283</v>
      </c>
      <c r="M295" s="256" t="s">
        <v>283</v>
      </c>
      <c r="N295" s="256" t="s">
        <v>2</v>
      </c>
      <c r="O295" s="257" t="s">
        <v>2</v>
      </c>
      <c r="P295" s="257" t="s">
        <v>2</v>
      </c>
      <c r="Q295" s="257" t="s">
        <v>15</v>
      </c>
      <c r="R295" s="257" t="s">
        <v>15</v>
      </c>
      <c r="S295" s="257" t="s">
        <v>16</v>
      </c>
      <c r="T295" s="257" t="s">
        <v>330</v>
      </c>
      <c r="U295" s="257" t="s">
        <v>250</v>
      </c>
      <c r="V295" s="257" t="s">
        <v>2</v>
      </c>
      <c r="W295" s="258" t="s">
        <v>283</v>
      </c>
      <c r="X295" s="258" t="s">
        <v>283</v>
      </c>
      <c r="Y295" s="259" t="s">
        <v>283</v>
      </c>
    </row>
    <row r="296" spans="1:25">
      <c r="A296" s="253">
        <v>6</v>
      </c>
      <c r="B296" s="254" t="str">
        <f>VLOOKUP(Tabel10[[#This Row],[Code]],Ruimtegroepen[[Code]:[Ruimte omschrijving]],2,FALSE)</f>
        <v>Gangen/hallen</v>
      </c>
      <c r="C296" s="255" t="s">
        <v>528</v>
      </c>
      <c r="D296" s="254" t="s">
        <v>29</v>
      </c>
      <c r="E296" s="255" t="s">
        <v>99</v>
      </c>
      <c r="F296" s="255" t="s">
        <v>530</v>
      </c>
      <c r="G296" s="260" t="s">
        <v>283</v>
      </c>
      <c r="H296" s="256" t="s">
        <v>2</v>
      </c>
      <c r="I296" s="256" t="s">
        <v>283</v>
      </c>
      <c r="J296" s="256" t="s">
        <v>283</v>
      </c>
      <c r="K296" s="256" t="s">
        <v>283</v>
      </c>
      <c r="L296" s="256" t="s">
        <v>283</v>
      </c>
      <c r="M296" s="256" t="s">
        <v>283</v>
      </c>
      <c r="N296" s="256" t="s">
        <v>2</v>
      </c>
      <c r="O296" s="257" t="s">
        <v>2</v>
      </c>
      <c r="P296" s="257" t="s">
        <v>2</v>
      </c>
      <c r="Q296" s="257" t="s">
        <v>15</v>
      </c>
      <c r="R296" s="257" t="s">
        <v>15</v>
      </c>
      <c r="S296" s="257" t="s">
        <v>16</v>
      </c>
      <c r="T296" s="257" t="s">
        <v>330</v>
      </c>
      <c r="U296" s="257" t="s">
        <v>250</v>
      </c>
      <c r="V296" s="257" t="s">
        <v>2</v>
      </c>
      <c r="W296" s="258" t="s">
        <v>283</v>
      </c>
      <c r="X296" s="258" t="s">
        <v>283</v>
      </c>
      <c r="Y296" s="259" t="s">
        <v>283</v>
      </c>
    </row>
    <row r="297" spans="1:25">
      <c r="A297" s="253">
        <v>6</v>
      </c>
      <c r="B297" s="254" t="str">
        <f>VLOOKUP(Tabel10[[#This Row],[Code]],Ruimtegroepen[[Code]:[Ruimte omschrijving]],2,FALSE)</f>
        <v>Gangen/hallen</v>
      </c>
      <c r="C297" s="255" t="s">
        <v>528</v>
      </c>
      <c r="D297" s="254" t="s">
        <v>29</v>
      </c>
      <c r="E297" s="255" t="s">
        <v>1312</v>
      </c>
      <c r="F297" s="255" t="s">
        <v>1482</v>
      </c>
      <c r="G297" s="260" t="s">
        <v>283</v>
      </c>
      <c r="H297" s="256" t="s">
        <v>283</v>
      </c>
      <c r="I297" s="256" t="s">
        <v>2</v>
      </c>
      <c r="J297" s="256" t="s">
        <v>283</v>
      </c>
      <c r="K297" s="256" t="s">
        <v>2</v>
      </c>
      <c r="L297" s="256" t="s">
        <v>283</v>
      </c>
      <c r="M297" s="256" t="s">
        <v>283</v>
      </c>
      <c r="N297" s="256" t="s">
        <v>2</v>
      </c>
      <c r="O297" s="257" t="s">
        <v>2</v>
      </c>
      <c r="P297" s="257" t="s">
        <v>2</v>
      </c>
      <c r="Q297" s="257" t="s">
        <v>15</v>
      </c>
      <c r="R297" s="257" t="s">
        <v>15</v>
      </c>
      <c r="S297" s="257" t="s">
        <v>16</v>
      </c>
      <c r="T297" s="257" t="s">
        <v>330</v>
      </c>
      <c r="U297" s="257" t="s">
        <v>250</v>
      </c>
      <c r="V297" s="257" t="s">
        <v>2</v>
      </c>
      <c r="W297" s="258" t="s">
        <v>283</v>
      </c>
      <c r="X297" s="258" t="s">
        <v>283</v>
      </c>
      <c r="Y297" s="259" t="s">
        <v>283</v>
      </c>
    </row>
    <row r="298" spans="1:25">
      <c r="A298" s="253">
        <v>6</v>
      </c>
      <c r="B298" s="254" t="str">
        <f>VLOOKUP(Tabel10[[#This Row],[Code]],Ruimtegroepen[[Code]:[Ruimte omschrijving]],2,FALSE)</f>
        <v>Gangen/hallen</v>
      </c>
      <c r="C298" s="255" t="s">
        <v>533</v>
      </c>
      <c r="D298" s="254" t="s">
        <v>1</v>
      </c>
      <c r="E298" s="255" t="s">
        <v>100</v>
      </c>
      <c r="F298" s="255" t="s">
        <v>534</v>
      </c>
      <c r="G298" s="260" t="s">
        <v>283</v>
      </c>
      <c r="H298" s="256" t="s">
        <v>283</v>
      </c>
      <c r="I298" s="256" t="s">
        <v>283</v>
      </c>
      <c r="J298" s="256" t="s">
        <v>2</v>
      </c>
      <c r="K298" s="256" t="s">
        <v>283</v>
      </c>
      <c r="L298" s="256" t="s">
        <v>283</v>
      </c>
      <c r="M298" s="256" t="s">
        <v>283</v>
      </c>
      <c r="N298" s="256" t="s">
        <v>283</v>
      </c>
      <c r="O298" s="257" t="s">
        <v>2</v>
      </c>
      <c r="P298" s="257" t="s">
        <v>2</v>
      </c>
      <c r="Q298" s="257" t="s">
        <v>15</v>
      </c>
      <c r="R298" s="257" t="s">
        <v>15</v>
      </c>
      <c r="S298" s="257" t="s">
        <v>16</v>
      </c>
      <c r="T298" s="257" t="s">
        <v>330</v>
      </c>
      <c r="U298" s="257" t="s">
        <v>250</v>
      </c>
      <c r="V298" s="257" t="s">
        <v>283</v>
      </c>
      <c r="W298" s="258" t="s">
        <v>283</v>
      </c>
      <c r="X298" s="258" t="s">
        <v>283</v>
      </c>
      <c r="Y298" s="259" t="s">
        <v>283</v>
      </c>
    </row>
    <row r="299" spans="1:25">
      <c r="A299" s="253">
        <v>6</v>
      </c>
      <c r="B299" s="254" t="str">
        <f>VLOOKUP(Tabel10[[#This Row],[Code]],Ruimtegroepen[[Code]:[Ruimte omschrijving]],2,FALSE)</f>
        <v>Gangen/hallen</v>
      </c>
      <c r="C299" s="255" t="s">
        <v>533</v>
      </c>
      <c r="D299" s="254" t="s">
        <v>1</v>
      </c>
      <c r="E299" s="255" t="s">
        <v>99</v>
      </c>
      <c r="F299" s="255" t="s">
        <v>535</v>
      </c>
      <c r="G299" s="260" t="s">
        <v>283</v>
      </c>
      <c r="H299" s="256" t="s">
        <v>2</v>
      </c>
      <c r="I299" s="256" t="s">
        <v>283</v>
      </c>
      <c r="J299" s="256" t="s">
        <v>283</v>
      </c>
      <c r="K299" s="256" t="s">
        <v>283</v>
      </c>
      <c r="L299" s="256" t="s">
        <v>283</v>
      </c>
      <c r="M299" s="256" t="s">
        <v>283</v>
      </c>
      <c r="N299" s="256" t="s">
        <v>283</v>
      </c>
      <c r="O299" s="257" t="s">
        <v>2</v>
      </c>
      <c r="P299" s="257" t="s">
        <v>2</v>
      </c>
      <c r="Q299" s="257" t="s">
        <v>15</v>
      </c>
      <c r="R299" s="257" t="s">
        <v>15</v>
      </c>
      <c r="S299" s="257" t="s">
        <v>16</v>
      </c>
      <c r="T299" s="257" t="s">
        <v>330</v>
      </c>
      <c r="U299" s="257" t="s">
        <v>250</v>
      </c>
      <c r="V299" s="257" t="s">
        <v>283</v>
      </c>
      <c r="W299" s="258" t="s">
        <v>283</v>
      </c>
      <c r="X299" s="258" t="s">
        <v>283</v>
      </c>
      <c r="Y299" s="259" t="s">
        <v>283</v>
      </c>
    </row>
    <row r="300" spans="1:25">
      <c r="A300" s="253">
        <v>6</v>
      </c>
      <c r="B300" s="254" t="str">
        <f>VLOOKUP(Tabel10[[#This Row],[Code]],Ruimtegroepen[[Code]:[Ruimte omschrijving]],2,FALSE)</f>
        <v>Gangen/hallen</v>
      </c>
      <c r="C300" s="255" t="s">
        <v>533</v>
      </c>
      <c r="D300" s="254" t="s">
        <v>1</v>
      </c>
      <c r="E300" s="255" t="s">
        <v>101</v>
      </c>
      <c r="F300" s="255" t="s">
        <v>536</v>
      </c>
      <c r="G300" s="260" t="s">
        <v>283</v>
      </c>
      <c r="H300" s="256" t="s">
        <v>283</v>
      </c>
      <c r="I300" s="256" t="s">
        <v>2</v>
      </c>
      <c r="J300" s="256" t="s">
        <v>283</v>
      </c>
      <c r="K300" s="256" t="s">
        <v>2</v>
      </c>
      <c r="L300" s="256" t="s">
        <v>283</v>
      </c>
      <c r="M300" s="256" t="s">
        <v>283</v>
      </c>
      <c r="N300" s="256" t="s">
        <v>283</v>
      </c>
      <c r="O300" s="257" t="s">
        <v>2</v>
      </c>
      <c r="P300" s="257" t="s">
        <v>2</v>
      </c>
      <c r="Q300" s="257" t="s">
        <v>15</v>
      </c>
      <c r="R300" s="257" t="s">
        <v>15</v>
      </c>
      <c r="S300" s="257" t="s">
        <v>16</v>
      </c>
      <c r="T300" s="257" t="s">
        <v>330</v>
      </c>
      <c r="U300" s="257" t="s">
        <v>250</v>
      </c>
      <c r="V300" s="257" t="s">
        <v>283</v>
      </c>
      <c r="W300" s="258" t="s">
        <v>283</v>
      </c>
      <c r="X300" s="258" t="s">
        <v>283</v>
      </c>
      <c r="Y300" s="259" t="s">
        <v>283</v>
      </c>
    </row>
    <row r="301" spans="1:25">
      <c r="A301" s="253">
        <v>6</v>
      </c>
      <c r="B301" s="254" t="str">
        <f>VLOOKUP(Tabel10[[#This Row],[Code]],Ruimtegroepen[[Code]:[Ruimte omschrijving]],2,FALSE)</f>
        <v>Gangen/hallen</v>
      </c>
      <c r="C301" s="255" t="s">
        <v>533</v>
      </c>
      <c r="D301" s="254" t="s">
        <v>1</v>
      </c>
      <c r="E301" s="255" t="s">
        <v>102</v>
      </c>
      <c r="F301" s="255" t="s">
        <v>537</v>
      </c>
      <c r="G301" s="260" t="s">
        <v>283</v>
      </c>
      <c r="H301" s="256" t="s">
        <v>283</v>
      </c>
      <c r="I301" s="256" t="s">
        <v>2</v>
      </c>
      <c r="J301" s="256" t="s">
        <v>283</v>
      </c>
      <c r="K301" s="256" t="s">
        <v>2</v>
      </c>
      <c r="L301" s="256" t="s">
        <v>283</v>
      </c>
      <c r="M301" s="256" t="s">
        <v>283</v>
      </c>
      <c r="N301" s="256" t="s">
        <v>283</v>
      </c>
      <c r="O301" s="257" t="s">
        <v>2</v>
      </c>
      <c r="P301" s="257" t="s">
        <v>2</v>
      </c>
      <c r="Q301" s="257" t="s">
        <v>15</v>
      </c>
      <c r="R301" s="257" t="s">
        <v>15</v>
      </c>
      <c r="S301" s="257" t="s">
        <v>16</v>
      </c>
      <c r="T301" s="257" t="s">
        <v>330</v>
      </c>
      <c r="U301" s="257" t="s">
        <v>250</v>
      </c>
      <c r="V301" s="257" t="s">
        <v>283</v>
      </c>
      <c r="W301" s="258" t="s">
        <v>283</v>
      </c>
      <c r="X301" s="258" t="s">
        <v>283</v>
      </c>
      <c r="Y301" s="259" t="s">
        <v>283</v>
      </c>
    </row>
    <row r="302" spans="1:25">
      <c r="A302" s="253">
        <v>6</v>
      </c>
      <c r="B302" s="254" t="str">
        <f>VLOOKUP(Tabel10[[#This Row],[Code]],Ruimtegroepen[[Code]:[Ruimte omschrijving]],2,FALSE)</f>
        <v>Gangen/hallen</v>
      </c>
      <c r="C302" s="255" t="s">
        <v>533</v>
      </c>
      <c r="D302" s="254" t="s">
        <v>1</v>
      </c>
      <c r="E302" s="255" t="s">
        <v>99</v>
      </c>
      <c r="F302" s="255" t="s">
        <v>535</v>
      </c>
      <c r="G302" s="260" t="s">
        <v>283</v>
      </c>
      <c r="H302" s="256" t="s">
        <v>2</v>
      </c>
      <c r="I302" s="256" t="s">
        <v>283</v>
      </c>
      <c r="J302" s="256" t="s">
        <v>283</v>
      </c>
      <c r="K302" s="256" t="s">
        <v>283</v>
      </c>
      <c r="L302" s="256" t="s">
        <v>283</v>
      </c>
      <c r="M302" s="256" t="s">
        <v>283</v>
      </c>
      <c r="N302" s="256" t="s">
        <v>283</v>
      </c>
      <c r="O302" s="257" t="s">
        <v>2</v>
      </c>
      <c r="P302" s="257" t="s">
        <v>2</v>
      </c>
      <c r="Q302" s="257" t="s">
        <v>15</v>
      </c>
      <c r="R302" s="257" t="s">
        <v>15</v>
      </c>
      <c r="S302" s="257" t="s">
        <v>16</v>
      </c>
      <c r="T302" s="257" t="s">
        <v>330</v>
      </c>
      <c r="U302" s="257" t="s">
        <v>250</v>
      </c>
      <c r="V302" s="257" t="s">
        <v>283</v>
      </c>
      <c r="W302" s="258" t="s">
        <v>283</v>
      </c>
      <c r="X302" s="258" t="s">
        <v>283</v>
      </c>
      <c r="Y302" s="259" t="s">
        <v>283</v>
      </c>
    </row>
    <row r="303" spans="1:25">
      <c r="A303" s="253">
        <v>6</v>
      </c>
      <c r="B303" s="254" t="str">
        <f>VLOOKUP(Tabel10[[#This Row],[Code]],Ruimtegroepen[[Code]:[Ruimte omschrijving]],2,FALSE)</f>
        <v>Gangen/hallen</v>
      </c>
      <c r="C303" s="255" t="s">
        <v>533</v>
      </c>
      <c r="D303" s="254" t="s">
        <v>1</v>
      </c>
      <c r="E303" s="255" t="s">
        <v>1312</v>
      </c>
      <c r="F303" s="255" t="s">
        <v>1466</v>
      </c>
      <c r="G303" s="260" t="s">
        <v>283</v>
      </c>
      <c r="H303" s="256" t="s">
        <v>283</v>
      </c>
      <c r="I303" s="256" t="s">
        <v>2</v>
      </c>
      <c r="J303" s="256" t="s">
        <v>283</v>
      </c>
      <c r="K303" s="256" t="s">
        <v>2</v>
      </c>
      <c r="L303" s="256" t="s">
        <v>283</v>
      </c>
      <c r="M303" s="256" t="s">
        <v>283</v>
      </c>
      <c r="N303" s="256" t="s">
        <v>283</v>
      </c>
      <c r="O303" s="257" t="s">
        <v>2</v>
      </c>
      <c r="P303" s="257" t="s">
        <v>2</v>
      </c>
      <c r="Q303" s="257" t="s">
        <v>15</v>
      </c>
      <c r="R303" s="257" t="s">
        <v>15</v>
      </c>
      <c r="S303" s="257" t="s">
        <v>16</v>
      </c>
      <c r="T303" s="257" t="s">
        <v>330</v>
      </c>
      <c r="U303" s="257" t="s">
        <v>250</v>
      </c>
      <c r="V303" s="257" t="s">
        <v>283</v>
      </c>
      <c r="W303" s="258" t="s">
        <v>283</v>
      </c>
      <c r="X303" s="258" t="s">
        <v>283</v>
      </c>
      <c r="Y303" s="259" t="s">
        <v>283</v>
      </c>
    </row>
    <row r="304" spans="1:25">
      <c r="A304" s="253">
        <v>6</v>
      </c>
      <c r="B304" s="254" t="str">
        <f>VLOOKUP(Tabel10[[#This Row],[Code]],Ruimtegroepen[[Code]:[Ruimte omschrijving]],2,FALSE)</f>
        <v>Gangen/hallen</v>
      </c>
      <c r="C304" s="255" t="s">
        <v>538</v>
      </c>
      <c r="D304" s="254" t="s">
        <v>21</v>
      </c>
      <c r="E304" s="255" t="s">
        <v>100</v>
      </c>
      <c r="F304" s="255" t="s">
        <v>539</v>
      </c>
      <c r="G304" s="260" t="s">
        <v>283</v>
      </c>
      <c r="H304" s="256" t="s">
        <v>283</v>
      </c>
      <c r="I304" s="256" t="s">
        <v>283</v>
      </c>
      <c r="J304" s="256" t="s">
        <v>20</v>
      </c>
      <c r="K304" s="256" t="s">
        <v>283</v>
      </c>
      <c r="L304" s="256" t="s">
        <v>283</v>
      </c>
      <c r="M304" s="256" t="s">
        <v>283</v>
      </c>
      <c r="N304" s="256" t="s">
        <v>283</v>
      </c>
      <c r="O304" s="257" t="s">
        <v>20</v>
      </c>
      <c r="P304" s="257" t="s">
        <v>20</v>
      </c>
      <c r="Q304" s="257" t="s">
        <v>15</v>
      </c>
      <c r="R304" s="257" t="s">
        <v>15</v>
      </c>
      <c r="S304" s="257" t="s">
        <v>16</v>
      </c>
      <c r="T304" s="257" t="s">
        <v>330</v>
      </c>
      <c r="U304" s="257" t="s">
        <v>250</v>
      </c>
      <c r="V304" s="257" t="s">
        <v>283</v>
      </c>
      <c r="W304" s="258" t="s">
        <v>283</v>
      </c>
      <c r="X304" s="258" t="s">
        <v>283</v>
      </c>
      <c r="Y304" s="259" t="s">
        <v>283</v>
      </c>
    </row>
    <row r="305" spans="1:25">
      <c r="A305" s="253">
        <v>6</v>
      </c>
      <c r="B305" s="254" t="str">
        <f>VLOOKUP(Tabel10[[#This Row],[Code]],Ruimtegroepen[[Code]:[Ruimte omschrijving]],2,FALSE)</f>
        <v>Gangen/hallen</v>
      </c>
      <c r="C305" s="255" t="s">
        <v>538</v>
      </c>
      <c r="D305" s="254" t="s">
        <v>21</v>
      </c>
      <c r="E305" s="255" t="s">
        <v>99</v>
      </c>
      <c r="F305" s="255" t="s">
        <v>540</v>
      </c>
      <c r="G305" s="260" t="s">
        <v>283</v>
      </c>
      <c r="H305" s="256" t="s">
        <v>20</v>
      </c>
      <c r="I305" s="256" t="s">
        <v>283</v>
      </c>
      <c r="J305" s="256" t="s">
        <v>283</v>
      </c>
      <c r="K305" s="256" t="s">
        <v>283</v>
      </c>
      <c r="L305" s="256" t="s">
        <v>283</v>
      </c>
      <c r="M305" s="256" t="s">
        <v>283</v>
      </c>
      <c r="N305" s="256" t="s">
        <v>283</v>
      </c>
      <c r="O305" s="257" t="s">
        <v>20</v>
      </c>
      <c r="P305" s="257" t="s">
        <v>20</v>
      </c>
      <c r="Q305" s="257" t="s">
        <v>15</v>
      </c>
      <c r="R305" s="257" t="s">
        <v>15</v>
      </c>
      <c r="S305" s="257" t="s">
        <v>16</v>
      </c>
      <c r="T305" s="257" t="s">
        <v>330</v>
      </c>
      <c r="U305" s="257" t="s">
        <v>250</v>
      </c>
      <c r="V305" s="257" t="s">
        <v>283</v>
      </c>
      <c r="W305" s="258" t="s">
        <v>283</v>
      </c>
      <c r="X305" s="258" t="s">
        <v>283</v>
      </c>
      <c r="Y305" s="259" t="s">
        <v>283</v>
      </c>
    </row>
    <row r="306" spans="1:25">
      <c r="A306" s="253">
        <v>6</v>
      </c>
      <c r="B306" s="254" t="str">
        <f>VLOOKUP(Tabel10[[#This Row],[Code]],Ruimtegroepen[[Code]:[Ruimte omschrijving]],2,FALSE)</f>
        <v>Gangen/hallen</v>
      </c>
      <c r="C306" s="255" t="s">
        <v>538</v>
      </c>
      <c r="D306" s="254" t="s">
        <v>21</v>
      </c>
      <c r="E306" s="255" t="s">
        <v>101</v>
      </c>
      <c r="F306" s="255" t="s">
        <v>541</v>
      </c>
      <c r="G306" s="260" t="s">
        <v>283</v>
      </c>
      <c r="H306" s="256" t="s">
        <v>283</v>
      </c>
      <c r="I306" s="256" t="s">
        <v>20</v>
      </c>
      <c r="J306" s="256" t="s">
        <v>283</v>
      </c>
      <c r="K306" s="256" t="s">
        <v>20</v>
      </c>
      <c r="L306" s="256" t="s">
        <v>283</v>
      </c>
      <c r="M306" s="256" t="s">
        <v>283</v>
      </c>
      <c r="N306" s="256" t="s">
        <v>283</v>
      </c>
      <c r="O306" s="257" t="s">
        <v>20</v>
      </c>
      <c r="P306" s="257" t="s">
        <v>20</v>
      </c>
      <c r="Q306" s="257" t="s">
        <v>15</v>
      </c>
      <c r="R306" s="257" t="s">
        <v>15</v>
      </c>
      <c r="S306" s="257" t="s">
        <v>16</v>
      </c>
      <c r="T306" s="257" t="s">
        <v>330</v>
      </c>
      <c r="U306" s="257" t="s">
        <v>250</v>
      </c>
      <c r="V306" s="257" t="s">
        <v>283</v>
      </c>
      <c r="W306" s="258" t="s">
        <v>283</v>
      </c>
      <c r="X306" s="258" t="s">
        <v>283</v>
      </c>
      <c r="Y306" s="259" t="s">
        <v>283</v>
      </c>
    </row>
    <row r="307" spans="1:25">
      <c r="A307" s="253">
        <v>6</v>
      </c>
      <c r="B307" s="254" t="str">
        <f>VLOOKUP(Tabel10[[#This Row],[Code]],Ruimtegroepen[[Code]:[Ruimte omschrijving]],2,FALSE)</f>
        <v>Gangen/hallen</v>
      </c>
      <c r="C307" s="255" t="s">
        <v>538</v>
      </c>
      <c r="D307" s="254" t="s">
        <v>21</v>
      </c>
      <c r="E307" s="255" t="s">
        <v>102</v>
      </c>
      <c r="F307" s="255" t="s">
        <v>542</v>
      </c>
      <c r="G307" s="260" t="s">
        <v>283</v>
      </c>
      <c r="H307" s="256" t="s">
        <v>283</v>
      </c>
      <c r="I307" s="256" t="s">
        <v>20</v>
      </c>
      <c r="J307" s="256" t="s">
        <v>283</v>
      </c>
      <c r="K307" s="256" t="s">
        <v>20</v>
      </c>
      <c r="L307" s="256" t="s">
        <v>283</v>
      </c>
      <c r="M307" s="256" t="s">
        <v>283</v>
      </c>
      <c r="N307" s="256" t="s">
        <v>283</v>
      </c>
      <c r="O307" s="257" t="s">
        <v>20</v>
      </c>
      <c r="P307" s="257" t="s">
        <v>20</v>
      </c>
      <c r="Q307" s="257" t="s">
        <v>15</v>
      </c>
      <c r="R307" s="257" t="s">
        <v>15</v>
      </c>
      <c r="S307" s="257" t="s">
        <v>16</v>
      </c>
      <c r="T307" s="257" t="s">
        <v>330</v>
      </c>
      <c r="U307" s="257" t="s">
        <v>250</v>
      </c>
      <c r="V307" s="257" t="s">
        <v>283</v>
      </c>
      <c r="W307" s="258" t="s">
        <v>283</v>
      </c>
      <c r="X307" s="258" t="s">
        <v>283</v>
      </c>
      <c r="Y307" s="259" t="s">
        <v>283</v>
      </c>
    </row>
    <row r="308" spans="1:25">
      <c r="A308" s="253">
        <v>6</v>
      </c>
      <c r="B308" s="254" t="str">
        <f>VLOOKUP(Tabel10[[#This Row],[Code]],Ruimtegroepen[[Code]:[Ruimte omschrijving]],2,FALSE)</f>
        <v>Gangen/hallen</v>
      </c>
      <c r="C308" s="255" t="s">
        <v>538</v>
      </c>
      <c r="D308" s="254" t="s">
        <v>21</v>
      </c>
      <c r="E308" s="255" t="s">
        <v>99</v>
      </c>
      <c r="F308" s="255" t="s">
        <v>540</v>
      </c>
      <c r="G308" s="260" t="s">
        <v>283</v>
      </c>
      <c r="H308" s="256" t="s">
        <v>20</v>
      </c>
      <c r="I308" s="256" t="s">
        <v>283</v>
      </c>
      <c r="J308" s="256" t="s">
        <v>283</v>
      </c>
      <c r="K308" s="256" t="s">
        <v>283</v>
      </c>
      <c r="L308" s="256" t="s">
        <v>283</v>
      </c>
      <c r="M308" s="256" t="s">
        <v>283</v>
      </c>
      <c r="N308" s="256" t="s">
        <v>283</v>
      </c>
      <c r="O308" s="257" t="s">
        <v>20</v>
      </c>
      <c r="P308" s="257" t="s">
        <v>20</v>
      </c>
      <c r="Q308" s="257" t="s">
        <v>15</v>
      </c>
      <c r="R308" s="257" t="s">
        <v>15</v>
      </c>
      <c r="S308" s="257" t="s">
        <v>16</v>
      </c>
      <c r="T308" s="257" t="s">
        <v>330</v>
      </c>
      <c r="U308" s="257" t="s">
        <v>250</v>
      </c>
      <c r="V308" s="257" t="s">
        <v>283</v>
      </c>
      <c r="W308" s="258" t="s">
        <v>283</v>
      </c>
      <c r="X308" s="258" t="s">
        <v>283</v>
      </c>
      <c r="Y308" s="259" t="s">
        <v>283</v>
      </c>
    </row>
    <row r="309" spans="1:25">
      <c r="A309" s="253">
        <v>6</v>
      </c>
      <c r="B309" s="254" t="str">
        <f>VLOOKUP(Tabel10[[#This Row],[Code]],Ruimtegroepen[[Code]:[Ruimte omschrijving]],2,FALSE)</f>
        <v>Gangen/hallen</v>
      </c>
      <c r="C309" s="255" t="s">
        <v>538</v>
      </c>
      <c r="D309" s="254" t="s">
        <v>21</v>
      </c>
      <c r="E309" s="255" t="s">
        <v>1312</v>
      </c>
      <c r="F309" s="255" t="s">
        <v>1449</v>
      </c>
      <c r="G309" s="260" t="s">
        <v>283</v>
      </c>
      <c r="H309" s="256" t="s">
        <v>283</v>
      </c>
      <c r="I309" s="256" t="s">
        <v>20</v>
      </c>
      <c r="J309" s="256" t="s">
        <v>283</v>
      </c>
      <c r="K309" s="256" t="s">
        <v>20</v>
      </c>
      <c r="L309" s="256" t="s">
        <v>283</v>
      </c>
      <c r="M309" s="256" t="s">
        <v>283</v>
      </c>
      <c r="N309" s="256" t="s">
        <v>283</v>
      </c>
      <c r="O309" s="257" t="s">
        <v>20</v>
      </c>
      <c r="P309" s="257" t="s">
        <v>20</v>
      </c>
      <c r="Q309" s="257" t="s">
        <v>15</v>
      </c>
      <c r="R309" s="257" t="s">
        <v>15</v>
      </c>
      <c r="S309" s="257" t="s">
        <v>16</v>
      </c>
      <c r="T309" s="257" t="s">
        <v>330</v>
      </c>
      <c r="U309" s="257" t="s">
        <v>250</v>
      </c>
      <c r="V309" s="257" t="s">
        <v>283</v>
      </c>
      <c r="W309" s="258" t="s">
        <v>283</v>
      </c>
      <c r="X309" s="258" t="s">
        <v>283</v>
      </c>
      <c r="Y309" s="259" t="s">
        <v>283</v>
      </c>
    </row>
    <row r="310" spans="1:25">
      <c r="A310" s="253">
        <v>6</v>
      </c>
      <c r="B310" s="254" t="str">
        <f>VLOOKUP(Tabel10[[#This Row],[Code]],Ruimtegroepen[[Code]:[Ruimte omschrijving]],2,FALSE)</f>
        <v>Gangen/hallen</v>
      </c>
      <c r="C310" s="255" t="s">
        <v>543</v>
      </c>
      <c r="D310" s="254" t="s">
        <v>12</v>
      </c>
      <c r="E310" s="255" t="s">
        <v>100</v>
      </c>
      <c r="F310" s="255" t="s">
        <v>544</v>
      </c>
      <c r="G310" s="260" t="s">
        <v>283</v>
      </c>
      <c r="H310" s="256" t="s">
        <v>283</v>
      </c>
      <c r="I310" s="256" t="s">
        <v>283</v>
      </c>
      <c r="J310" s="256" t="s">
        <v>18</v>
      </c>
      <c r="K310" s="256" t="s">
        <v>283</v>
      </c>
      <c r="L310" s="256" t="s">
        <v>283</v>
      </c>
      <c r="M310" s="256" t="s">
        <v>283</v>
      </c>
      <c r="N310" s="256" t="s">
        <v>283</v>
      </c>
      <c r="O310" s="257" t="s">
        <v>18</v>
      </c>
      <c r="P310" s="257" t="s">
        <v>18</v>
      </c>
      <c r="Q310" s="257" t="s">
        <v>15</v>
      </c>
      <c r="R310" s="257" t="s">
        <v>15</v>
      </c>
      <c r="S310" s="257" t="s">
        <v>16</v>
      </c>
      <c r="T310" s="257" t="s">
        <v>330</v>
      </c>
      <c r="U310" s="257" t="s">
        <v>250</v>
      </c>
      <c r="V310" s="257" t="s">
        <v>283</v>
      </c>
      <c r="W310" s="258" t="s">
        <v>283</v>
      </c>
      <c r="X310" s="258" t="s">
        <v>283</v>
      </c>
      <c r="Y310" s="259" t="s">
        <v>283</v>
      </c>
    </row>
    <row r="311" spans="1:25">
      <c r="A311" s="253">
        <v>6</v>
      </c>
      <c r="B311" s="254" t="str">
        <f>VLOOKUP(Tabel10[[#This Row],[Code]],Ruimtegroepen[[Code]:[Ruimte omschrijving]],2,FALSE)</f>
        <v>Gangen/hallen</v>
      </c>
      <c r="C311" s="255" t="s">
        <v>543</v>
      </c>
      <c r="D311" s="254" t="s">
        <v>12</v>
      </c>
      <c r="E311" s="255" t="s">
        <v>99</v>
      </c>
      <c r="F311" s="255" t="s">
        <v>545</v>
      </c>
      <c r="G311" s="260" t="s">
        <v>283</v>
      </c>
      <c r="H311" s="256" t="s">
        <v>18</v>
      </c>
      <c r="I311" s="256" t="s">
        <v>283</v>
      </c>
      <c r="J311" s="256" t="s">
        <v>283</v>
      </c>
      <c r="K311" s="256" t="s">
        <v>283</v>
      </c>
      <c r="L311" s="256" t="s">
        <v>283</v>
      </c>
      <c r="M311" s="256" t="s">
        <v>283</v>
      </c>
      <c r="N311" s="256" t="s">
        <v>283</v>
      </c>
      <c r="O311" s="257" t="s">
        <v>18</v>
      </c>
      <c r="P311" s="257" t="s">
        <v>18</v>
      </c>
      <c r="Q311" s="257" t="s">
        <v>15</v>
      </c>
      <c r="R311" s="257" t="s">
        <v>15</v>
      </c>
      <c r="S311" s="257" t="s">
        <v>16</v>
      </c>
      <c r="T311" s="257" t="s">
        <v>330</v>
      </c>
      <c r="U311" s="257" t="s">
        <v>250</v>
      </c>
      <c r="V311" s="257" t="s">
        <v>283</v>
      </c>
      <c r="W311" s="258" t="s">
        <v>283</v>
      </c>
      <c r="X311" s="258" t="s">
        <v>283</v>
      </c>
      <c r="Y311" s="259" t="s">
        <v>283</v>
      </c>
    </row>
    <row r="312" spans="1:25">
      <c r="A312" s="253">
        <v>6</v>
      </c>
      <c r="B312" s="254" t="str">
        <f>VLOOKUP(Tabel10[[#This Row],[Code]],Ruimtegroepen[[Code]:[Ruimte omschrijving]],2,FALSE)</f>
        <v>Gangen/hallen</v>
      </c>
      <c r="C312" s="255" t="s">
        <v>543</v>
      </c>
      <c r="D312" s="254" t="s">
        <v>12</v>
      </c>
      <c r="E312" s="255" t="s">
        <v>101</v>
      </c>
      <c r="F312" s="255" t="s">
        <v>546</v>
      </c>
      <c r="G312" s="260" t="s">
        <v>283</v>
      </c>
      <c r="H312" s="256" t="s">
        <v>283</v>
      </c>
      <c r="I312" s="256" t="s">
        <v>18</v>
      </c>
      <c r="J312" s="256" t="s">
        <v>283</v>
      </c>
      <c r="K312" s="256" t="s">
        <v>18</v>
      </c>
      <c r="L312" s="256" t="s">
        <v>283</v>
      </c>
      <c r="M312" s="256" t="s">
        <v>283</v>
      </c>
      <c r="N312" s="256" t="s">
        <v>283</v>
      </c>
      <c r="O312" s="257" t="s">
        <v>18</v>
      </c>
      <c r="P312" s="257" t="s">
        <v>18</v>
      </c>
      <c r="Q312" s="257" t="s">
        <v>15</v>
      </c>
      <c r="R312" s="257" t="s">
        <v>15</v>
      </c>
      <c r="S312" s="257" t="s">
        <v>16</v>
      </c>
      <c r="T312" s="257" t="s">
        <v>330</v>
      </c>
      <c r="U312" s="257" t="s">
        <v>250</v>
      </c>
      <c r="V312" s="257" t="s">
        <v>283</v>
      </c>
      <c r="W312" s="258" t="s">
        <v>283</v>
      </c>
      <c r="X312" s="258" t="s">
        <v>283</v>
      </c>
      <c r="Y312" s="259" t="s">
        <v>283</v>
      </c>
    </row>
    <row r="313" spans="1:25">
      <c r="A313" s="253">
        <v>6</v>
      </c>
      <c r="B313" s="254" t="str">
        <f>VLOOKUP(Tabel10[[#This Row],[Code]],Ruimtegroepen[[Code]:[Ruimte omschrijving]],2,FALSE)</f>
        <v>Gangen/hallen</v>
      </c>
      <c r="C313" s="255" t="s">
        <v>543</v>
      </c>
      <c r="D313" s="254" t="s">
        <v>12</v>
      </c>
      <c r="E313" s="255" t="s">
        <v>102</v>
      </c>
      <c r="F313" s="255" t="s">
        <v>547</v>
      </c>
      <c r="G313" s="260" t="s">
        <v>283</v>
      </c>
      <c r="H313" s="256" t="s">
        <v>283</v>
      </c>
      <c r="I313" s="256" t="s">
        <v>18</v>
      </c>
      <c r="J313" s="256" t="s">
        <v>283</v>
      </c>
      <c r="K313" s="256" t="s">
        <v>18</v>
      </c>
      <c r="L313" s="256" t="s">
        <v>283</v>
      </c>
      <c r="M313" s="256" t="s">
        <v>283</v>
      </c>
      <c r="N313" s="256" t="s">
        <v>283</v>
      </c>
      <c r="O313" s="257" t="s">
        <v>18</v>
      </c>
      <c r="P313" s="257" t="s">
        <v>18</v>
      </c>
      <c r="Q313" s="257" t="s">
        <v>15</v>
      </c>
      <c r="R313" s="257" t="s">
        <v>15</v>
      </c>
      <c r="S313" s="257" t="s">
        <v>16</v>
      </c>
      <c r="T313" s="257" t="s">
        <v>330</v>
      </c>
      <c r="U313" s="257" t="s">
        <v>250</v>
      </c>
      <c r="V313" s="257" t="s">
        <v>283</v>
      </c>
      <c r="W313" s="258" t="s">
        <v>283</v>
      </c>
      <c r="X313" s="258" t="s">
        <v>283</v>
      </c>
      <c r="Y313" s="259" t="s">
        <v>283</v>
      </c>
    </row>
    <row r="314" spans="1:25">
      <c r="A314" s="253">
        <v>6</v>
      </c>
      <c r="B314" s="254" t="str">
        <f>VLOOKUP(Tabel10[[#This Row],[Code]],Ruimtegroepen[[Code]:[Ruimte omschrijving]],2,FALSE)</f>
        <v>Gangen/hallen</v>
      </c>
      <c r="C314" s="255" t="s">
        <v>543</v>
      </c>
      <c r="D314" s="254" t="s">
        <v>12</v>
      </c>
      <c r="E314" s="255" t="s">
        <v>99</v>
      </c>
      <c r="F314" s="255" t="s">
        <v>545</v>
      </c>
      <c r="G314" s="260" t="s">
        <v>283</v>
      </c>
      <c r="H314" s="256" t="s">
        <v>18</v>
      </c>
      <c r="I314" s="256" t="s">
        <v>283</v>
      </c>
      <c r="J314" s="256" t="s">
        <v>283</v>
      </c>
      <c r="K314" s="256" t="s">
        <v>283</v>
      </c>
      <c r="L314" s="256" t="s">
        <v>283</v>
      </c>
      <c r="M314" s="256" t="s">
        <v>283</v>
      </c>
      <c r="N314" s="256" t="s">
        <v>283</v>
      </c>
      <c r="O314" s="257" t="s">
        <v>18</v>
      </c>
      <c r="P314" s="257" t="s">
        <v>18</v>
      </c>
      <c r="Q314" s="257" t="s">
        <v>15</v>
      </c>
      <c r="R314" s="257" t="s">
        <v>15</v>
      </c>
      <c r="S314" s="257" t="s">
        <v>16</v>
      </c>
      <c r="T314" s="257" t="s">
        <v>330</v>
      </c>
      <c r="U314" s="257" t="s">
        <v>250</v>
      </c>
      <c r="V314" s="257" t="s">
        <v>283</v>
      </c>
      <c r="W314" s="258" t="s">
        <v>283</v>
      </c>
      <c r="X314" s="258" t="s">
        <v>283</v>
      </c>
      <c r="Y314" s="259" t="s">
        <v>283</v>
      </c>
    </row>
    <row r="315" spans="1:25">
      <c r="A315" s="253">
        <v>6</v>
      </c>
      <c r="B315" s="254" t="str">
        <f>VLOOKUP(Tabel10[[#This Row],[Code]],Ruimtegroepen[[Code]:[Ruimte omschrijving]],2,FALSE)</f>
        <v>Gangen/hallen</v>
      </c>
      <c r="C315" s="255" t="s">
        <v>543</v>
      </c>
      <c r="D315" s="254" t="s">
        <v>12</v>
      </c>
      <c r="E315" s="255" t="s">
        <v>1312</v>
      </c>
      <c r="F315" s="255" t="s">
        <v>1431</v>
      </c>
      <c r="G315" s="260" t="s">
        <v>283</v>
      </c>
      <c r="H315" s="256" t="s">
        <v>283</v>
      </c>
      <c r="I315" s="256" t="s">
        <v>18</v>
      </c>
      <c r="J315" s="256" t="s">
        <v>283</v>
      </c>
      <c r="K315" s="256" t="s">
        <v>18</v>
      </c>
      <c r="L315" s="256" t="s">
        <v>283</v>
      </c>
      <c r="M315" s="256" t="s">
        <v>283</v>
      </c>
      <c r="N315" s="256" t="s">
        <v>283</v>
      </c>
      <c r="O315" s="257" t="s">
        <v>18</v>
      </c>
      <c r="P315" s="257" t="s">
        <v>18</v>
      </c>
      <c r="Q315" s="257" t="s">
        <v>15</v>
      </c>
      <c r="R315" s="257" t="s">
        <v>15</v>
      </c>
      <c r="S315" s="257" t="s">
        <v>16</v>
      </c>
      <c r="T315" s="257" t="s">
        <v>330</v>
      </c>
      <c r="U315" s="257" t="s">
        <v>250</v>
      </c>
      <c r="V315" s="257" t="s">
        <v>283</v>
      </c>
      <c r="W315" s="258" t="s">
        <v>283</v>
      </c>
      <c r="X315" s="258" t="s">
        <v>283</v>
      </c>
      <c r="Y315" s="259" t="s">
        <v>283</v>
      </c>
    </row>
    <row r="316" spans="1:25">
      <c r="A316" s="253">
        <v>6</v>
      </c>
      <c r="B316" s="254" t="str">
        <f>VLOOKUP(Tabel10[[#This Row],[Code]],Ruimtegroepen[[Code]:[Ruimte omschrijving]],2,FALSE)</f>
        <v>Gangen/hallen</v>
      </c>
      <c r="C316" s="255" t="s">
        <v>548</v>
      </c>
      <c r="D316" s="254" t="s">
        <v>14</v>
      </c>
      <c r="E316" s="255" t="s">
        <v>100</v>
      </c>
      <c r="F316" s="255" t="s">
        <v>549</v>
      </c>
      <c r="G316" s="260" t="s">
        <v>283</v>
      </c>
      <c r="H316" s="256" t="s">
        <v>283</v>
      </c>
      <c r="I316" s="256" t="s">
        <v>283</v>
      </c>
      <c r="J316" s="256" t="s">
        <v>17</v>
      </c>
      <c r="K316" s="256" t="s">
        <v>283</v>
      </c>
      <c r="L316" s="256" t="s">
        <v>283</v>
      </c>
      <c r="M316" s="256" t="s">
        <v>283</v>
      </c>
      <c r="N316" s="256" t="s">
        <v>283</v>
      </c>
      <c r="O316" s="257" t="s">
        <v>17</v>
      </c>
      <c r="P316" s="257" t="s">
        <v>17</v>
      </c>
      <c r="Q316" s="257" t="s">
        <v>15</v>
      </c>
      <c r="R316" s="257" t="s">
        <v>15</v>
      </c>
      <c r="S316" s="257" t="s">
        <v>16</v>
      </c>
      <c r="T316" s="257" t="s">
        <v>330</v>
      </c>
      <c r="U316" s="257" t="s">
        <v>250</v>
      </c>
      <c r="V316" s="257" t="s">
        <v>283</v>
      </c>
      <c r="W316" s="258" t="s">
        <v>283</v>
      </c>
      <c r="X316" s="258" t="s">
        <v>283</v>
      </c>
      <c r="Y316" s="259" t="s">
        <v>283</v>
      </c>
    </row>
    <row r="317" spans="1:25">
      <c r="A317" s="253">
        <v>6</v>
      </c>
      <c r="B317" s="254" t="str">
        <f>VLOOKUP(Tabel10[[#This Row],[Code]],Ruimtegroepen[[Code]:[Ruimte omschrijving]],2,FALSE)</f>
        <v>Gangen/hallen</v>
      </c>
      <c r="C317" s="255" t="s">
        <v>548</v>
      </c>
      <c r="D317" s="254" t="s">
        <v>14</v>
      </c>
      <c r="E317" s="255" t="s">
        <v>99</v>
      </c>
      <c r="F317" s="255" t="s">
        <v>550</v>
      </c>
      <c r="G317" s="260" t="s">
        <v>283</v>
      </c>
      <c r="H317" s="256" t="s">
        <v>17</v>
      </c>
      <c r="I317" s="256" t="s">
        <v>283</v>
      </c>
      <c r="J317" s="256" t="s">
        <v>283</v>
      </c>
      <c r="K317" s="256" t="s">
        <v>283</v>
      </c>
      <c r="L317" s="256" t="s">
        <v>283</v>
      </c>
      <c r="M317" s="256" t="s">
        <v>283</v>
      </c>
      <c r="N317" s="256" t="s">
        <v>283</v>
      </c>
      <c r="O317" s="257" t="s">
        <v>17</v>
      </c>
      <c r="P317" s="257" t="s">
        <v>17</v>
      </c>
      <c r="Q317" s="257" t="s">
        <v>15</v>
      </c>
      <c r="R317" s="257" t="s">
        <v>15</v>
      </c>
      <c r="S317" s="257" t="s">
        <v>16</v>
      </c>
      <c r="T317" s="257" t="s">
        <v>330</v>
      </c>
      <c r="U317" s="257" t="s">
        <v>250</v>
      </c>
      <c r="V317" s="257" t="s">
        <v>283</v>
      </c>
      <c r="W317" s="258" t="s">
        <v>283</v>
      </c>
      <c r="X317" s="258" t="s">
        <v>283</v>
      </c>
      <c r="Y317" s="259" t="s">
        <v>283</v>
      </c>
    </row>
    <row r="318" spans="1:25">
      <c r="A318" s="253">
        <v>6</v>
      </c>
      <c r="B318" s="254" t="str">
        <f>VLOOKUP(Tabel10[[#This Row],[Code]],Ruimtegroepen[[Code]:[Ruimte omschrijving]],2,FALSE)</f>
        <v>Gangen/hallen</v>
      </c>
      <c r="C318" s="255" t="s">
        <v>548</v>
      </c>
      <c r="D318" s="254" t="s">
        <v>14</v>
      </c>
      <c r="E318" s="255" t="s">
        <v>101</v>
      </c>
      <c r="F318" s="255" t="s">
        <v>551</v>
      </c>
      <c r="G318" s="260" t="s">
        <v>283</v>
      </c>
      <c r="H318" s="256" t="s">
        <v>283</v>
      </c>
      <c r="I318" s="256" t="s">
        <v>17</v>
      </c>
      <c r="J318" s="256" t="s">
        <v>283</v>
      </c>
      <c r="K318" s="256" t="s">
        <v>17</v>
      </c>
      <c r="L318" s="256" t="s">
        <v>283</v>
      </c>
      <c r="M318" s="256" t="s">
        <v>283</v>
      </c>
      <c r="N318" s="256" t="s">
        <v>283</v>
      </c>
      <c r="O318" s="257" t="s">
        <v>17</v>
      </c>
      <c r="P318" s="257" t="s">
        <v>17</v>
      </c>
      <c r="Q318" s="257" t="s">
        <v>15</v>
      </c>
      <c r="R318" s="257" t="s">
        <v>15</v>
      </c>
      <c r="S318" s="257" t="s">
        <v>16</v>
      </c>
      <c r="T318" s="257" t="s">
        <v>330</v>
      </c>
      <c r="U318" s="257" t="s">
        <v>250</v>
      </c>
      <c r="V318" s="257" t="s">
        <v>283</v>
      </c>
      <c r="W318" s="258" t="s">
        <v>283</v>
      </c>
      <c r="X318" s="258" t="s">
        <v>283</v>
      </c>
      <c r="Y318" s="259" t="s">
        <v>283</v>
      </c>
    </row>
    <row r="319" spans="1:25">
      <c r="A319" s="253">
        <v>6</v>
      </c>
      <c r="B319" s="254" t="str">
        <f>VLOOKUP(Tabel10[[#This Row],[Code]],Ruimtegroepen[[Code]:[Ruimte omschrijving]],2,FALSE)</f>
        <v>Gangen/hallen</v>
      </c>
      <c r="C319" s="255" t="s">
        <v>548</v>
      </c>
      <c r="D319" s="254" t="s">
        <v>14</v>
      </c>
      <c r="E319" s="255" t="s">
        <v>102</v>
      </c>
      <c r="F319" s="255" t="s">
        <v>552</v>
      </c>
      <c r="G319" s="260" t="s">
        <v>283</v>
      </c>
      <c r="H319" s="256" t="s">
        <v>283</v>
      </c>
      <c r="I319" s="256" t="s">
        <v>17</v>
      </c>
      <c r="J319" s="256" t="s">
        <v>283</v>
      </c>
      <c r="K319" s="256" t="s">
        <v>17</v>
      </c>
      <c r="L319" s="256" t="s">
        <v>283</v>
      </c>
      <c r="M319" s="256" t="s">
        <v>283</v>
      </c>
      <c r="N319" s="256" t="s">
        <v>283</v>
      </c>
      <c r="O319" s="257" t="s">
        <v>17</v>
      </c>
      <c r="P319" s="257" t="s">
        <v>17</v>
      </c>
      <c r="Q319" s="257" t="s">
        <v>15</v>
      </c>
      <c r="R319" s="257" t="s">
        <v>15</v>
      </c>
      <c r="S319" s="257" t="s">
        <v>16</v>
      </c>
      <c r="T319" s="257" t="s">
        <v>330</v>
      </c>
      <c r="U319" s="257" t="s">
        <v>250</v>
      </c>
      <c r="V319" s="257" t="s">
        <v>283</v>
      </c>
      <c r="W319" s="258" t="s">
        <v>283</v>
      </c>
      <c r="X319" s="258" t="s">
        <v>283</v>
      </c>
      <c r="Y319" s="259" t="s">
        <v>283</v>
      </c>
    </row>
    <row r="320" spans="1:25">
      <c r="A320" s="253">
        <v>6</v>
      </c>
      <c r="B320" s="254" t="str">
        <f>VLOOKUP(Tabel10[[#This Row],[Code]],Ruimtegroepen[[Code]:[Ruimte omschrijving]],2,FALSE)</f>
        <v>Gangen/hallen</v>
      </c>
      <c r="C320" s="255" t="s">
        <v>548</v>
      </c>
      <c r="D320" s="254" t="s">
        <v>14</v>
      </c>
      <c r="E320" s="255" t="s">
        <v>99</v>
      </c>
      <c r="F320" s="255" t="s">
        <v>550</v>
      </c>
      <c r="G320" s="260" t="s">
        <v>283</v>
      </c>
      <c r="H320" s="256" t="s">
        <v>17</v>
      </c>
      <c r="I320" s="256" t="s">
        <v>283</v>
      </c>
      <c r="J320" s="256" t="s">
        <v>283</v>
      </c>
      <c r="K320" s="256" t="s">
        <v>283</v>
      </c>
      <c r="L320" s="256" t="s">
        <v>283</v>
      </c>
      <c r="M320" s="256" t="s">
        <v>283</v>
      </c>
      <c r="N320" s="256" t="s">
        <v>283</v>
      </c>
      <c r="O320" s="257" t="s">
        <v>17</v>
      </c>
      <c r="P320" s="257" t="s">
        <v>17</v>
      </c>
      <c r="Q320" s="257" t="s">
        <v>15</v>
      </c>
      <c r="R320" s="257" t="s">
        <v>15</v>
      </c>
      <c r="S320" s="257" t="s">
        <v>16</v>
      </c>
      <c r="T320" s="257" t="s">
        <v>330</v>
      </c>
      <c r="U320" s="257" t="s">
        <v>250</v>
      </c>
      <c r="V320" s="257" t="s">
        <v>283</v>
      </c>
      <c r="W320" s="258" t="s">
        <v>283</v>
      </c>
      <c r="X320" s="258" t="s">
        <v>283</v>
      </c>
      <c r="Y320" s="259" t="s">
        <v>283</v>
      </c>
    </row>
    <row r="321" spans="1:25">
      <c r="A321" s="253">
        <v>6</v>
      </c>
      <c r="B321" s="254" t="str">
        <f>VLOOKUP(Tabel10[[#This Row],[Code]],Ruimtegroepen[[Code]:[Ruimte omschrijving]],2,FALSE)</f>
        <v>Gangen/hallen</v>
      </c>
      <c r="C321" s="255" t="s">
        <v>548</v>
      </c>
      <c r="D321" s="254" t="s">
        <v>14</v>
      </c>
      <c r="E321" s="255" t="s">
        <v>1312</v>
      </c>
      <c r="F321" s="255" t="s">
        <v>1398</v>
      </c>
      <c r="G321" s="260" t="s">
        <v>283</v>
      </c>
      <c r="H321" s="256" t="s">
        <v>283</v>
      </c>
      <c r="I321" s="256" t="s">
        <v>17</v>
      </c>
      <c r="J321" s="256" t="s">
        <v>283</v>
      </c>
      <c r="K321" s="256" t="s">
        <v>17</v>
      </c>
      <c r="L321" s="256" t="s">
        <v>283</v>
      </c>
      <c r="M321" s="256" t="s">
        <v>283</v>
      </c>
      <c r="N321" s="256" t="s">
        <v>283</v>
      </c>
      <c r="O321" s="257" t="s">
        <v>17</v>
      </c>
      <c r="P321" s="257" t="s">
        <v>17</v>
      </c>
      <c r="Q321" s="257" t="s">
        <v>15</v>
      </c>
      <c r="R321" s="257" t="s">
        <v>15</v>
      </c>
      <c r="S321" s="257" t="s">
        <v>16</v>
      </c>
      <c r="T321" s="257" t="s">
        <v>330</v>
      </c>
      <c r="U321" s="257" t="s">
        <v>250</v>
      </c>
      <c r="V321" s="257" t="s">
        <v>283</v>
      </c>
      <c r="W321" s="258" t="s">
        <v>283</v>
      </c>
      <c r="X321" s="258" t="s">
        <v>283</v>
      </c>
      <c r="Y321" s="259" t="s">
        <v>283</v>
      </c>
    </row>
    <row r="322" spans="1:25">
      <c r="A322" s="253">
        <v>6</v>
      </c>
      <c r="B322" s="254" t="str">
        <f>VLOOKUP(Tabel10[[#This Row],[Code]],Ruimtegroepen[[Code]:[Ruimte omschrijving]],2,FALSE)</f>
        <v>Gangen/hallen</v>
      </c>
      <c r="C322" s="255" t="s">
        <v>553</v>
      </c>
      <c r="D322" s="254" t="s">
        <v>13</v>
      </c>
      <c r="E322" s="255" t="s">
        <v>100</v>
      </c>
      <c r="F322" s="255" t="s">
        <v>554</v>
      </c>
      <c r="G322" s="260" t="s">
        <v>283</v>
      </c>
      <c r="H322" s="256" t="s">
        <v>283</v>
      </c>
      <c r="I322" s="256" t="s">
        <v>283</v>
      </c>
      <c r="J322" s="256" t="s">
        <v>15</v>
      </c>
      <c r="K322" s="256" t="s">
        <v>283</v>
      </c>
      <c r="L322" s="256" t="s">
        <v>283</v>
      </c>
      <c r="M322" s="256" t="s">
        <v>283</v>
      </c>
      <c r="N322" s="256" t="s">
        <v>283</v>
      </c>
      <c r="O322" s="257" t="s">
        <v>15</v>
      </c>
      <c r="P322" s="257" t="s">
        <v>15</v>
      </c>
      <c r="Q322" s="257" t="s">
        <v>15</v>
      </c>
      <c r="R322" s="257" t="s">
        <v>15</v>
      </c>
      <c r="S322" s="257" t="s">
        <v>16</v>
      </c>
      <c r="T322" s="257" t="s">
        <v>330</v>
      </c>
      <c r="U322" s="257" t="s">
        <v>250</v>
      </c>
      <c r="V322" s="257" t="s">
        <v>283</v>
      </c>
      <c r="W322" s="258" t="s">
        <v>283</v>
      </c>
      <c r="X322" s="258" t="s">
        <v>283</v>
      </c>
      <c r="Y322" s="259" t="s">
        <v>283</v>
      </c>
    </row>
    <row r="323" spans="1:25">
      <c r="A323" s="253">
        <v>6</v>
      </c>
      <c r="B323" s="254" t="str">
        <f>VLOOKUP(Tabel10[[#This Row],[Code]],Ruimtegroepen[[Code]:[Ruimte omschrijving]],2,FALSE)</f>
        <v>Gangen/hallen</v>
      </c>
      <c r="C323" s="255" t="s">
        <v>553</v>
      </c>
      <c r="D323" s="254" t="s">
        <v>13</v>
      </c>
      <c r="E323" s="255" t="s">
        <v>99</v>
      </c>
      <c r="F323" s="255" t="s">
        <v>555</v>
      </c>
      <c r="G323" s="260" t="s">
        <v>283</v>
      </c>
      <c r="H323" s="256" t="s">
        <v>15</v>
      </c>
      <c r="I323" s="256" t="s">
        <v>283</v>
      </c>
      <c r="J323" s="256" t="s">
        <v>283</v>
      </c>
      <c r="K323" s="256" t="s">
        <v>283</v>
      </c>
      <c r="L323" s="256" t="s">
        <v>283</v>
      </c>
      <c r="M323" s="256" t="s">
        <v>283</v>
      </c>
      <c r="N323" s="256" t="s">
        <v>283</v>
      </c>
      <c r="O323" s="257" t="s">
        <v>15</v>
      </c>
      <c r="P323" s="257" t="s">
        <v>15</v>
      </c>
      <c r="Q323" s="257" t="s">
        <v>15</v>
      </c>
      <c r="R323" s="257" t="s">
        <v>15</v>
      </c>
      <c r="S323" s="257" t="s">
        <v>16</v>
      </c>
      <c r="T323" s="257" t="s">
        <v>330</v>
      </c>
      <c r="U323" s="257" t="s">
        <v>250</v>
      </c>
      <c r="V323" s="257" t="s">
        <v>283</v>
      </c>
      <c r="W323" s="258" t="s">
        <v>283</v>
      </c>
      <c r="X323" s="258" t="s">
        <v>283</v>
      </c>
      <c r="Y323" s="259" t="s">
        <v>283</v>
      </c>
    </row>
    <row r="324" spans="1:25">
      <c r="A324" s="253">
        <v>6</v>
      </c>
      <c r="B324" s="254" t="str">
        <f>VLOOKUP(Tabel10[[#This Row],[Code]],Ruimtegroepen[[Code]:[Ruimte omschrijving]],2,FALSE)</f>
        <v>Gangen/hallen</v>
      </c>
      <c r="C324" s="255" t="s">
        <v>553</v>
      </c>
      <c r="D324" s="254" t="s">
        <v>13</v>
      </c>
      <c r="E324" s="255" t="s">
        <v>101</v>
      </c>
      <c r="F324" s="255" t="s">
        <v>556</v>
      </c>
      <c r="G324" s="260" t="s">
        <v>283</v>
      </c>
      <c r="H324" s="256" t="s">
        <v>283</v>
      </c>
      <c r="I324" s="256" t="s">
        <v>15</v>
      </c>
      <c r="J324" s="256" t="s">
        <v>283</v>
      </c>
      <c r="K324" s="256" t="s">
        <v>15</v>
      </c>
      <c r="L324" s="256" t="s">
        <v>283</v>
      </c>
      <c r="M324" s="256" t="s">
        <v>283</v>
      </c>
      <c r="N324" s="256" t="s">
        <v>283</v>
      </c>
      <c r="O324" s="257" t="s">
        <v>15</v>
      </c>
      <c r="P324" s="257" t="s">
        <v>15</v>
      </c>
      <c r="Q324" s="257" t="s">
        <v>15</v>
      </c>
      <c r="R324" s="257" t="s">
        <v>15</v>
      </c>
      <c r="S324" s="257" t="s">
        <v>16</v>
      </c>
      <c r="T324" s="257" t="s">
        <v>330</v>
      </c>
      <c r="U324" s="257" t="s">
        <v>250</v>
      </c>
      <c r="V324" s="257" t="s">
        <v>283</v>
      </c>
      <c r="W324" s="258" t="s">
        <v>283</v>
      </c>
      <c r="X324" s="258" t="s">
        <v>283</v>
      </c>
      <c r="Y324" s="259" t="s">
        <v>283</v>
      </c>
    </row>
    <row r="325" spans="1:25">
      <c r="A325" s="253">
        <v>6</v>
      </c>
      <c r="B325" s="254" t="str">
        <f>VLOOKUP(Tabel10[[#This Row],[Code]],Ruimtegroepen[[Code]:[Ruimte omschrijving]],2,FALSE)</f>
        <v>Gangen/hallen</v>
      </c>
      <c r="C325" s="255" t="s">
        <v>553</v>
      </c>
      <c r="D325" s="254" t="s">
        <v>13</v>
      </c>
      <c r="E325" s="255" t="s">
        <v>102</v>
      </c>
      <c r="F325" s="255" t="s">
        <v>557</v>
      </c>
      <c r="G325" s="260" t="s">
        <v>283</v>
      </c>
      <c r="H325" s="256" t="s">
        <v>283</v>
      </c>
      <c r="I325" s="256" t="s">
        <v>15</v>
      </c>
      <c r="J325" s="256" t="s">
        <v>283</v>
      </c>
      <c r="K325" s="256" t="s">
        <v>15</v>
      </c>
      <c r="L325" s="256" t="s">
        <v>283</v>
      </c>
      <c r="M325" s="256" t="s">
        <v>283</v>
      </c>
      <c r="N325" s="256" t="s">
        <v>283</v>
      </c>
      <c r="O325" s="257" t="s">
        <v>15</v>
      </c>
      <c r="P325" s="257" t="s">
        <v>15</v>
      </c>
      <c r="Q325" s="257" t="s">
        <v>15</v>
      </c>
      <c r="R325" s="257" t="s">
        <v>15</v>
      </c>
      <c r="S325" s="257" t="s">
        <v>16</v>
      </c>
      <c r="T325" s="257" t="s">
        <v>330</v>
      </c>
      <c r="U325" s="257" t="s">
        <v>250</v>
      </c>
      <c r="V325" s="257" t="s">
        <v>283</v>
      </c>
      <c r="W325" s="258" t="s">
        <v>283</v>
      </c>
      <c r="X325" s="258" t="s">
        <v>283</v>
      </c>
      <c r="Y325" s="259" t="s">
        <v>283</v>
      </c>
    </row>
    <row r="326" spans="1:25">
      <c r="A326" s="253">
        <v>6</v>
      </c>
      <c r="B326" s="254" t="str">
        <f>VLOOKUP(Tabel10[[#This Row],[Code]],Ruimtegroepen[[Code]:[Ruimte omschrijving]],2,FALSE)</f>
        <v>Gangen/hallen</v>
      </c>
      <c r="C326" s="255" t="s">
        <v>553</v>
      </c>
      <c r="D326" s="254" t="s">
        <v>13</v>
      </c>
      <c r="E326" s="255" t="s">
        <v>99</v>
      </c>
      <c r="F326" s="255" t="s">
        <v>555</v>
      </c>
      <c r="G326" s="260" t="s">
        <v>283</v>
      </c>
      <c r="H326" s="256" t="s">
        <v>15</v>
      </c>
      <c r="I326" s="256" t="s">
        <v>283</v>
      </c>
      <c r="J326" s="256" t="s">
        <v>283</v>
      </c>
      <c r="K326" s="256" t="s">
        <v>283</v>
      </c>
      <c r="L326" s="256" t="s">
        <v>283</v>
      </c>
      <c r="M326" s="256" t="s">
        <v>283</v>
      </c>
      <c r="N326" s="256" t="s">
        <v>283</v>
      </c>
      <c r="O326" s="257" t="s">
        <v>15</v>
      </c>
      <c r="P326" s="257" t="s">
        <v>15</v>
      </c>
      <c r="Q326" s="257" t="s">
        <v>15</v>
      </c>
      <c r="R326" s="257" t="s">
        <v>15</v>
      </c>
      <c r="S326" s="257" t="s">
        <v>16</v>
      </c>
      <c r="T326" s="257" t="s">
        <v>330</v>
      </c>
      <c r="U326" s="257" t="s">
        <v>250</v>
      </c>
      <c r="V326" s="257" t="s">
        <v>283</v>
      </c>
      <c r="W326" s="258" t="s">
        <v>283</v>
      </c>
      <c r="X326" s="258" t="s">
        <v>283</v>
      </c>
      <c r="Y326" s="259" t="s">
        <v>283</v>
      </c>
    </row>
    <row r="327" spans="1:25">
      <c r="A327" s="253">
        <v>6</v>
      </c>
      <c r="B327" s="254" t="str">
        <f>VLOOKUP(Tabel10[[#This Row],[Code]],Ruimtegroepen[[Code]:[Ruimte omschrijving]],2,FALSE)</f>
        <v>Gangen/hallen</v>
      </c>
      <c r="C327" s="255" t="s">
        <v>553</v>
      </c>
      <c r="D327" s="254" t="s">
        <v>13</v>
      </c>
      <c r="E327" s="255" t="s">
        <v>1312</v>
      </c>
      <c r="F327" s="255" t="s">
        <v>1365</v>
      </c>
      <c r="G327" s="260" t="s">
        <v>283</v>
      </c>
      <c r="H327" s="256" t="s">
        <v>283</v>
      </c>
      <c r="I327" s="256" t="s">
        <v>15</v>
      </c>
      <c r="J327" s="256" t="s">
        <v>283</v>
      </c>
      <c r="K327" s="256" t="s">
        <v>15</v>
      </c>
      <c r="L327" s="256" t="s">
        <v>283</v>
      </c>
      <c r="M327" s="256" t="s">
        <v>283</v>
      </c>
      <c r="N327" s="256" t="s">
        <v>283</v>
      </c>
      <c r="O327" s="257" t="s">
        <v>15</v>
      </c>
      <c r="P327" s="257" t="s">
        <v>15</v>
      </c>
      <c r="Q327" s="257" t="s">
        <v>15</v>
      </c>
      <c r="R327" s="257" t="s">
        <v>15</v>
      </c>
      <c r="S327" s="257" t="s">
        <v>16</v>
      </c>
      <c r="T327" s="257" t="s">
        <v>330</v>
      </c>
      <c r="U327" s="257" t="s">
        <v>250</v>
      </c>
      <c r="V327" s="257" t="s">
        <v>283</v>
      </c>
      <c r="W327" s="258" t="s">
        <v>283</v>
      </c>
      <c r="X327" s="258" t="s">
        <v>283</v>
      </c>
      <c r="Y327" s="259" t="s">
        <v>283</v>
      </c>
    </row>
    <row r="328" spans="1:25">
      <c r="A328" s="253">
        <v>6</v>
      </c>
      <c r="B328" s="254" t="str">
        <f>VLOOKUP(Tabel10[[#This Row],[Code]],Ruimtegroepen[[Code]:[Ruimte omschrijving]],2,FALSE)</f>
        <v>Gangen/hallen</v>
      </c>
      <c r="C328" s="255" t="s">
        <v>558</v>
      </c>
      <c r="D328" s="254" t="s">
        <v>0</v>
      </c>
      <c r="E328" s="255" t="s">
        <v>100</v>
      </c>
      <c r="F328" s="255" t="s">
        <v>559</v>
      </c>
      <c r="G328" s="260" t="s">
        <v>283</v>
      </c>
      <c r="H328" s="256" t="s">
        <v>283</v>
      </c>
      <c r="I328" s="256" t="s">
        <v>283</v>
      </c>
      <c r="J328" s="256" t="s">
        <v>16</v>
      </c>
      <c r="K328" s="256" t="s">
        <v>283</v>
      </c>
      <c r="L328" s="256" t="s">
        <v>283</v>
      </c>
      <c r="M328" s="256" t="s">
        <v>283</v>
      </c>
      <c r="N328" s="256" t="s">
        <v>283</v>
      </c>
      <c r="O328" s="257" t="s">
        <v>16</v>
      </c>
      <c r="P328" s="257" t="s">
        <v>16</v>
      </c>
      <c r="Q328" s="257" t="s">
        <v>16</v>
      </c>
      <c r="R328" s="257" t="s">
        <v>16</v>
      </c>
      <c r="S328" s="257" t="s">
        <v>16</v>
      </c>
      <c r="T328" s="257" t="s">
        <v>330</v>
      </c>
      <c r="U328" s="257" t="s">
        <v>250</v>
      </c>
      <c r="V328" s="257" t="s">
        <v>283</v>
      </c>
      <c r="W328" s="258" t="s">
        <v>283</v>
      </c>
      <c r="X328" s="258" t="s">
        <v>283</v>
      </c>
      <c r="Y328" s="259" t="s">
        <v>283</v>
      </c>
    </row>
    <row r="329" spans="1:25">
      <c r="A329" s="253">
        <v>6</v>
      </c>
      <c r="B329" s="254" t="str">
        <f>VLOOKUP(Tabel10[[#This Row],[Code]],Ruimtegroepen[[Code]:[Ruimte omschrijving]],2,FALSE)</f>
        <v>Gangen/hallen</v>
      </c>
      <c r="C329" s="255" t="s">
        <v>558</v>
      </c>
      <c r="D329" s="254" t="s">
        <v>0</v>
      </c>
      <c r="E329" s="255" t="s">
        <v>99</v>
      </c>
      <c r="F329" s="255" t="s">
        <v>560</v>
      </c>
      <c r="G329" s="260" t="s">
        <v>283</v>
      </c>
      <c r="H329" s="256" t="s">
        <v>16</v>
      </c>
      <c r="I329" s="256" t="s">
        <v>283</v>
      </c>
      <c r="J329" s="256" t="s">
        <v>283</v>
      </c>
      <c r="K329" s="256" t="s">
        <v>283</v>
      </c>
      <c r="L329" s="256" t="s">
        <v>283</v>
      </c>
      <c r="M329" s="256" t="s">
        <v>283</v>
      </c>
      <c r="N329" s="256" t="s">
        <v>283</v>
      </c>
      <c r="O329" s="257" t="s">
        <v>16</v>
      </c>
      <c r="P329" s="257" t="s">
        <v>16</v>
      </c>
      <c r="Q329" s="257" t="s">
        <v>16</v>
      </c>
      <c r="R329" s="257" t="s">
        <v>16</v>
      </c>
      <c r="S329" s="257" t="s">
        <v>16</v>
      </c>
      <c r="T329" s="257" t="s">
        <v>330</v>
      </c>
      <c r="U329" s="257" t="s">
        <v>250</v>
      </c>
      <c r="V329" s="257" t="s">
        <v>283</v>
      </c>
      <c r="W329" s="258" t="s">
        <v>283</v>
      </c>
      <c r="X329" s="258" t="s">
        <v>283</v>
      </c>
      <c r="Y329" s="259" t="s">
        <v>283</v>
      </c>
    </row>
    <row r="330" spans="1:25">
      <c r="A330" s="253">
        <v>6</v>
      </c>
      <c r="B330" s="254" t="str">
        <f>VLOOKUP(Tabel10[[#This Row],[Code]],Ruimtegroepen[[Code]:[Ruimte omschrijving]],2,FALSE)</f>
        <v>Gangen/hallen</v>
      </c>
      <c r="C330" s="255" t="s">
        <v>558</v>
      </c>
      <c r="D330" s="254" t="s">
        <v>0</v>
      </c>
      <c r="E330" s="255" t="s">
        <v>101</v>
      </c>
      <c r="F330" s="255" t="s">
        <v>561</v>
      </c>
      <c r="G330" s="260" t="s">
        <v>283</v>
      </c>
      <c r="H330" s="256" t="s">
        <v>283</v>
      </c>
      <c r="I330" s="256" t="s">
        <v>16</v>
      </c>
      <c r="J330" s="256" t="s">
        <v>362</v>
      </c>
      <c r="K330" s="256" t="s">
        <v>16</v>
      </c>
      <c r="L330" s="256" t="s">
        <v>283</v>
      </c>
      <c r="M330" s="256" t="s">
        <v>283</v>
      </c>
      <c r="N330" s="256" t="s">
        <v>283</v>
      </c>
      <c r="O330" s="257" t="s">
        <v>16</v>
      </c>
      <c r="P330" s="257" t="s">
        <v>16</v>
      </c>
      <c r="Q330" s="257" t="s">
        <v>16</v>
      </c>
      <c r="R330" s="257" t="s">
        <v>16</v>
      </c>
      <c r="S330" s="257" t="s">
        <v>16</v>
      </c>
      <c r="T330" s="257" t="s">
        <v>330</v>
      </c>
      <c r="U330" s="257" t="s">
        <v>250</v>
      </c>
      <c r="V330" s="257" t="s">
        <v>283</v>
      </c>
      <c r="W330" s="258" t="s">
        <v>283</v>
      </c>
      <c r="X330" s="258" t="s">
        <v>283</v>
      </c>
      <c r="Y330" s="259" t="s">
        <v>283</v>
      </c>
    </row>
    <row r="331" spans="1:25">
      <c r="A331" s="253">
        <v>6</v>
      </c>
      <c r="B331" s="254" t="str">
        <f>VLOOKUP(Tabel10[[#This Row],[Code]],Ruimtegroepen[[Code]:[Ruimte omschrijving]],2,FALSE)</f>
        <v>Gangen/hallen</v>
      </c>
      <c r="C331" s="255" t="s">
        <v>558</v>
      </c>
      <c r="D331" s="254" t="s">
        <v>0</v>
      </c>
      <c r="E331" s="255" t="s">
        <v>102</v>
      </c>
      <c r="F331" s="255" t="s">
        <v>562</v>
      </c>
      <c r="G331" s="260" t="s">
        <v>283</v>
      </c>
      <c r="H331" s="256" t="s">
        <v>283</v>
      </c>
      <c r="I331" s="256" t="s">
        <v>16</v>
      </c>
      <c r="J331" s="256" t="s">
        <v>283</v>
      </c>
      <c r="K331" s="256" t="s">
        <v>16</v>
      </c>
      <c r="L331" s="256" t="s">
        <v>283</v>
      </c>
      <c r="M331" s="256" t="s">
        <v>283</v>
      </c>
      <c r="N331" s="256" t="s">
        <v>283</v>
      </c>
      <c r="O331" s="257" t="s">
        <v>16</v>
      </c>
      <c r="P331" s="257" t="s">
        <v>16</v>
      </c>
      <c r="Q331" s="257" t="s">
        <v>16</v>
      </c>
      <c r="R331" s="257" t="s">
        <v>16</v>
      </c>
      <c r="S331" s="257" t="s">
        <v>16</v>
      </c>
      <c r="T331" s="257" t="s">
        <v>330</v>
      </c>
      <c r="U331" s="257" t="s">
        <v>250</v>
      </c>
      <c r="V331" s="257" t="s">
        <v>283</v>
      </c>
      <c r="W331" s="258" t="s">
        <v>283</v>
      </c>
      <c r="X331" s="258" t="s">
        <v>283</v>
      </c>
      <c r="Y331" s="259" t="s">
        <v>283</v>
      </c>
    </row>
    <row r="332" spans="1:25">
      <c r="A332" s="253">
        <v>6</v>
      </c>
      <c r="B332" s="254" t="str">
        <f>VLOOKUP(Tabel10[[#This Row],[Code]],Ruimtegroepen[[Code]:[Ruimte omschrijving]],2,FALSE)</f>
        <v>Gangen/hallen</v>
      </c>
      <c r="C332" s="255" t="s">
        <v>558</v>
      </c>
      <c r="D332" s="254" t="s">
        <v>0</v>
      </c>
      <c r="E332" s="255" t="s">
        <v>99</v>
      </c>
      <c r="F332" s="255" t="s">
        <v>560</v>
      </c>
      <c r="G332" s="260" t="s">
        <v>283</v>
      </c>
      <c r="H332" s="256" t="s">
        <v>16</v>
      </c>
      <c r="I332" s="256" t="s">
        <v>283</v>
      </c>
      <c r="J332" s="256" t="s">
        <v>283</v>
      </c>
      <c r="K332" s="256" t="s">
        <v>283</v>
      </c>
      <c r="L332" s="256" t="s">
        <v>283</v>
      </c>
      <c r="M332" s="256" t="s">
        <v>283</v>
      </c>
      <c r="N332" s="256" t="s">
        <v>283</v>
      </c>
      <c r="O332" s="257" t="s">
        <v>16</v>
      </c>
      <c r="P332" s="257" t="s">
        <v>16</v>
      </c>
      <c r="Q332" s="257" t="s">
        <v>16</v>
      </c>
      <c r="R332" s="257" t="s">
        <v>16</v>
      </c>
      <c r="S332" s="257" t="s">
        <v>16</v>
      </c>
      <c r="T332" s="257" t="s">
        <v>330</v>
      </c>
      <c r="U332" s="257" t="s">
        <v>250</v>
      </c>
      <c r="V332" s="257" t="s">
        <v>283</v>
      </c>
      <c r="W332" s="258" t="s">
        <v>283</v>
      </c>
      <c r="X332" s="258" t="s">
        <v>283</v>
      </c>
      <c r="Y332" s="259" t="s">
        <v>283</v>
      </c>
    </row>
    <row r="333" spans="1:25">
      <c r="A333" s="253">
        <v>6</v>
      </c>
      <c r="B333" s="254" t="str">
        <f>VLOOKUP(Tabel10[[#This Row],[Code]],Ruimtegroepen[[Code]:[Ruimte omschrijving]],2,FALSE)</f>
        <v>Gangen/hallen</v>
      </c>
      <c r="C333" s="255" t="s">
        <v>558</v>
      </c>
      <c r="D333" s="254" t="s">
        <v>0</v>
      </c>
      <c r="E333" s="255" t="s">
        <v>1312</v>
      </c>
      <c r="F333" s="255" t="s">
        <v>1349</v>
      </c>
      <c r="G333" s="260" t="s">
        <v>283</v>
      </c>
      <c r="H333" s="256" t="s">
        <v>283</v>
      </c>
      <c r="I333" s="256" t="s">
        <v>16</v>
      </c>
      <c r="J333" s="256" t="s">
        <v>283</v>
      </c>
      <c r="K333" s="256" t="s">
        <v>16</v>
      </c>
      <c r="L333" s="256" t="s">
        <v>283</v>
      </c>
      <c r="M333" s="256" t="s">
        <v>283</v>
      </c>
      <c r="N333" s="256" t="s">
        <v>283</v>
      </c>
      <c r="O333" s="257" t="s">
        <v>16</v>
      </c>
      <c r="P333" s="257" t="s">
        <v>16</v>
      </c>
      <c r="Q333" s="257" t="s">
        <v>16</v>
      </c>
      <c r="R333" s="257" t="s">
        <v>16</v>
      </c>
      <c r="S333" s="257" t="s">
        <v>16</v>
      </c>
      <c r="T333" s="257" t="s">
        <v>330</v>
      </c>
      <c r="U333" s="257" t="s">
        <v>250</v>
      </c>
      <c r="V333" s="257" t="s">
        <v>283</v>
      </c>
      <c r="W333" s="258" t="s">
        <v>283</v>
      </c>
      <c r="X333" s="258" t="s">
        <v>283</v>
      </c>
      <c r="Y333" s="259" t="s">
        <v>283</v>
      </c>
    </row>
    <row r="334" spans="1:25">
      <c r="A334" s="253">
        <v>6</v>
      </c>
      <c r="B334" s="254" t="str">
        <f>VLOOKUP(Tabel10[[#This Row],[Code]],Ruimtegroepen[[Code]:[Ruimte omschrijving]],2,FALSE)</f>
        <v>Gangen/hallen</v>
      </c>
      <c r="C334" s="255" t="s">
        <v>563</v>
      </c>
      <c r="D334" s="254" t="s">
        <v>27</v>
      </c>
      <c r="E334" s="255" t="s">
        <v>100</v>
      </c>
      <c r="F334" s="255" t="s">
        <v>564</v>
      </c>
      <c r="G334" s="260" t="s">
        <v>283</v>
      </c>
      <c r="H334" s="256" t="s">
        <v>283</v>
      </c>
      <c r="I334" s="256" t="s">
        <v>15</v>
      </c>
      <c r="J334" s="256" t="s">
        <v>283</v>
      </c>
      <c r="K334" s="256" t="s">
        <v>283</v>
      </c>
      <c r="L334" s="256" t="s">
        <v>283</v>
      </c>
      <c r="M334" s="256" t="s">
        <v>283</v>
      </c>
      <c r="N334" s="256" t="s">
        <v>283</v>
      </c>
      <c r="O334" s="257" t="s">
        <v>15</v>
      </c>
      <c r="P334" s="257" t="s">
        <v>15</v>
      </c>
      <c r="Q334" s="257" t="s">
        <v>15</v>
      </c>
      <c r="R334" s="257" t="s">
        <v>283</v>
      </c>
      <c r="S334" s="257" t="s">
        <v>283</v>
      </c>
      <c r="T334" s="257" t="s">
        <v>283</v>
      </c>
      <c r="U334" s="257" t="s">
        <v>283</v>
      </c>
      <c r="V334" s="257" t="s">
        <v>283</v>
      </c>
      <c r="W334" s="258" t="s">
        <v>283</v>
      </c>
      <c r="X334" s="258" t="s">
        <v>283</v>
      </c>
      <c r="Y334" s="259" t="s">
        <v>283</v>
      </c>
    </row>
    <row r="335" spans="1:25">
      <c r="A335" s="253">
        <v>6</v>
      </c>
      <c r="B335" s="254" t="str">
        <f>VLOOKUP(Tabel10[[#This Row],[Code]],Ruimtegroepen[[Code]:[Ruimte omschrijving]],2,FALSE)</f>
        <v>Gangen/hallen</v>
      </c>
      <c r="C335" s="255" t="s">
        <v>563</v>
      </c>
      <c r="D335" s="254" t="s">
        <v>27</v>
      </c>
      <c r="E335" s="255" t="s">
        <v>99</v>
      </c>
      <c r="F335" s="255" t="s">
        <v>565</v>
      </c>
      <c r="G335" s="260" t="s">
        <v>283</v>
      </c>
      <c r="H335" s="256" t="s">
        <v>15</v>
      </c>
      <c r="I335" s="256" t="s">
        <v>283</v>
      </c>
      <c r="J335" s="256" t="s">
        <v>283</v>
      </c>
      <c r="K335" s="256" t="s">
        <v>283</v>
      </c>
      <c r="L335" s="256" t="s">
        <v>283</v>
      </c>
      <c r="M335" s="256" t="s">
        <v>283</v>
      </c>
      <c r="N335" s="256" t="s">
        <v>283</v>
      </c>
      <c r="O335" s="257" t="s">
        <v>15</v>
      </c>
      <c r="P335" s="257" t="s">
        <v>15</v>
      </c>
      <c r="Q335" s="257" t="s">
        <v>15</v>
      </c>
      <c r="R335" s="257" t="s">
        <v>283</v>
      </c>
      <c r="S335" s="257" t="s">
        <v>283</v>
      </c>
      <c r="T335" s="257" t="s">
        <v>283</v>
      </c>
      <c r="U335" s="257" t="s">
        <v>283</v>
      </c>
      <c r="V335" s="257" t="s">
        <v>283</v>
      </c>
      <c r="W335" s="258" t="s">
        <v>283</v>
      </c>
      <c r="X335" s="258" t="s">
        <v>283</v>
      </c>
      <c r="Y335" s="259" t="s">
        <v>283</v>
      </c>
    </row>
    <row r="336" spans="1:25">
      <c r="A336" s="253">
        <v>6</v>
      </c>
      <c r="B336" s="254" t="str">
        <f>VLOOKUP(Tabel10[[#This Row],[Code]],Ruimtegroepen[[Code]:[Ruimte omschrijving]],2,FALSE)</f>
        <v>Gangen/hallen</v>
      </c>
      <c r="C336" s="255" t="s">
        <v>563</v>
      </c>
      <c r="D336" s="254" t="s">
        <v>27</v>
      </c>
      <c r="E336" s="255" t="s">
        <v>101</v>
      </c>
      <c r="F336" s="255" t="s">
        <v>566</v>
      </c>
      <c r="G336" s="260" t="s">
        <v>283</v>
      </c>
      <c r="H336" s="256" t="s">
        <v>283</v>
      </c>
      <c r="I336" s="256" t="s">
        <v>15</v>
      </c>
      <c r="J336" s="256" t="s">
        <v>283</v>
      </c>
      <c r="K336" s="256" t="s">
        <v>283</v>
      </c>
      <c r="L336" s="256" t="s">
        <v>283</v>
      </c>
      <c r="M336" s="256" t="s">
        <v>283</v>
      </c>
      <c r="N336" s="256" t="s">
        <v>283</v>
      </c>
      <c r="O336" s="257" t="s">
        <v>15</v>
      </c>
      <c r="P336" s="257" t="s">
        <v>15</v>
      </c>
      <c r="Q336" s="257" t="s">
        <v>15</v>
      </c>
      <c r="R336" s="257" t="s">
        <v>283</v>
      </c>
      <c r="S336" s="257" t="s">
        <v>283</v>
      </c>
      <c r="T336" s="257" t="s">
        <v>283</v>
      </c>
      <c r="U336" s="257" t="s">
        <v>283</v>
      </c>
      <c r="V336" s="257" t="s">
        <v>283</v>
      </c>
      <c r="W336" s="258" t="s">
        <v>283</v>
      </c>
      <c r="X336" s="258" t="s">
        <v>283</v>
      </c>
      <c r="Y336" s="259" t="s">
        <v>283</v>
      </c>
    </row>
    <row r="337" spans="1:25">
      <c r="A337" s="253">
        <v>6</v>
      </c>
      <c r="B337" s="254" t="str">
        <f>VLOOKUP(Tabel10[[#This Row],[Code]],Ruimtegroepen[[Code]:[Ruimte omschrijving]],2,FALSE)</f>
        <v>Gangen/hallen</v>
      </c>
      <c r="C337" s="255" t="s">
        <v>563</v>
      </c>
      <c r="D337" s="254" t="s">
        <v>27</v>
      </c>
      <c r="E337" s="255" t="s">
        <v>102</v>
      </c>
      <c r="F337" s="255" t="s">
        <v>567</v>
      </c>
      <c r="G337" s="260" t="s">
        <v>283</v>
      </c>
      <c r="H337" s="256" t="s">
        <v>283</v>
      </c>
      <c r="I337" s="256" t="s">
        <v>15</v>
      </c>
      <c r="J337" s="256" t="s">
        <v>283</v>
      </c>
      <c r="K337" s="256" t="s">
        <v>283</v>
      </c>
      <c r="L337" s="256" t="s">
        <v>283</v>
      </c>
      <c r="M337" s="256" t="s">
        <v>283</v>
      </c>
      <c r="N337" s="256" t="s">
        <v>283</v>
      </c>
      <c r="O337" s="257" t="s">
        <v>15</v>
      </c>
      <c r="P337" s="257" t="s">
        <v>15</v>
      </c>
      <c r="Q337" s="257" t="s">
        <v>15</v>
      </c>
      <c r="R337" s="257" t="s">
        <v>283</v>
      </c>
      <c r="S337" s="257" t="s">
        <v>283</v>
      </c>
      <c r="T337" s="257" t="s">
        <v>283</v>
      </c>
      <c r="U337" s="257" t="s">
        <v>283</v>
      </c>
      <c r="V337" s="257" t="s">
        <v>283</v>
      </c>
      <c r="W337" s="258" t="s">
        <v>283</v>
      </c>
      <c r="X337" s="258" t="s">
        <v>283</v>
      </c>
      <c r="Y337" s="259" t="s">
        <v>283</v>
      </c>
    </row>
    <row r="338" spans="1:25">
      <c r="A338" s="253">
        <v>6</v>
      </c>
      <c r="B338" s="254" t="str">
        <f>VLOOKUP(Tabel10[[#This Row],[Code]],Ruimtegroepen[[Code]:[Ruimte omschrijving]],2,FALSE)</f>
        <v>Gangen/hallen</v>
      </c>
      <c r="C338" s="255" t="s">
        <v>563</v>
      </c>
      <c r="D338" s="254" t="s">
        <v>27</v>
      </c>
      <c r="E338" s="255" t="s">
        <v>99</v>
      </c>
      <c r="F338" s="255" t="s">
        <v>565</v>
      </c>
      <c r="G338" s="260" t="s">
        <v>283</v>
      </c>
      <c r="H338" s="256" t="s">
        <v>15</v>
      </c>
      <c r="I338" s="256" t="s">
        <v>283</v>
      </c>
      <c r="J338" s="256" t="s">
        <v>283</v>
      </c>
      <c r="K338" s="256" t="s">
        <v>283</v>
      </c>
      <c r="L338" s="256" t="s">
        <v>283</v>
      </c>
      <c r="M338" s="256" t="s">
        <v>283</v>
      </c>
      <c r="N338" s="256" t="s">
        <v>283</v>
      </c>
      <c r="O338" s="257" t="s">
        <v>15</v>
      </c>
      <c r="P338" s="257" t="s">
        <v>15</v>
      </c>
      <c r="Q338" s="257" t="s">
        <v>15</v>
      </c>
      <c r="R338" s="257" t="s">
        <v>283</v>
      </c>
      <c r="S338" s="257" t="s">
        <v>283</v>
      </c>
      <c r="T338" s="257" t="s">
        <v>283</v>
      </c>
      <c r="U338" s="257" t="s">
        <v>283</v>
      </c>
      <c r="V338" s="257" t="s">
        <v>283</v>
      </c>
      <c r="W338" s="258" t="s">
        <v>283</v>
      </c>
      <c r="X338" s="258" t="s">
        <v>283</v>
      </c>
      <c r="Y338" s="259" t="s">
        <v>283</v>
      </c>
    </row>
    <row r="339" spans="1:25">
      <c r="A339" s="253">
        <v>6</v>
      </c>
      <c r="B339" s="254" t="str">
        <f>VLOOKUP(Tabel10[[#This Row],[Code]],Ruimtegroepen[[Code]:[Ruimte omschrijving]],2,FALSE)</f>
        <v>Gangen/hallen</v>
      </c>
      <c r="C339" s="255" t="s">
        <v>563</v>
      </c>
      <c r="D339" s="254" t="s">
        <v>27</v>
      </c>
      <c r="E339" s="255" t="s">
        <v>1312</v>
      </c>
      <c r="F339" s="255" t="s">
        <v>1382</v>
      </c>
      <c r="G339" s="260" t="s">
        <v>283</v>
      </c>
      <c r="H339" s="256" t="s">
        <v>283</v>
      </c>
      <c r="I339" s="256" t="s">
        <v>15</v>
      </c>
      <c r="J339" s="256" t="s">
        <v>283</v>
      </c>
      <c r="K339" s="256" t="s">
        <v>283</v>
      </c>
      <c r="L339" s="256" t="s">
        <v>283</v>
      </c>
      <c r="M339" s="256" t="s">
        <v>283</v>
      </c>
      <c r="N339" s="256" t="s">
        <v>283</v>
      </c>
      <c r="O339" s="257" t="s">
        <v>15</v>
      </c>
      <c r="P339" s="257" t="s">
        <v>15</v>
      </c>
      <c r="Q339" s="257" t="s">
        <v>15</v>
      </c>
      <c r="R339" s="257" t="s">
        <v>283</v>
      </c>
      <c r="S339" s="257" t="s">
        <v>283</v>
      </c>
      <c r="T339" s="257" t="s">
        <v>283</v>
      </c>
      <c r="U339" s="257" t="s">
        <v>283</v>
      </c>
      <c r="V339" s="257" t="s">
        <v>283</v>
      </c>
      <c r="W339" s="258" t="s">
        <v>283</v>
      </c>
      <c r="X339" s="258" t="s">
        <v>283</v>
      </c>
      <c r="Y339" s="259" t="s">
        <v>283</v>
      </c>
    </row>
    <row r="340" spans="1:25">
      <c r="A340" s="253">
        <v>6</v>
      </c>
      <c r="B340" s="254" t="str">
        <f>VLOOKUP(Tabel10[[#This Row],[Code]],Ruimtegroepen[[Code]:[Ruimte omschrijving]],2,FALSE)</f>
        <v>Gangen/hallen</v>
      </c>
      <c r="C340" s="255" t="s">
        <v>568</v>
      </c>
      <c r="D340" s="254" t="s">
        <v>28</v>
      </c>
      <c r="E340" s="255" t="s">
        <v>100</v>
      </c>
      <c r="F340" s="255" t="s">
        <v>569</v>
      </c>
      <c r="G340" s="260" t="s">
        <v>283</v>
      </c>
      <c r="H340" s="256" t="s">
        <v>283</v>
      </c>
      <c r="I340" s="256" t="s">
        <v>17</v>
      </c>
      <c r="J340" s="256" t="s">
        <v>283</v>
      </c>
      <c r="K340" s="256" t="s">
        <v>283</v>
      </c>
      <c r="L340" s="256" t="s">
        <v>283</v>
      </c>
      <c r="M340" s="256" t="s">
        <v>283</v>
      </c>
      <c r="N340" s="256" t="s">
        <v>283</v>
      </c>
      <c r="O340" s="257" t="s">
        <v>17</v>
      </c>
      <c r="P340" s="257" t="s">
        <v>17</v>
      </c>
      <c r="Q340" s="257" t="s">
        <v>15</v>
      </c>
      <c r="R340" s="257" t="s">
        <v>283</v>
      </c>
      <c r="S340" s="257" t="s">
        <v>283</v>
      </c>
      <c r="T340" s="257" t="s">
        <v>283</v>
      </c>
      <c r="U340" s="257" t="s">
        <v>283</v>
      </c>
      <c r="V340" s="257" t="s">
        <v>283</v>
      </c>
      <c r="W340" s="258" t="s">
        <v>283</v>
      </c>
      <c r="X340" s="258" t="s">
        <v>283</v>
      </c>
      <c r="Y340" s="259" t="s">
        <v>283</v>
      </c>
    </row>
    <row r="341" spans="1:25">
      <c r="A341" s="253">
        <v>6</v>
      </c>
      <c r="B341" s="254" t="str">
        <f>VLOOKUP(Tabel10[[#This Row],[Code]],Ruimtegroepen[[Code]:[Ruimte omschrijving]],2,FALSE)</f>
        <v>Gangen/hallen</v>
      </c>
      <c r="C341" s="255" t="s">
        <v>568</v>
      </c>
      <c r="D341" s="254" t="s">
        <v>28</v>
      </c>
      <c r="E341" s="255" t="s">
        <v>99</v>
      </c>
      <c r="F341" s="255" t="s">
        <v>570</v>
      </c>
      <c r="G341" s="260" t="s">
        <v>283</v>
      </c>
      <c r="H341" s="256" t="s">
        <v>17</v>
      </c>
      <c r="I341" s="256" t="s">
        <v>283</v>
      </c>
      <c r="J341" s="256" t="s">
        <v>283</v>
      </c>
      <c r="K341" s="256" t="s">
        <v>283</v>
      </c>
      <c r="L341" s="256" t="s">
        <v>283</v>
      </c>
      <c r="M341" s="256" t="s">
        <v>283</v>
      </c>
      <c r="N341" s="256" t="s">
        <v>283</v>
      </c>
      <c r="O341" s="257" t="s">
        <v>17</v>
      </c>
      <c r="P341" s="257" t="s">
        <v>17</v>
      </c>
      <c r="Q341" s="257" t="s">
        <v>15</v>
      </c>
      <c r="R341" s="257" t="s">
        <v>283</v>
      </c>
      <c r="S341" s="257" t="s">
        <v>283</v>
      </c>
      <c r="T341" s="257" t="s">
        <v>283</v>
      </c>
      <c r="U341" s="257" t="s">
        <v>283</v>
      </c>
      <c r="V341" s="257" t="s">
        <v>283</v>
      </c>
      <c r="W341" s="258" t="s">
        <v>283</v>
      </c>
      <c r="X341" s="258" t="s">
        <v>283</v>
      </c>
      <c r="Y341" s="259" t="s">
        <v>283</v>
      </c>
    </row>
    <row r="342" spans="1:25">
      <c r="A342" s="253">
        <v>6</v>
      </c>
      <c r="B342" s="254" t="str">
        <f>VLOOKUP(Tabel10[[#This Row],[Code]],Ruimtegroepen[[Code]:[Ruimte omschrijving]],2,FALSE)</f>
        <v>Gangen/hallen</v>
      </c>
      <c r="C342" s="255" t="s">
        <v>568</v>
      </c>
      <c r="D342" s="254" t="s">
        <v>28</v>
      </c>
      <c r="E342" s="255" t="s">
        <v>101</v>
      </c>
      <c r="F342" s="255" t="s">
        <v>571</v>
      </c>
      <c r="G342" s="260" t="s">
        <v>283</v>
      </c>
      <c r="H342" s="256" t="s">
        <v>283</v>
      </c>
      <c r="I342" s="256" t="s">
        <v>17</v>
      </c>
      <c r="J342" s="256" t="s">
        <v>283</v>
      </c>
      <c r="K342" s="256" t="s">
        <v>283</v>
      </c>
      <c r="L342" s="256" t="s">
        <v>283</v>
      </c>
      <c r="M342" s="256" t="s">
        <v>283</v>
      </c>
      <c r="N342" s="256" t="s">
        <v>283</v>
      </c>
      <c r="O342" s="257" t="s">
        <v>17</v>
      </c>
      <c r="P342" s="257" t="s">
        <v>17</v>
      </c>
      <c r="Q342" s="257" t="s">
        <v>15</v>
      </c>
      <c r="R342" s="257" t="s">
        <v>283</v>
      </c>
      <c r="S342" s="257" t="s">
        <v>283</v>
      </c>
      <c r="T342" s="257" t="s">
        <v>283</v>
      </c>
      <c r="U342" s="257" t="s">
        <v>283</v>
      </c>
      <c r="V342" s="257" t="s">
        <v>283</v>
      </c>
      <c r="W342" s="258" t="s">
        <v>283</v>
      </c>
      <c r="X342" s="258" t="s">
        <v>283</v>
      </c>
      <c r="Y342" s="259" t="s">
        <v>283</v>
      </c>
    </row>
    <row r="343" spans="1:25">
      <c r="A343" s="253">
        <v>6</v>
      </c>
      <c r="B343" s="254" t="str">
        <f>VLOOKUP(Tabel10[[#This Row],[Code]],Ruimtegroepen[[Code]:[Ruimte omschrijving]],2,FALSE)</f>
        <v>Gangen/hallen</v>
      </c>
      <c r="C343" s="255" t="s">
        <v>568</v>
      </c>
      <c r="D343" s="254" t="s">
        <v>28</v>
      </c>
      <c r="E343" s="255" t="s">
        <v>102</v>
      </c>
      <c r="F343" s="255" t="s">
        <v>572</v>
      </c>
      <c r="G343" s="260" t="s">
        <v>283</v>
      </c>
      <c r="H343" s="256" t="s">
        <v>283</v>
      </c>
      <c r="I343" s="256" t="s">
        <v>17</v>
      </c>
      <c r="J343" s="256" t="s">
        <v>283</v>
      </c>
      <c r="K343" s="256" t="s">
        <v>283</v>
      </c>
      <c r="L343" s="256" t="s">
        <v>283</v>
      </c>
      <c r="M343" s="256" t="s">
        <v>283</v>
      </c>
      <c r="N343" s="256" t="s">
        <v>283</v>
      </c>
      <c r="O343" s="257" t="s">
        <v>17</v>
      </c>
      <c r="P343" s="257" t="s">
        <v>17</v>
      </c>
      <c r="Q343" s="257" t="s">
        <v>15</v>
      </c>
      <c r="R343" s="257" t="s">
        <v>283</v>
      </c>
      <c r="S343" s="257" t="s">
        <v>283</v>
      </c>
      <c r="T343" s="257" t="s">
        <v>283</v>
      </c>
      <c r="U343" s="257" t="s">
        <v>283</v>
      </c>
      <c r="V343" s="257" t="s">
        <v>283</v>
      </c>
      <c r="W343" s="258" t="s">
        <v>283</v>
      </c>
      <c r="X343" s="258" t="s">
        <v>283</v>
      </c>
      <c r="Y343" s="259" t="s">
        <v>283</v>
      </c>
    </row>
    <row r="344" spans="1:25">
      <c r="A344" s="253">
        <v>6</v>
      </c>
      <c r="B344" s="254" t="str">
        <f>VLOOKUP(Tabel10[[#This Row],[Code]],Ruimtegroepen[[Code]:[Ruimte omschrijving]],2,FALSE)</f>
        <v>Gangen/hallen</v>
      </c>
      <c r="C344" s="255" t="s">
        <v>568</v>
      </c>
      <c r="D344" s="254" t="s">
        <v>28</v>
      </c>
      <c r="E344" s="255" t="s">
        <v>99</v>
      </c>
      <c r="F344" s="255" t="s">
        <v>570</v>
      </c>
      <c r="G344" s="260" t="s">
        <v>283</v>
      </c>
      <c r="H344" s="256" t="s">
        <v>17</v>
      </c>
      <c r="I344" s="256" t="s">
        <v>283</v>
      </c>
      <c r="J344" s="256" t="s">
        <v>283</v>
      </c>
      <c r="K344" s="256" t="s">
        <v>283</v>
      </c>
      <c r="L344" s="256" t="s">
        <v>283</v>
      </c>
      <c r="M344" s="256" t="s">
        <v>283</v>
      </c>
      <c r="N344" s="256" t="s">
        <v>283</v>
      </c>
      <c r="O344" s="257" t="s">
        <v>17</v>
      </c>
      <c r="P344" s="257" t="s">
        <v>17</v>
      </c>
      <c r="Q344" s="257" t="s">
        <v>15</v>
      </c>
      <c r="R344" s="257" t="s">
        <v>283</v>
      </c>
      <c r="S344" s="257" t="s">
        <v>283</v>
      </c>
      <c r="T344" s="257" t="s">
        <v>283</v>
      </c>
      <c r="U344" s="257" t="s">
        <v>283</v>
      </c>
      <c r="V344" s="257" t="s">
        <v>283</v>
      </c>
      <c r="W344" s="258" t="s">
        <v>283</v>
      </c>
      <c r="X344" s="258" t="s">
        <v>283</v>
      </c>
      <c r="Y344" s="259" t="s">
        <v>283</v>
      </c>
    </row>
    <row r="345" spans="1:25">
      <c r="A345" s="253">
        <v>6</v>
      </c>
      <c r="B345" s="254" t="str">
        <f>VLOOKUP(Tabel10[[#This Row],[Code]],Ruimtegroepen[[Code]:[Ruimte omschrijving]],2,FALSE)</f>
        <v>Gangen/hallen</v>
      </c>
      <c r="C345" s="255" t="s">
        <v>568</v>
      </c>
      <c r="D345" s="254" t="s">
        <v>28</v>
      </c>
      <c r="E345" s="255" t="s">
        <v>1312</v>
      </c>
      <c r="F345" s="255" t="s">
        <v>1415</v>
      </c>
      <c r="G345" s="260" t="s">
        <v>283</v>
      </c>
      <c r="H345" s="256" t="s">
        <v>283</v>
      </c>
      <c r="I345" s="256" t="s">
        <v>17</v>
      </c>
      <c r="J345" s="256" t="s">
        <v>283</v>
      </c>
      <c r="K345" s="256" t="s">
        <v>283</v>
      </c>
      <c r="L345" s="256" t="s">
        <v>283</v>
      </c>
      <c r="M345" s="256" t="s">
        <v>283</v>
      </c>
      <c r="N345" s="256" t="s">
        <v>283</v>
      </c>
      <c r="O345" s="257" t="s">
        <v>17</v>
      </c>
      <c r="P345" s="257" t="s">
        <v>17</v>
      </c>
      <c r="Q345" s="257" t="s">
        <v>15</v>
      </c>
      <c r="R345" s="257" t="s">
        <v>283</v>
      </c>
      <c r="S345" s="257" t="s">
        <v>283</v>
      </c>
      <c r="T345" s="257" t="s">
        <v>283</v>
      </c>
      <c r="U345" s="257" t="s">
        <v>283</v>
      </c>
      <c r="V345" s="257" t="s">
        <v>283</v>
      </c>
      <c r="W345" s="258" t="s">
        <v>283</v>
      </c>
      <c r="X345" s="258" t="s">
        <v>283</v>
      </c>
      <c r="Y345" s="259" t="s">
        <v>283</v>
      </c>
    </row>
    <row r="346" spans="1:25">
      <c r="A346" s="253">
        <v>7</v>
      </c>
      <c r="B346" s="254" t="str">
        <f>VLOOKUP(Tabel10[[#This Row],[Code]],Ruimtegroepen[[Code]:[Ruimte omschrijving]],2,FALSE)</f>
        <v>Entree</v>
      </c>
      <c r="C346" s="255" t="s">
        <v>573</v>
      </c>
      <c r="D346" s="254" t="s">
        <v>29</v>
      </c>
      <c r="E346" s="255" t="s">
        <v>100</v>
      </c>
      <c r="F346" s="255" t="s">
        <v>574</v>
      </c>
      <c r="G346" s="260" t="s">
        <v>283</v>
      </c>
      <c r="H346" s="256" t="s">
        <v>283</v>
      </c>
      <c r="I346" s="256" t="s">
        <v>283</v>
      </c>
      <c r="J346" s="256" t="s">
        <v>2</v>
      </c>
      <c r="K346" s="256" t="s">
        <v>283</v>
      </c>
      <c r="L346" s="256" t="s">
        <v>283</v>
      </c>
      <c r="M346" s="256" t="s">
        <v>283</v>
      </c>
      <c r="N346" s="256" t="s">
        <v>2</v>
      </c>
      <c r="O346" s="257" t="s">
        <v>2</v>
      </c>
      <c r="P346" s="257" t="s">
        <v>2</v>
      </c>
      <c r="Q346" s="257" t="s">
        <v>15</v>
      </c>
      <c r="R346" s="257" t="s">
        <v>15</v>
      </c>
      <c r="S346" s="257" t="s">
        <v>16</v>
      </c>
      <c r="T346" s="257" t="s">
        <v>330</v>
      </c>
      <c r="U346" s="257" t="s">
        <v>250</v>
      </c>
      <c r="V346" s="257" t="s">
        <v>2</v>
      </c>
      <c r="W346" s="258" t="s">
        <v>283</v>
      </c>
      <c r="X346" s="258" t="s">
        <v>283</v>
      </c>
      <c r="Y346" s="259" t="s">
        <v>283</v>
      </c>
    </row>
    <row r="347" spans="1:25">
      <c r="A347" s="253">
        <v>7</v>
      </c>
      <c r="B347" s="254" t="str">
        <f>VLOOKUP(Tabel10[[#This Row],[Code]],Ruimtegroepen[[Code]:[Ruimte omschrijving]],2,FALSE)</f>
        <v>Entree</v>
      </c>
      <c r="C347" s="255" t="s">
        <v>573</v>
      </c>
      <c r="D347" s="254" t="s">
        <v>29</v>
      </c>
      <c r="E347" s="255" t="s">
        <v>99</v>
      </c>
      <c r="F347" s="255" t="s">
        <v>575</v>
      </c>
      <c r="G347" s="260" t="s">
        <v>283</v>
      </c>
      <c r="H347" s="256" t="s">
        <v>2</v>
      </c>
      <c r="I347" s="256" t="s">
        <v>283</v>
      </c>
      <c r="J347" s="256" t="s">
        <v>283</v>
      </c>
      <c r="K347" s="256" t="s">
        <v>283</v>
      </c>
      <c r="L347" s="256" t="s">
        <v>283</v>
      </c>
      <c r="M347" s="256" t="s">
        <v>283</v>
      </c>
      <c r="N347" s="256" t="s">
        <v>2</v>
      </c>
      <c r="O347" s="257" t="s">
        <v>2</v>
      </c>
      <c r="P347" s="257" t="s">
        <v>2</v>
      </c>
      <c r="Q347" s="257" t="s">
        <v>15</v>
      </c>
      <c r="R347" s="257" t="s">
        <v>15</v>
      </c>
      <c r="S347" s="257" t="s">
        <v>16</v>
      </c>
      <c r="T347" s="257" t="s">
        <v>330</v>
      </c>
      <c r="U347" s="257" t="s">
        <v>250</v>
      </c>
      <c r="V347" s="257" t="s">
        <v>2</v>
      </c>
      <c r="W347" s="258" t="s">
        <v>283</v>
      </c>
      <c r="X347" s="258" t="s">
        <v>283</v>
      </c>
      <c r="Y347" s="259" t="s">
        <v>283</v>
      </c>
    </row>
    <row r="348" spans="1:25">
      <c r="A348" s="253">
        <v>7</v>
      </c>
      <c r="B348" s="254" t="str">
        <f>VLOOKUP(Tabel10[[#This Row],[Code]],Ruimtegroepen[[Code]:[Ruimte omschrijving]],2,FALSE)</f>
        <v>Entree</v>
      </c>
      <c r="C348" s="255" t="s">
        <v>573</v>
      </c>
      <c r="D348" s="254" t="s">
        <v>29</v>
      </c>
      <c r="E348" s="255" t="s">
        <v>101</v>
      </c>
      <c r="F348" s="255" t="s">
        <v>576</v>
      </c>
      <c r="G348" s="260" t="s">
        <v>283</v>
      </c>
      <c r="H348" s="256" t="s">
        <v>283</v>
      </c>
      <c r="I348" s="256" t="s">
        <v>2</v>
      </c>
      <c r="J348" s="256" t="s">
        <v>283</v>
      </c>
      <c r="K348" s="256" t="s">
        <v>2</v>
      </c>
      <c r="L348" s="256" t="s">
        <v>283</v>
      </c>
      <c r="M348" s="256" t="s">
        <v>283</v>
      </c>
      <c r="N348" s="256" t="s">
        <v>2</v>
      </c>
      <c r="O348" s="257" t="s">
        <v>2</v>
      </c>
      <c r="P348" s="257" t="s">
        <v>2</v>
      </c>
      <c r="Q348" s="257" t="s">
        <v>15</v>
      </c>
      <c r="R348" s="257" t="s">
        <v>15</v>
      </c>
      <c r="S348" s="257" t="s">
        <v>16</v>
      </c>
      <c r="T348" s="257" t="s">
        <v>330</v>
      </c>
      <c r="U348" s="257" t="s">
        <v>250</v>
      </c>
      <c r="V348" s="257" t="s">
        <v>2</v>
      </c>
      <c r="W348" s="258" t="s">
        <v>283</v>
      </c>
      <c r="X348" s="258" t="s">
        <v>283</v>
      </c>
      <c r="Y348" s="259" t="s">
        <v>283</v>
      </c>
    </row>
    <row r="349" spans="1:25">
      <c r="A349" s="253">
        <v>7</v>
      </c>
      <c r="B349" s="254" t="str">
        <f>VLOOKUP(Tabel10[[#This Row],[Code]],Ruimtegroepen[[Code]:[Ruimte omschrijving]],2,FALSE)</f>
        <v>Entree</v>
      </c>
      <c r="C349" s="255" t="s">
        <v>573</v>
      </c>
      <c r="D349" s="254" t="s">
        <v>29</v>
      </c>
      <c r="E349" s="255" t="s">
        <v>102</v>
      </c>
      <c r="F349" s="255" t="s">
        <v>577</v>
      </c>
      <c r="G349" s="260" t="s">
        <v>283</v>
      </c>
      <c r="H349" s="256" t="s">
        <v>283</v>
      </c>
      <c r="I349" s="256" t="s">
        <v>2</v>
      </c>
      <c r="J349" s="256" t="s">
        <v>283</v>
      </c>
      <c r="K349" s="256" t="s">
        <v>2</v>
      </c>
      <c r="L349" s="256" t="s">
        <v>283</v>
      </c>
      <c r="M349" s="256" t="s">
        <v>283</v>
      </c>
      <c r="N349" s="256" t="s">
        <v>2</v>
      </c>
      <c r="O349" s="257" t="s">
        <v>2</v>
      </c>
      <c r="P349" s="257" t="s">
        <v>2</v>
      </c>
      <c r="Q349" s="257" t="s">
        <v>15</v>
      </c>
      <c r="R349" s="257" t="s">
        <v>15</v>
      </c>
      <c r="S349" s="257" t="s">
        <v>16</v>
      </c>
      <c r="T349" s="257" t="s">
        <v>330</v>
      </c>
      <c r="U349" s="257" t="s">
        <v>250</v>
      </c>
      <c r="V349" s="257" t="s">
        <v>2</v>
      </c>
      <c r="W349" s="258" t="s">
        <v>283</v>
      </c>
      <c r="X349" s="258" t="s">
        <v>283</v>
      </c>
      <c r="Y349" s="259" t="s">
        <v>283</v>
      </c>
    </row>
    <row r="350" spans="1:25">
      <c r="A350" s="253">
        <v>7</v>
      </c>
      <c r="B350" s="254" t="str">
        <f>VLOOKUP(Tabel10[[#This Row],[Code]],Ruimtegroepen[[Code]:[Ruimte omschrijving]],2,FALSE)</f>
        <v>Entree</v>
      </c>
      <c r="C350" s="255" t="s">
        <v>573</v>
      </c>
      <c r="D350" s="254" t="s">
        <v>29</v>
      </c>
      <c r="E350" s="255" t="s">
        <v>99</v>
      </c>
      <c r="F350" s="255" t="s">
        <v>575</v>
      </c>
      <c r="G350" s="260" t="s">
        <v>283</v>
      </c>
      <c r="H350" s="256" t="s">
        <v>2</v>
      </c>
      <c r="I350" s="256" t="s">
        <v>283</v>
      </c>
      <c r="J350" s="256" t="s">
        <v>283</v>
      </c>
      <c r="K350" s="256" t="s">
        <v>283</v>
      </c>
      <c r="L350" s="256" t="s">
        <v>283</v>
      </c>
      <c r="M350" s="256" t="s">
        <v>283</v>
      </c>
      <c r="N350" s="256" t="s">
        <v>2</v>
      </c>
      <c r="O350" s="257" t="s">
        <v>2</v>
      </c>
      <c r="P350" s="257" t="s">
        <v>2</v>
      </c>
      <c r="Q350" s="257" t="s">
        <v>15</v>
      </c>
      <c r="R350" s="257" t="s">
        <v>15</v>
      </c>
      <c r="S350" s="257" t="s">
        <v>16</v>
      </c>
      <c r="T350" s="257" t="s">
        <v>330</v>
      </c>
      <c r="U350" s="257" t="s">
        <v>250</v>
      </c>
      <c r="V350" s="257" t="s">
        <v>2</v>
      </c>
      <c r="W350" s="258" t="s">
        <v>283</v>
      </c>
      <c r="X350" s="258" t="s">
        <v>283</v>
      </c>
      <c r="Y350" s="259" t="s">
        <v>283</v>
      </c>
    </row>
    <row r="351" spans="1:25">
      <c r="A351" s="253">
        <v>7</v>
      </c>
      <c r="B351" s="254" t="str">
        <f>VLOOKUP(Tabel10[[#This Row],[Code]],Ruimtegroepen[[Code]:[Ruimte omschrijving]],2,FALSE)</f>
        <v>Entree</v>
      </c>
      <c r="C351" s="255" t="s">
        <v>573</v>
      </c>
      <c r="D351" s="254" t="s">
        <v>29</v>
      </c>
      <c r="E351" s="255" t="s">
        <v>1312</v>
      </c>
      <c r="F351" s="255" t="s">
        <v>1483</v>
      </c>
      <c r="G351" s="260" t="s">
        <v>283</v>
      </c>
      <c r="H351" s="256" t="s">
        <v>283</v>
      </c>
      <c r="I351" s="256" t="s">
        <v>2</v>
      </c>
      <c r="J351" s="256" t="s">
        <v>283</v>
      </c>
      <c r="K351" s="256" t="s">
        <v>2</v>
      </c>
      <c r="L351" s="256" t="s">
        <v>283</v>
      </c>
      <c r="M351" s="256" t="s">
        <v>283</v>
      </c>
      <c r="N351" s="256" t="s">
        <v>2</v>
      </c>
      <c r="O351" s="257" t="s">
        <v>2</v>
      </c>
      <c r="P351" s="257" t="s">
        <v>2</v>
      </c>
      <c r="Q351" s="257" t="s">
        <v>15</v>
      </c>
      <c r="R351" s="257" t="s">
        <v>15</v>
      </c>
      <c r="S351" s="257" t="s">
        <v>16</v>
      </c>
      <c r="T351" s="257" t="s">
        <v>330</v>
      </c>
      <c r="U351" s="257" t="s">
        <v>250</v>
      </c>
      <c r="V351" s="257" t="s">
        <v>2</v>
      </c>
      <c r="W351" s="258" t="s">
        <v>283</v>
      </c>
      <c r="X351" s="258" t="s">
        <v>283</v>
      </c>
      <c r="Y351" s="259" t="s">
        <v>283</v>
      </c>
    </row>
    <row r="352" spans="1:25">
      <c r="A352" s="253">
        <v>7</v>
      </c>
      <c r="B352" s="254" t="str">
        <f>VLOOKUP(Tabel10[[#This Row],[Code]],Ruimtegroepen[[Code]:[Ruimte omschrijving]],2,FALSE)</f>
        <v>Entree</v>
      </c>
      <c r="C352" s="255" t="s">
        <v>578</v>
      </c>
      <c r="D352" s="254" t="s">
        <v>1</v>
      </c>
      <c r="E352" s="255" t="s">
        <v>100</v>
      </c>
      <c r="F352" s="255" t="s">
        <v>579</v>
      </c>
      <c r="G352" s="260" t="s">
        <v>283</v>
      </c>
      <c r="H352" s="256" t="s">
        <v>283</v>
      </c>
      <c r="I352" s="256" t="s">
        <v>283</v>
      </c>
      <c r="J352" s="256" t="s">
        <v>2</v>
      </c>
      <c r="K352" s="256" t="s">
        <v>283</v>
      </c>
      <c r="L352" s="256" t="s">
        <v>283</v>
      </c>
      <c r="M352" s="256" t="s">
        <v>283</v>
      </c>
      <c r="N352" s="256" t="s">
        <v>283</v>
      </c>
      <c r="O352" s="257" t="s">
        <v>2</v>
      </c>
      <c r="P352" s="257" t="s">
        <v>2</v>
      </c>
      <c r="Q352" s="257" t="s">
        <v>15</v>
      </c>
      <c r="R352" s="257" t="s">
        <v>15</v>
      </c>
      <c r="S352" s="257" t="s">
        <v>16</v>
      </c>
      <c r="T352" s="257" t="s">
        <v>330</v>
      </c>
      <c r="U352" s="257" t="s">
        <v>250</v>
      </c>
      <c r="V352" s="257" t="s">
        <v>283</v>
      </c>
      <c r="W352" s="258" t="s">
        <v>283</v>
      </c>
      <c r="X352" s="258" t="s">
        <v>283</v>
      </c>
      <c r="Y352" s="259" t="s">
        <v>283</v>
      </c>
    </row>
    <row r="353" spans="1:25">
      <c r="A353" s="253">
        <v>7</v>
      </c>
      <c r="B353" s="254" t="str">
        <f>VLOOKUP(Tabel10[[#This Row],[Code]],Ruimtegroepen[[Code]:[Ruimte omschrijving]],2,FALSE)</f>
        <v>Entree</v>
      </c>
      <c r="C353" s="255" t="s">
        <v>578</v>
      </c>
      <c r="D353" s="254" t="s">
        <v>1</v>
      </c>
      <c r="E353" s="255" t="s">
        <v>99</v>
      </c>
      <c r="F353" s="255" t="s">
        <v>580</v>
      </c>
      <c r="G353" s="260" t="s">
        <v>283</v>
      </c>
      <c r="H353" s="256" t="s">
        <v>2</v>
      </c>
      <c r="I353" s="256" t="s">
        <v>283</v>
      </c>
      <c r="J353" s="256" t="s">
        <v>283</v>
      </c>
      <c r="K353" s="256" t="s">
        <v>283</v>
      </c>
      <c r="L353" s="256" t="s">
        <v>283</v>
      </c>
      <c r="M353" s="256" t="s">
        <v>283</v>
      </c>
      <c r="N353" s="256" t="s">
        <v>283</v>
      </c>
      <c r="O353" s="257" t="s">
        <v>2</v>
      </c>
      <c r="P353" s="257" t="s">
        <v>2</v>
      </c>
      <c r="Q353" s="257" t="s">
        <v>15</v>
      </c>
      <c r="R353" s="257" t="s">
        <v>15</v>
      </c>
      <c r="S353" s="257" t="s">
        <v>16</v>
      </c>
      <c r="T353" s="257" t="s">
        <v>330</v>
      </c>
      <c r="U353" s="257" t="s">
        <v>250</v>
      </c>
      <c r="V353" s="257" t="s">
        <v>283</v>
      </c>
      <c r="W353" s="258" t="s">
        <v>283</v>
      </c>
      <c r="X353" s="258" t="s">
        <v>283</v>
      </c>
      <c r="Y353" s="259" t="s">
        <v>283</v>
      </c>
    </row>
    <row r="354" spans="1:25">
      <c r="A354" s="253">
        <v>7</v>
      </c>
      <c r="B354" s="254" t="str">
        <f>VLOOKUP(Tabel10[[#This Row],[Code]],Ruimtegroepen[[Code]:[Ruimte omschrijving]],2,FALSE)</f>
        <v>Entree</v>
      </c>
      <c r="C354" s="255" t="s">
        <v>578</v>
      </c>
      <c r="D354" s="254" t="s">
        <v>1</v>
      </c>
      <c r="E354" s="255" t="s">
        <v>101</v>
      </c>
      <c r="F354" s="255" t="s">
        <v>581</v>
      </c>
      <c r="G354" s="260" t="s">
        <v>283</v>
      </c>
      <c r="H354" s="256" t="s">
        <v>283</v>
      </c>
      <c r="I354" s="256" t="s">
        <v>2</v>
      </c>
      <c r="J354" s="256" t="s">
        <v>283</v>
      </c>
      <c r="K354" s="256" t="s">
        <v>2</v>
      </c>
      <c r="L354" s="256" t="s">
        <v>283</v>
      </c>
      <c r="M354" s="256" t="s">
        <v>283</v>
      </c>
      <c r="N354" s="256" t="s">
        <v>283</v>
      </c>
      <c r="O354" s="257" t="s">
        <v>2</v>
      </c>
      <c r="P354" s="257" t="s">
        <v>2</v>
      </c>
      <c r="Q354" s="257" t="s">
        <v>15</v>
      </c>
      <c r="R354" s="257" t="s">
        <v>15</v>
      </c>
      <c r="S354" s="257" t="s">
        <v>16</v>
      </c>
      <c r="T354" s="257" t="s">
        <v>330</v>
      </c>
      <c r="U354" s="257" t="s">
        <v>250</v>
      </c>
      <c r="V354" s="257" t="s">
        <v>283</v>
      </c>
      <c r="W354" s="258" t="s">
        <v>283</v>
      </c>
      <c r="X354" s="258" t="s">
        <v>283</v>
      </c>
      <c r="Y354" s="259" t="s">
        <v>283</v>
      </c>
    </row>
    <row r="355" spans="1:25">
      <c r="A355" s="253">
        <v>7</v>
      </c>
      <c r="B355" s="254" t="str">
        <f>VLOOKUP(Tabel10[[#This Row],[Code]],Ruimtegroepen[[Code]:[Ruimte omschrijving]],2,FALSE)</f>
        <v>Entree</v>
      </c>
      <c r="C355" s="255" t="s">
        <v>578</v>
      </c>
      <c r="D355" s="254" t="s">
        <v>1</v>
      </c>
      <c r="E355" s="255" t="s">
        <v>102</v>
      </c>
      <c r="F355" s="255" t="s">
        <v>582</v>
      </c>
      <c r="G355" s="260" t="s">
        <v>283</v>
      </c>
      <c r="H355" s="256" t="s">
        <v>283</v>
      </c>
      <c r="I355" s="256" t="s">
        <v>2</v>
      </c>
      <c r="J355" s="256" t="s">
        <v>283</v>
      </c>
      <c r="K355" s="256" t="s">
        <v>2</v>
      </c>
      <c r="L355" s="256" t="s">
        <v>283</v>
      </c>
      <c r="M355" s="256" t="s">
        <v>283</v>
      </c>
      <c r="N355" s="256" t="s">
        <v>283</v>
      </c>
      <c r="O355" s="257" t="s">
        <v>2</v>
      </c>
      <c r="P355" s="257" t="s">
        <v>2</v>
      </c>
      <c r="Q355" s="257" t="s">
        <v>15</v>
      </c>
      <c r="R355" s="257" t="s">
        <v>15</v>
      </c>
      <c r="S355" s="257" t="s">
        <v>16</v>
      </c>
      <c r="T355" s="257" t="s">
        <v>330</v>
      </c>
      <c r="U355" s="257" t="s">
        <v>250</v>
      </c>
      <c r="V355" s="257" t="s">
        <v>283</v>
      </c>
      <c r="W355" s="258" t="s">
        <v>283</v>
      </c>
      <c r="X355" s="258" t="s">
        <v>283</v>
      </c>
      <c r="Y355" s="259" t="s">
        <v>283</v>
      </c>
    </row>
    <row r="356" spans="1:25">
      <c r="A356" s="253">
        <v>7</v>
      </c>
      <c r="B356" s="254" t="str">
        <f>VLOOKUP(Tabel10[[#This Row],[Code]],Ruimtegroepen[[Code]:[Ruimte omschrijving]],2,FALSE)</f>
        <v>Entree</v>
      </c>
      <c r="C356" s="255" t="s">
        <v>578</v>
      </c>
      <c r="D356" s="254" t="s">
        <v>1</v>
      </c>
      <c r="E356" s="255" t="s">
        <v>99</v>
      </c>
      <c r="F356" s="255" t="s">
        <v>580</v>
      </c>
      <c r="G356" s="260" t="s">
        <v>283</v>
      </c>
      <c r="H356" s="256" t="s">
        <v>2</v>
      </c>
      <c r="I356" s="256" t="s">
        <v>283</v>
      </c>
      <c r="J356" s="256" t="s">
        <v>283</v>
      </c>
      <c r="K356" s="256" t="s">
        <v>283</v>
      </c>
      <c r="L356" s="256" t="s">
        <v>283</v>
      </c>
      <c r="M356" s="256" t="s">
        <v>283</v>
      </c>
      <c r="N356" s="256" t="s">
        <v>283</v>
      </c>
      <c r="O356" s="257" t="s">
        <v>2</v>
      </c>
      <c r="P356" s="257" t="s">
        <v>2</v>
      </c>
      <c r="Q356" s="257" t="s">
        <v>15</v>
      </c>
      <c r="R356" s="257" t="s">
        <v>15</v>
      </c>
      <c r="S356" s="257" t="s">
        <v>16</v>
      </c>
      <c r="T356" s="257" t="s">
        <v>330</v>
      </c>
      <c r="U356" s="257" t="s">
        <v>250</v>
      </c>
      <c r="V356" s="257" t="s">
        <v>283</v>
      </c>
      <c r="W356" s="258" t="s">
        <v>283</v>
      </c>
      <c r="X356" s="258" t="s">
        <v>283</v>
      </c>
      <c r="Y356" s="259" t="s">
        <v>283</v>
      </c>
    </row>
    <row r="357" spans="1:25">
      <c r="A357" s="253">
        <v>7</v>
      </c>
      <c r="B357" s="254" t="str">
        <f>VLOOKUP(Tabel10[[#This Row],[Code]],Ruimtegroepen[[Code]:[Ruimte omschrijving]],2,FALSE)</f>
        <v>Entree</v>
      </c>
      <c r="C357" s="255" t="s">
        <v>578</v>
      </c>
      <c r="D357" s="254" t="s">
        <v>1</v>
      </c>
      <c r="E357" s="255" t="s">
        <v>1312</v>
      </c>
      <c r="F357" s="255" t="s">
        <v>1467</v>
      </c>
      <c r="G357" s="260" t="s">
        <v>283</v>
      </c>
      <c r="H357" s="256" t="s">
        <v>283</v>
      </c>
      <c r="I357" s="256" t="s">
        <v>2</v>
      </c>
      <c r="J357" s="256" t="s">
        <v>283</v>
      </c>
      <c r="K357" s="256" t="s">
        <v>2</v>
      </c>
      <c r="L357" s="256" t="s">
        <v>283</v>
      </c>
      <c r="M357" s="256" t="s">
        <v>283</v>
      </c>
      <c r="N357" s="256" t="s">
        <v>283</v>
      </c>
      <c r="O357" s="257" t="s">
        <v>2</v>
      </c>
      <c r="P357" s="257" t="s">
        <v>2</v>
      </c>
      <c r="Q357" s="257" t="s">
        <v>15</v>
      </c>
      <c r="R357" s="257" t="s">
        <v>15</v>
      </c>
      <c r="S357" s="257" t="s">
        <v>16</v>
      </c>
      <c r="T357" s="257" t="s">
        <v>330</v>
      </c>
      <c r="U357" s="257" t="s">
        <v>250</v>
      </c>
      <c r="V357" s="257" t="s">
        <v>283</v>
      </c>
      <c r="W357" s="258" t="s">
        <v>283</v>
      </c>
      <c r="X357" s="258" t="s">
        <v>283</v>
      </c>
      <c r="Y357" s="259" t="s">
        <v>283</v>
      </c>
    </row>
    <row r="358" spans="1:25">
      <c r="A358" s="253">
        <v>7</v>
      </c>
      <c r="B358" s="254" t="str">
        <f>VLOOKUP(Tabel10[[#This Row],[Code]],Ruimtegroepen[[Code]:[Ruimte omschrijving]],2,FALSE)</f>
        <v>Entree</v>
      </c>
      <c r="C358" s="255" t="s">
        <v>583</v>
      </c>
      <c r="D358" s="254" t="s">
        <v>21</v>
      </c>
      <c r="E358" s="255" t="s">
        <v>100</v>
      </c>
      <c r="F358" s="255" t="s">
        <v>584</v>
      </c>
      <c r="G358" s="260" t="s">
        <v>283</v>
      </c>
      <c r="H358" s="256" t="s">
        <v>283</v>
      </c>
      <c r="I358" s="256" t="s">
        <v>283</v>
      </c>
      <c r="J358" s="256" t="s">
        <v>20</v>
      </c>
      <c r="K358" s="256" t="s">
        <v>283</v>
      </c>
      <c r="L358" s="256" t="s">
        <v>283</v>
      </c>
      <c r="M358" s="256" t="s">
        <v>283</v>
      </c>
      <c r="N358" s="256" t="s">
        <v>283</v>
      </c>
      <c r="O358" s="257" t="s">
        <v>20</v>
      </c>
      <c r="P358" s="257" t="s">
        <v>20</v>
      </c>
      <c r="Q358" s="257" t="s">
        <v>15</v>
      </c>
      <c r="R358" s="257" t="s">
        <v>15</v>
      </c>
      <c r="S358" s="257" t="s">
        <v>16</v>
      </c>
      <c r="T358" s="257" t="s">
        <v>330</v>
      </c>
      <c r="U358" s="257" t="s">
        <v>250</v>
      </c>
      <c r="V358" s="257" t="s">
        <v>283</v>
      </c>
      <c r="W358" s="258" t="s">
        <v>283</v>
      </c>
      <c r="X358" s="258" t="s">
        <v>283</v>
      </c>
      <c r="Y358" s="259" t="s">
        <v>283</v>
      </c>
    </row>
    <row r="359" spans="1:25">
      <c r="A359" s="253">
        <v>7</v>
      </c>
      <c r="B359" s="254" t="str">
        <f>VLOOKUP(Tabel10[[#This Row],[Code]],Ruimtegroepen[[Code]:[Ruimte omschrijving]],2,FALSE)</f>
        <v>Entree</v>
      </c>
      <c r="C359" s="255" t="s">
        <v>583</v>
      </c>
      <c r="D359" s="254" t="s">
        <v>21</v>
      </c>
      <c r="E359" s="255" t="s">
        <v>99</v>
      </c>
      <c r="F359" s="255" t="s">
        <v>585</v>
      </c>
      <c r="G359" s="260" t="s">
        <v>283</v>
      </c>
      <c r="H359" s="256" t="s">
        <v>20</v>
      </c>
      <c r="I359" s="256" t="s">
        <v>283</v>
      </c>
      <c r="J359" s="256" t="s">
        <v>283</v>
      </c>
      <c r="K359" s="256" t="s">
        <v>283</v>
      </c>
      <c r="L359" s="256" t="s">
        <v>283</v>
      </c>
      <c r="M359" s="256" t="s">
        <v>283</v>
      </c>
      <c r="N359" s="256" t="s">
        <v>283</v>
      </c>
      <c r="O359" s="257" t="s">
        <v>20</v>
      </c>
      <c r="P359" s="257" t="s">
        <v>20</v>
      </c>
      <c r="Q359" s="257" t="s">
        <v>15</v>
      </c>
      <c r="R359" s="257" t="s">
        <v>15</v>
      </c>
      <c r="S359" s="257" t="s">
        <v>16</v>
      </c>
      <c r="T359" s="257" t="s">
        <v>330</v>
      </c>
      <c r="U359" s="257" t="s">
        <v>250</v>
      </c>
      <c r="V359" s="257" t="s">
        <v>283</v>
      </c>
      <c r="W359" s="258" t="s">
        <v>283</v>
      </c>
      <c r="X359" s="258" t="s">
        <v>283</v>
      </c>
      <c r="Y359" s="259" t="s">
        <v>283</v>
      </c>
    </row>
    <row r="360" spans="1:25">
      <c r="A360" s="253">
        <v>7</v>
      </c>
      <c r="B360" s="254" t="str">
        <f>VLOOKUP(Tabel10[[#This Row],[Code]],Ruimtegroepen[[Code]:[Ruimte omschrijving]],2,FALSE)</f>
        <v>Entree</v>
      </c>
      <c r="C360" s="255" t="s">
        <v>583</v>
      </c>
      <c r="D360" s="254" t="s">
        <v>21</v>
      </c>
      <c r="E360" s="255" t="s">
        <v>101</v>
      </c>
      <c r="F360" s="255" t="s">
        <v>586</v>
      </c>
      <c r="G360" s="260" t="s">
        <v>283</v>
      </c>
      <c r="H360" s="256" t="s">
        <v>283</v>
      </c>
      <c r="I360" s="256" t="s">
        <v>20</v>
      </c>
      <c r="J360" s="256" t="s">
        <v>283</v>
      </c>
      <c r="K360" s="256" t="s">
        <v>20</v>
      </c>
      <c r="L360" s="256" t="s">
        <v>283</v>
      </c>
      <c r="M360" s="256" t="s">
        <v>283</v>
      </c>
      <c r="N360" s="256" t="s">
        <v>283</v>
      </c>
      <c r="O360" s="257" t="s">
        <v>20</v>
      </c>
      <c r="P360" s="257" t="s">
        <v>20</v>
      </c>
      <c r="Q360" s="257" t="s">
        <v>15</v>
      </c>
      <c r="R360" s="257" t="s">
        <v>15</v>
      </c>
      <c r="S360" s="257" t="s">
        <v>16</v>
      </c>
      <c r="T360" s="257" t="s">
        <v>330</v>
      </c>
      <c r="U360" s="257" t="s">
        <v>250</v>
      </c>
      <c r="V360" s="257" t="s">
        <v>283</v>
      </c>
      <c r="W360" s="258" t="s">
        <v>283</v>
      </c>
      <c r="X360" s="258" t="s">
        <v>283</v>
      </c>
      <c r="Y360" s="259" t="s">
        <v>283</v>
      </c>
    </row>
    <row r="361" spans="1:25">
      <c r="A361" s="253">
        <v>7</v>
      </c>
      <c r="B361" s="254" t="str">
        <f>VLOOKUP(Tabel10[[#This Row],[Code]],Ruimtegroepen[[Code]:[Ruimte omschrijving]],2,FALSE)</f>
        <v>Entree</v>
      </c>
      <c r="C361" s="255" t="s">
        <v>583</v>
      </c>
      <c r="D361" s="254" t="s">
        <v>21</v>
      </c>
      <c r="E361" s="255" t="s">
        <v>102</v>
      </c>
      <c r="F361" s="255" t="s">
        <v>587</v>
      </c>
      <c r="G361" s="260" t="s">
        <v>283</v>
      </c>
      <c r="H361" s="256" t="s">
        <v>283</v>
      </c>
      <c r="I361" s="256" t="s">
        <v>20</v>
      </c>
      <c r="J361" s="256" t="s">
        <v>283</v>
      </c>
      <c r="K361" s="256" t="s">
        <v>20</v>
      </c>
      <c r="L361" s="256" t="s">
        <v>283</v>
      </c>
      <c r="M361" s="256" t="s">
        <v>283</v>
      </c>
      <c r="N361" s="256" t="s">
        <v>283</v>
      </c>
      <c r="O361" s="257" t="s">
        <v>20</v>
      </c>
      <c r="P361" s="257" t="s">
        <v>20</v>
      </c>
      <c r="Q361" s="257" t="s">
        <v>15</v>
      </c>
      <c r="R361" s="257" t="s">
        <v>15</v>
      </c>
      <c r="S361" s="257" t="s">
        <v>16</v>
      </c>
      <c r="T361" s="257" t="s">
        <v>330</v>
      </c>
      <c r="U361" s="257" t="s">
        <v>250</v>
      </c>
      <c r="V361" s="257" t="s">
        <v>283</v>
      </c>
      <c r="W361" s="258" t="s">
        <v>283</v>
      </c>
      <c r="X361" s="258" t="s">
        <v>283</v>
      </c>
      <c r="Y361" s="259" t="s">
        <v>283</v>
      </c>
    </row>
    <row r="362" spans="1:25">
      <c r="A362" s="253">
        <v>7</v>
      </c>
      <c r="B362" s="254" t="str">
        <f>VLOOKUP(Tabel10[[#This Row],[Code]],Ruimtegroepen[[Code]:[Ruimte omschrijving]],2,FALSE)</f>
        <v>Entree</v>
      </c>
      <c r="C362" s="255" t="s">
        <v>583</v>
      </c>
      <c r="D362" s="254" t="s">
        <v>21</v>
      </c>
      <c r="E362" s="255" t="s">
        <v>99</v>
      </c>
      <c r="F362" s="255" t="s">
        <v>585</v>
      </c>
      <c r="G362" s="260" t="s">
        <v>283</v>
      </c>
      <c r="H362" s="256" t="s">
        <v>20</v>
      </c>
      <c r="I362" s="256" t="s">
        <v>283</v>
      </c>
      <c r="J362" s="256" t="s">
        <v>283</v>
      </c>
      <c r="K362" s="256" t="s">
        <v>283</v>
      </c>
      <c r="L362" s="256" t="s">
        <v>283</v>
      </c>
      <c r="M362" s="256" t="s">
        <v>283</v>
      </c>
      <c r="N362" s="256" t="s">
        <v>283</v>
      </c>
      <c r="O362" s="257" t="s">
        <v>20</v>
      </c>
      <c r="P362" s="257" t="s">
        <v>20</v>
      </c>
      <c r="Q362" s="257" t="s">
        <v>15</v>
      </c>
      <c r="R362" s="257" t="s">
        <v>15</v>
      </c>
      <c r="S362" s="257" t="s">
        <v>16</v>
      </c>
      <c r="T362" s="257" t="s">
        <v>330</v>
      </c>
      <c r="U362" s="257" t="s">
        <v>250</v>
      </c>
      <c r="V362" s="257" t="s">
        <v>283</v>
      </c>
      <c r="W362" s="258" t="s">
        <v>283</v>
      </c>
      <c r="X362" s="258" t="s">
        <v>283</v>
      </c>
      <c r="Y362" s="259" t="s">
        <v>283</v>
      </c>
    </row>
    <row r="363" spans="1:25">
      <c r="A363" s="253">
        <v>7</v>
      </c>
      <c r="B363" s="254" t="str">
        <f>VLOOKUP(Tabel10[[#This Row],[Code]],Ruimtegroepen[[Code]:[Ruimte omschrijving]],2,FALSE)</f>
        <v>Entree</v>
      </c>
      <c r="C363" s="255" t="s">
        <v>583</v>
      </c>
      <c r="D363" s="254" t="s">
        <v>21</v>
      </c>
      <c r="E363" s="255" t="s">
        <v>1312</v>
      </c>
      <c r="F363" s="255" t="s">
        <v>1450</v>
      </c>
      <c r="G363" s="260" t="s">
        <v>283</v>
      </c>
      <c r="H363" s="256" t="s">
        <v>283</v>
      </c>
      <c r="I363" s="256" t="s">
        <v>20</v>
      </c>
      <c r="J363" s="256" t="s">
        <v>283</v>
      </c>
      <c r="K363" s="256" t="s">
        <v>20</v>
      </c>
      <c r="L363" s="256" t="s">
        <v>283</v>
      </c>
      <c r="M363" s="256" t="s">
        <v>283</v>
      </c>
      <c r="N363" s="256" t="s">
        <v>283</v>
      </c>
      <c r="O363" s="257" t="s">
        <v>20</v>
      </c>
      <c r="P363" s="257" t="s">
        <v>20</v>
      </c>
      <c r="Q363" s="257" t="s">
        <v>15</v>
      </c>
      <c r="R363" s="257" t="s">
        <v>15</v>
      </c>
      <c r="S363" s="257" t="s">
        <v>16</v>
      </c>
      <c r="T363" s="257" t="s">
        <v>330</v>
      </c>
      <c r="U363" s="257" t="s">
        <v>250</v>
      </c>
      <c r="V363" s="257" t="s">
        <v>283</v>
      </c>
      <c r="W363" s="258" t="s">
        <v>283</v>
      </c>
      <c r="X363" s="258" t="s">
        <v>283</v>
      </c>
      <c r="Y363" s="259" t="s">
        <v>283</v>
      </c>
    </row>
    <row r="364" spans="1:25">
      <c r="A364" s="253">
        <v>7</v>
      </c>
      <c r="B364" s="254" t="str">
        <f>VLOOKUP(Tabel10[[#This Row],[Code]],Ruimtegroepen[[Code]:[Ruimte omschrijving]],2,FALSE)</f>
        <v>Entree</v>
      </c>
      <c r="C364" s="255" t="s">
        <v>588</v>
      </c>
      <c r="D364" s="254" t="s">
        <v>12</v>
      </c>
      <c r="E364" s="255" t="s">
        <v>100</v>
      </c>
      <c r="F364" s="255" t="s">
        <v>589</v>
      </c>
      <c r="G364" s="260" t="s">
        <v>283</v>
      </c>
      <c r="H364" s="256" t="s">
        <v>283</v>
      </c>
      <c r="I364" s="256" t="s">
        <v>283</v>
      </c>
      <c r="J364" s="256" t="s">
        <v>18</v>
      </c>
      <c r="K364" s="256" t="s">
        <v>283</v>
      </c>
      <c r="L364" s="256" t="s">
        <v>283</v>
      </c>
      <c r="M364" s="256" t="s">
        <v>283</v>
      </c>
      <c r="N364" s="256" t="s">
        <v>283</v>
      </c>
      <c r="O364" s="257" t="s">
        <v>18</v>
      </c>
      <c r="P364" s="257" t="s">
        <v>18</v>
      </c>
      <c r="Q364" s="257" t="s">
        <v>15</v>
      </c>
      <c r="R364" s="257" t="s">
        <v>15</v>
      </c>
      <c r="S364" s="257" t="s">
        <v>16</v>
      </c>
      <c r="T364" s="257" t="s">
        <v>330</v>
      </c>
      <c r="U364" s="257" t="s">
        <v>250</v>
      </c>
      <c r="V364" s="257" t="s">
        <v>283</v>
      </c>
      <c r="W364" s="258" t="s">
        <v>283</v>
      </c>
      <c r="X364" s="258" t="s">
        <v>283</v>
      </c>
      <c r="Y364" s="259" t="s">
        <v>283</v>
      </c>
    </row>
    <row r="365" spans="1:25">
      <c r="A365" s="253">
        <v>7</v>
      </c>
      <c r="B365" s="254" t="str">
        <f>VLOOKUP(Tabel10[[#This Row],[Code]],Ruimtegroepen[[Code]:[Ruimte omschrijving]],2,FALSE)</f>
        <v>Entree</v>
      </c>
      <c r="C365" s="255" t="s">
        <v>588</v>
      </c>
      <c r="D365" s="254" t="s">
        <v>12</v>
      </c>
      <c r="E365" s="255" t="s">
        <v>99</v>
      </c>
      <c r="F365" s="255" t="s">
        <v>590</v>
      </c>
      <c r="G365" s="260" t="s">
        <v>283</v>
      </c>
      <c r="H365" s="256" t="s">
        <v>18</v>
      </c>
      <c r="I365" s="256" t="s">
        <v>283</v>
      </c>
      <c r="J365" s="256" t="s">
        <v>283</v>
      </c>
      <c r="K365" s="256" t="s">
        <v>283</v>
      </c>
      <c r="L365" s="256" t="s">
        <v>283</v>
      </c>
      <c r="M365" s="256" t="s">
        <v>283</v>
      </c>
      <c r="N365" s="256" t="s">
        <v>283</v>
      </c>
      <c r="O365" s="257" t="s">
        <v>18</v>
      </c>
      <c r="P365" s="257" t="s">
        <v>18</v>
      </c>
      <c r="Q365" s="257" t="s">
        <v>15</v>
      </c>
      <c r="R365" s="257" t="s">
        <v>15</v>
      </c>
      <c r="S365" s="257" t="s">
        <v>16</v>
      </c>
      <c r="T365" s="257" t="s">
        <v>330</v>
      </c>
      <c r="U365" s="257" t="s">
        <v>250</v>
      </c>
      <c r="V365" s="257" t="s">
        <v>283</v>
      </c>
      <c r="W365" s="258" t="s">
        <v>283</v>
      </c>
      <c r="X365" s="258" t="s">
        <v>283</v>
      </c>
      <c r="Y365" s="259" t="s">
        <v>283</v>
      </c>
    </row>
    <row r="366" spans="1:25">
      <c r="A366" s="253">
        <v>7</v>
      </c>
      <c r="B366" s="254" t="str">
        <f>VLOOKUP(Tabel10[[#This Row],[Code]],Ruimtegroepen[[Code]:[Ruimte omschrijving]],2,FALSE)</f>
        <v>Entree</v>
      </c>
      <c r="C366" s="255" t="s">
        <v>588</v>
      </c>
      <c r="D366" s="254" t="s">
        <v>12</v>
      </c>
      <c r="E366" s="255" t="s">
        <v>101</v>
      </c>
      <c r="F366" s="255" t="s">
        <v>591</v>
      </c>
      <c r="G366" s="260" t="s">
        <v>283</v>
      </c>
      <c r="H366" s="256" t="s">
        <v>283</v>
      </c>
      <c r="I366" s="256" t="s">
        <v>18</v>
      </c>
      <c r="J366" s="256" t="s">
        <v>283</v>
      </c>
      <c r="K366" s="256" t="s">
        <v>18</v>
      </c>
      <c r="L366" s="256" t="s">
        <v>283</v>
      </c>
      <c r="M366" s="256" t="s">
        <v>283</v>
      </c>
      <c r="N366" s="256" t="s">
        <v>283</v>
      </c>
      <c r="O366" s="257" t="s">
        <v>18</v>
      </c>
      <c r="P366" s="257" t="s">
        <v>18</v>
      </c>
      <c r="Q366" s="257" t="s">
        <v>15</v>
      </c>
      <c r="R366" s="257" t="s">
        <v>15</v>
      </c>
      <c r="S366" s="257" t="s">
        <v>16</v>
      </c>
      <c r="T366" s="257" t="s">
        <v>330</v>
      </c>
      <c r="U366" s="257" t="s">
        <v>250</v>
      </c>
      <c r="V366" s="257" t="s">
        <v>283</v>
      </c>
      <c r="W366" s="258" t="s">
        <v>283</v>
      </c>
      <c r="X366" s="258" t="s">
        <v>283</v>
      </c>
      <c r="Y366" s="259" t="s">
        <v>283</v>
      </c>
    </row>
    <row r="367" spans="1:25">
      <c r="A367" s="253">
        <v>7</v>
      </c>
      <c r="B367" s="254" t="str">
        <f>VLOOKUP(Tabel10[[#This Row],[Code]],Ruimtegroepen[[Code]:[Ruimte omschrijving]],2,FALSE)</f>
        <v>Entree</v>
      </c>
      <c r="C367" s="255" t="s">
        <v>588</v>
      </c>
      <c r="D367" s="254" t="s">
        <v>12</v>
      </c>
      <c r="E367" s="255" t="s">
        <v>102</v>
      </c>
      <c r="F367" s="255" t="s">
        <v>592</v>
      </c>
      <c r="G367" s="260" t="s">
        <v>283</v>
      </c>
      <c r="H367" s="256" t="s">
        <v>283</v>
      </c>
      <c r="I367" s="256" t="s">
        <v>18</v>
      </c>
      <c r="J367" s="256" t="s">
        <v>283</v>
      </c>
      <c r="K367" s="256" t="s">
        <v>18</v>
      </c>
      <c r="L367" s="256" t="s">
        <v>283</v>
      </c>
      <c r="M367" s="256" t="s">
        <v>283</v>
      </c>
      <c r="N367" s="256" t="s">
        <v>283</v>
      </c>
      <c r="O367" s="257" t="s">
        <v>18</v>
      </c>
      <c r="P367" s="257" t="s">
        <v>18</v>
      </c>
      <c r="Q367" s="257" t="s">
        <v>15</v>
      </c>
      <c r="R367" s="257" t="s">
        <v>15</v>
      </c>
      <c r="S367" s="257" t="s">
        <v>16</v>
      </c>
      <c r="T367" s="257" t="s">
        <v>330</v>
      </c>
      <c r="U367" s="257" t="s">
        <v>250</v>
      </c>
      <c r="V367" s="257" t="s">
        <v>283</v>
      </c>
      <c r="W367" s="258" t="s">
        <v>283</v>
      </c>
      <c r="X367" s="258" t="s">
        <v>283</v>
      </c>
      <c r="Y367" s="259" t="s">
        <v>283</v>
      </c>
    </row>
    <row r="368" spans="1:25">
      <c r="A368" s="253">
        <v>7</v>
      </c>
      <c r="B368" s="254" t="str">
        <f>VLOOKUP(Tabel10[[#This Row],[Code]],Ruimtegroepen[[Code]:[Ruimte omschrijving]],2,FALSE)</f>
        <v>Entree</v>
      </c>
      <c r="C368" s="255" t="s">
        <v>588</v>
      </c>
      <c r="D368" s="254" t="s">
        <v>12</v>
      </c>
      <c r="E368" s="255" t="s">
        <v>99</v>
      </c>
      <c r="F368" s="255" t="s">
        <v>590</v>
      </c>
      <c r="G368" s="260" t="s">
        <v>283</v>
      </c>
      <c r="H368" s="256" t="s">
        <v>18</v>
      </c>
      <c r="I368" s="256" t="s">
        <v>283</v>
      </c>
      <c r="J368" s="256" t="s">
        <v>283</v>
      </c>
      <c r="K368" s="256" t="s">
        <v>283</v>
      </c>
      <c r="L368" s="256" t="s">
        <v>283</v>
      </c>
      <c r="M368" s="256" t="s">
        <v>283</v>
      </c>
      <c r="N368" s="256" t="s">
        <v>283</v>
      </c>
      <c r="O368" s="257" t="s">
        <v>18</v>
      </c>
      <c r="P368" s="257" t="s">
        <v>18</v>
      </c>
      <c r="Q368" s="257" t="s">
        <v>15</v>
      </c>
      <c r="R368" s="257" t="s">
        <v>15</v>
      </c>
      <c r="S368" s="257" t="s">
        <v>16</v>
      </c>
      <c r="T368" s="257" t="s">
        <v>330</v>
      </c>
      <c r="U368" s="257" t="s">
        <v>250</v>
      </c>
      <c r="V368" s="257" t="s">
        <v>283</v>
      </c>
      <c r="W368" s="258" t="s">
        <v>283</v>
      </c>
      <c r="X368" s="258" t="s">
        <v>283</v>
      </c>
      <c r="Y368" s="259" t="s">
        <v>283</v>
      </c>
    </row>
    <row r="369" spans="1:25">
      <c r="A369" s="253">
        <v>7</v>
      </c>
      <c r="B369" s="254" t="str">
        <f>VLOOKUP(Tabel10[[#This Row],[Code]],Ruimtegroepen[[Code]:[Ruimte omschrijving]],2,FALSE)</f>
        <v>Entree</v>
      </c>
      <c r="C369" s="255" t="s">
        <v>588</v>
      </c>
      <c r="D369" s="254" t="s">
        <v>12</v>
      </c>
      <c r="E369" s="255" t="s">
        <v>1312</v>
      </c>
      <c r="F369" s="255" t="s">
        <v>1432</v>
      </c>
      <c r="G369" s="260" t="s">
        <v>283</v>
      </c>
      <c r="H369" s="256" t="s">
        <v>283</v>
      </c>
      <c r="I369" s="256" t="s">
        <v>18</v>
      </c>
      <c r="J369" s="256" t="s">
        <v>283</v>
      </c>
      <c r="K369" s="256" t="s">
        <v>18</v>
      </c>
      <c r="L369" s="256" t="s">
        <v>283</v>
      </c>
      <c r="M369" s="256" t="s">
        <v>283</v>
      </c>
      <c r="N369" s="256" t="s">
        <v>283</v>
      </c>
      <c r="O369" s="257" t="s">
        <v>18</v>
      </c>
      <c r="P369" s="257" t="s">
        <v>18</v>
      </c>
      <c r="Q369" s="257" t="s">
        <v>15</v>
      </c>
      <c r="R369" s="257" t="s">
        <v>15</v>
      </c>
      <c r="S369" s="257" t="s">
        <v>16</v>
      </c>
      <c r="T369" s="257" t="s">
        <v>330</v>
      </c>
      <c r="U369" s="257" t="s">
        <v>250</v>
      </c>
      <c r="V369" s="257" t="s">
        <v>283</v>
      </c>
      <c r="W369" s="258" t="s">
        <v>283</v>
      </c>
      <c r="X369" s="258" t="s">
        <v>283</v>
      </c>
      <c r="Y369" s="259" t="s">
        <v>283</v>
      </c>
    </row>
    <row r="370" spans="1:25">
      <c r="A370" s="253">
        <v>7</v>
      </c>
      <c r="B370" s="254" t="str">
        <f>VLOOKUP(Tabel10[[#This Row],[Code]],Ruimtegroepen[[Code]:[Ruimte omschrijving]],2,FALSE)</f>
        <v>Entree</v>
      </c>
      <c r="C370" s="255" t="s">
        <v>593</v>
      </c>
      <c r="D370" s="254" t="s">
        <v>14</v>
      </c>
      <c r="E370" s="255" t="s">
        <v>100</v>
      </c>
      <c r="F370" s="255" t="s">
        <v>594</v>
      </c>
      <c r="G370" s="260" t="s">
        <v>283</v>
      </c>
      <c r="H370" s="256" t="s">
        <v>283</v>
      </c>
      <c r="I370" s="256" t="s">
        <v>17</v>
      </c>
      <c r="J370" s="256" t="s">
        <v>283</v>
      </c>
      <c r="K370" s="256" t="s">
        <v>15</v>
      </c>
      <c r="L370" s="256" t="s">
        <v>283</v>
      </c>
      <c r="M370" s="256" t="s">
        <v>283</v>
      </c>
      <c r="N370" s="256" t="s">
        <v>283</v>
      </c>
      <c r="O370" s="257" t="s">
        <v>17</v>
      </c>
      <c r="P370" s="257" t="s">
        <v>17</v>
      </c>
      <c r="Q370" s="257" t="s">
        <v>15</v>
      </c>
      <c r="R370" s="257" t="s">
        <v>15</v>
      </c>
      <c r="S370" s="257" t="s">
        <v>16</v>
      </c>
      <c r="T370" s="257" t="s">
        <v>330</v>
      </c>
      <c r="U370" s="257" t="s">
        <v>250</v>
      </c>
      <c r="V370" s="257" t="s">
        <v>283</v>
      </c>
      <c r="W370" s="258" t="s">
        <v>283</v>
      </c>
      <c r="X370" s="258" t="s">
        <v>283</v>
      </c>
      <c r="Y370" s="259" t="s">
        <v>283</v>
      </c>
    </row>
    <row r="371" spans="1:25">
      <c r="A371" s="253">
        <v>7</v>
      </c>
      <c r="B371" s="254" t="str">
        <f>VLOOKUP(Tabel10[[#This Row],[Code]],Ruimtegroepen[[Code]:[Ruimte omschrijving]],2,FALSE)</f>
        <v>Entree</v>
      </c>
      <c r="C371" s="255" t="s">
        <v>593</v>
      </c>
      <c r="D371" s="254" t="s">
        <v>14</v>
      </c>
      <c r="E371" s="255" t="s">
        <v>99</v>
      </c>
      <c r="F371" s="255" t="s">
        <v>595</v>
      </c>
      <c r="G371" s="260" t="s">
        <v>283</v>
      </c>
      <c r="H371" s="256" t="s">
        <v>17</v>
      </c>
      <c r="I371" s="256" t="s">
        <v>283</v>
      </c>
      <c r="J371" s="256" t="s">
        <v>283</v>
      </c>
      <c r="K371" s="256" t="s">
        <v>283</v>
      </c>
      <c r="L371" s="256" t="s">
        <v>283</v>
      </c>
      <c r="M371" s="256" t="s">
        <v>283</v>
      </c>
      <c r="N371" s="256" t="s">
        <v>283</v>
      </c>
      <c r="O371" s="257" t="s">
        <v>17</v>
      </c>
      <c r="P371" s="257" t="s">
        <v>17</v>
      </c>
      <c r="Q371" s="257" t="s">
        <v>15</v>
      </c>
      <c r="R371" s="257" t="s">
        <v>15</v>
      </c>
      <c r="S371" s="257" t="s">
        <v>16</v>
      </c>
      <c r="T371" s="257" t="s">
        <v>330</v>
      </c>
      <c r="U371" s="257" t="s">
        <v>250</v>
      </c>
      <c r="V371" s="257" t="s">
        <v>283</v>
      </c>
      <c r="W371" s="258" t="s">
        <v>283</v>
      </c>
      <c r="X371" s="258" t="s">
        <v>283</v>
      </c>
      <c r="Y371" s="259" t="s">
        <v>283</v>
      </c>
    </row>
    <row r="372" spans="1:25">
      <c r="A372" s="253">
        <v>7</v>
      </c>
      <c r="B372" s="254" t="str">
        <f>VLOOKUP(Tabel10[[#This Row],[Code]],Ruimtegroepen[[Code]:[Ruimte omschrijving]],2,FALSE)</f>
        <v>Entree</v>
      </c>
      <c r="C372" s="255" t="s">
        <v>593</v>
      </c>
      <c r="D372" s="254" t="s">
        <v>14</v>
      </c>
      <c r="E372" s="255" t="s">
        <v>101</v>
      </c>
      <c r="F372" s="255" t="s">
        <v>596</v>
      </c>
      <c r="G372" s="260" t="s">
        <v>283</v>
      </c>
      <c r="H372" s="256" t="s">
        <v>283</v>
      </c>
      <c r="I372" s="256" t="s">
        <v>17</v>
      </c>
      <c r="J372" s="256" t="s">
        <v>283</v>
      </c>
      <c r="K372" s="256" t="s">
        <v>17</v>
      </c>
      <c r="L372" s="256" t="s">
        <v>283</v>
      </c>
      <c r="M372" s="256" t="s">
        <v>283</v>
      </c>
      <c r="N372" s="256" t="s">
        <v>283</v>
      </c>
      <c r="O372" s="257" t="s">
        <v>17</v>
      </c>
      <c r="P372" s="257" t="s">
        <v>17</v>
      </c>
      <c r="Q372" s="257" t="s">
        <v>15</v>
      </c>
      <c r="R372" s="257" t="s">
        <v>15</v>
      </c>
      <c r="S372" s="257" t="s">
        <v>16</v>
      </c>
      <c r="T372" s="257" t="s">
        <v>330</v>
      </c>
      <c r="U372" s="257" t="s">
        <v>250</v>
      </c>
      <c r="V372" s="257" t="s">
        <v>283</v>
      </c>
      <c r="W372" s="258" t="s">
        <v>283</v>
      </c>
      <c r="X372" s="258" t="s">
        <v>283</v>
      </c>
      <c r="Y372" s="259" t="s">
        <v>283</v>
      </c>
    </row>
    <row r="373" spans="1:25">
      <c r="A373" s="253">
        <v>7</v>
      </c>
      <c r="B373" s="254" t="str">
        <f>VLOOKUP(Tabel10[[#This Row],[Code]],Ruimtegroepen[[Code]:[Ruimte omschrijving]],2,FALSE)</f>
        <v>Entree</v>
      </c>
      <c r="C373" s="255" t="s">
        <v>593</v>
      </c>
      <c r="D373" s="254" t="s">
        <v>14</v>
      </c>
      <c r="E373" s="255" t="s">
        <v>102</v>
      </c>
      <c r="F373" s="255" t="s">
        <v>597</v>
      </c>
      <c r="G373" s="260" t="s">
        <v>283</v>
      </c>
      <c r="H373" s="256" t="s">
        <v>283</v>
      </c>
      <c r="I373" s="256" t="s">
        <v>17</v>
      </c>
      <c r="J373" s="256" t="s">
        <v>283</v>
      </c>
      <c r="K373" s="256" t="s">
        <v>17</v>
      </c>
      <c r="L373" s="256" t="s">
        <v>283</v>
      </c>
      <c r="M373" s="256" t="s">
        <v>283</v>
      </c>
      <c r="N373" s="256" t="s">
        <v>283</v>
      </c>
      <c r="O373" s="257" t="s">
        <v>17</v>
      </c>
      <c r="P373" s="257" t="s">
        <v>17</v>
      </c>
      <c r="Q373" s="257" t="s">
        <v>15</v>
      </c>
      <c r="R373" s="257" t="s">
        <v>15</v>
      </c>
      <c r="S373" s="257" t="s">
        <v>16</v>
      </c>
      <c r="T373" s="257" t="s">
        <v>330</v>
      </c>
      <c r="U373" s="257" t="s">
        <v>250</v>
      </c>
      <c r="V373" s="257" t="s">
        <v>283</v>
      </c>
      <c r="W373" s="258" t="s">
        <v>283</v>
      </c>
      <c r="X373" s="258" t="s">
        <v>283</v>
      </c>
      <c r="Y373" s="259" t="s">
        <v>283</v>
      </c>
    </row>
    <row r="374" spans="1:25">
      <c r="A374" s="253">
        <v>7</v>
      </c>
      <c r="B374" s="254" t="str">
        <f>VLOOKUP(Tabel10[[#This Row],[Code]],Ruimtegroepen[[Code]:[Ruimte omschrijving]],2,FALSE)</f>
        <v>Entree</v>
      </c>
      <c r="C374" s="255" t="s">
        <v>593</v>
      </c>
      <c r="D374" s="254" t="s">
        <v>14</v>
      </c>
      <c r="E374" s="255" t="s">
        <v>99</v>
      </c>
      <c r="F374" s="255" t="s">
        <v>595</v>
      </c>
      <c r="G374" s="260" t="s">
        <v>283</v>
      </c>
      <c r="H374" s="256" t="s">
        <v>17</v>
      </c>
      <c r="I374" s="256" t="s">
        <v>283</v>
      </c>
      <c r="J374" s="256" t="s">
        <v>283</v>
      </c>
      <c r="K374" s="256" t="s">
        <v>283</v>
      </c>
      <c r="L374" s="256" t="s">
        <v>283</v>
      </c>
      <c r="M374" s="256" t="s">
        <v>283</v>
      </c>
      <c r="N374" s="256" t="s">
        <v>283</v>
      </c>
      <c r="O374" s="257" t="s">
        <v>17</v>
      </c>
      <c r="P374" s="257" t="s">
        <v>17</v>
      </c>
      <c r="Q374" s="257" t="s">
        <v>15</v>
      </c>
      <c r="R374" s="257" t="s">
        <v>15</v>
      </c>
      <c r="S374" s="257" t="s">
        <v>16</v>
      </c>
      <c r="T374" s="257" t="s">
        <v>330</v>
      </c>
      <c r="U374" s="257" t="s">
        <v>250</v>
      </c>
      <c r="V374" s="257" t="s">
        <v>283</v>
      </c>
      <c r="W374" s="258" t="s">
        <v>283</v>
      </c>
      <c r="X374" s="258" t="s">
        <v>283</v>
      </c>
      <c r="Y374" s="259" t="s">
        <v>283</v>
      </c>
    </row>
    <row r="375" spans="1:25">
      <c r="A375" s="253">
        <v>7</v>
      </c>
      <c r="B375" s="254" t="str">
        <f>VLOOKUP(Tabel10[[#This Row],[Code]],Ruimtegroepen[[Code]:[Ruimte omschrijving]],2,FALSE)</f>
        <v>Entree</v>
      </c>
      <c r="C375" s="255" t="s">
        <v>593</v>
      </c>
      <c r="D375" s="254" t="s">
        <v>14</v>
      </c>
      <c r="E375" s="255" t="s">
        <v>1312</v>
      </c>
      <c r="F375" s="255" t="s">
        <v>1399</v>
      </c>
      <c r="G375" s="260" t="s">
        <v>283</v>
      </c>
      <c r="H375" s="256" t="s">
        <v>283</v>
      </c>
      <c r="I375" s="256" t="s">
        <v>17</v>
      </c>
      <c r="J375" s="256" t="s">
        <v>283</v>
      </c>
      <c r="K375" s="256" t="s">
        <v>17</v>
      </c>
      <c r="L375" s="256" t="s">
        <v>283</v>
      </c>
      <c r="M375" s="256" t="s">
        <v>283</v>
      </c>
      <c r="N375" s="256" t="s">
        <v>283</v>
      </c>
      <c r="O375" s="257" t="s">
        <v>17</v>
      </c>
      <c r="P375" s="257" t="s">
        <v>17</v>
      </c>
      <c r="Q375" s="257" t="s">
        <v>15</v>
      </c>
      <c r="R375" s="257" t="s">
        <v>15</v>
      </c>
      <c r="S375" s="257" t="s">
        <v>16</v>
      </c>
      <c r="T375" s="257" t="s">
        <v>330</v>
      </c>
      <c r="U375" s="257" t="s">
        <v>250</v>
      </c>
      <c r="V375" s="257" t="s">
        <v>283</v>
      </c>
      <c r="W375" s="258" t="s">
        <v>283</v>
      </c>
      <c r="X375" s="258" t="s">
        <v>283</v>
      </c>
      <c r="Y375" s="259" t="s">
        <v>283</v>
      </c>
    </row>
    <row r="376" spans="1:25">
      <c r="A376" s="253">
        <v>7</v>
      </c>
      <c r="B376" s="254" t="str">
        <f>VLOOKUP(Tabel10[[#This Row],[Code]],Ruimtegroepen[[Code]:[Ruimte omschrijving]],2,FALSE)</f>
        <v>Entree</v>
      </c>
      <c r="C376" s="255" t="s">
        <v>598</v>
      </c>
      <c r="D376" s="254" t="s">
        <v>13</v>
      </c>
      <c r="E376" s="255" t="s">
        <v>100</v>
      </c>
      <c r="F376" s="255" t="s">
        <v>599</v>
      </c>
      <c r="G376" s="260" t="s">
        <v>283</v>
      </c>
      <c r="H376" s="256" t="s">
        <v>283</v>
      </c>
      <c r="I376" s="256" t="s">
        <v>283</v>
      </c>
      <c r="J376" s="256" t="s">
        <v>15</v>
      </c>
      <c r="K376" s="256" t="s">
        <v>283</v>
      </c>
      <c r="L376" s="256" t="s">
        <v>283</v>
      </c>
      <c r="M376" s="256" t="s">
        <v>283</v>
      </c>
      <c r="N376" s="256" t="s">
        <v>283</v>
      </c>
      <c r="O376" s="257" t="s">
        <v>15</v>
      </c>
      <c r="P376" s="257" t="s">
        <v>15</v>
      </c>
      <c r="Q376" s="257" t="s">
        <v>15</v>
      </c>
      <c r="R376" s="257" t="s">
        <v>15</v>
      </c>
      <c r="S376" s="257" t="s">
        <v>16</v>
      </c>
      <c r="T376" s="257" t="s">
        <v>330</v>
      </c>
      <c r="U376" s="257" t="s">
        <v>250</v>
      </c>
      <c r="V376" s="257" t="s">
        <v>283</v>
      </c>
      <c r="W376" s="258" t="s">
        <v>283</v>
      </c>
      <c r="X376" s="258" t="s">
        <v>283</v>
      </c>
      <c r="Y376" s="259" t="s">
        <v>283</v>
      </c>
    </row>
    <row r="377" spans="1:25">
      <c r="A377" s="253">
        <v>7</v>
      </c>
      <c r="B377" s="254" t="str">
        <f>VLOOKUP(Tabel10[[#This Row],[Code]],Ruimtegroepen[[Code]:[Ruimte omschrijving]],2,FALSE)</f>
        <v>Entree</v>
      </c>
      <c r="C377" s="255" t="s">
        <v>598</v>
      </c>
      <c r="D377" s="254" t="s">
        <v>13</v>
      </c>
      <c r="E377" s="255" t="s">
        <v>99</v>
      </c>
      <c r="F377" s="255" t="s">
        <v>600</v>
      </c>
      <c r="G377" s="260" t="s">
        <v>283</v>
      </c>
      <c r="H377" s="256" t="s">
        <v>15</v>
      </c>
      <c r="I377" s="256" t="s">
        <v>283</v>
      </c>
      <c r="J377" s="256" t="s">
        <v>283</v>
      </c>
      <c r="K377" s="256" t="s">
        <v>283</v>
      </c>
      <c r="L377" s="256" t="s">
        <v>283</v>
      </c>
      <c r="M377" s="256" t="s">
        <v>283</v>
      </c>
      <c r="N377" s="256" t="s">
        <v>283</v>
      </c>
      <c r="O377" s="257" t="s">
        <v>15</v>
      </c>
      <c r="P377" s="257" t="s">
        <v>15</v>
      </c>
      <c r="Q377" s="257" t="s">
        <v>15</v>
      </c>
      <c r="R377" s="257" t="s">
        <v>15</v>
      </c>
      <c r="S377" s="257" t="s">
        <v>16</v>
      </c>
      <c r="T377" s="257" t="s">
        <v>330</v>
      </c>
      <c r="U377" s="257" t="s">
        <v>250</v>
      </c>
      <c r="V377" s="257" t="s">
        <v>283</v>
      </c>
      <c r="W377" s="258" t="s">
        <v>283</v>
      </c>
      <c r="X377" s="258" t="s">
        <v>283</v>
      </c>
      <c r="Y377" s="259" t="s">
        <v>283</v>
      </c>
    </row>
    <row r="378" spans="1:25">
      <c r="A378" s="253">
        <v>7</v>
      </c>
      <c r="B378" s="254" t="str">
        <f>VLOOKUP(Tabel10[[#This Row],[Code]],Ruimtegroepen[[Code]:[Ruimte omschrijving]],2,FALSE)</f>
        <v>Entree</v>
      </c>
      <c r="C378" s="255" t="s">
        <v>598</v>
      </c>
      <c r="D378" s="254" t="s">
        <v>13</v>
      </c>
      <c r="E378" s="255" t="s">
        <v>101</v>
      </c>
      <c r="F378" s="255" t="s">
        <v>601</v>
      </c>
      <c r="G378" s="260" t="s">
        <v>283</v>
      </c>
      <c r="H378" s="256" t="s">
        <v>283</v>
      </c>
      <c r="I378" s="256" t="s">
        <v>15</v>
      </c>
      <c r="J378" s="256" t="s">
        <v>283</v>
      </c>
      <c r="K378" s="256" t="s">
        <v>15</v>
      </c>
      <c r="L378" s="256" t="s">
        <v>283</v>
      </c>
      <c r="M378" s="256" t="s">
        <v>283</v>
      </c>
      <c r="N378" s="256" t="s">
        <v>283</v>
      </c>
      <c r="O378" s="257" t="s">
        <v>15</v>
      </c>
      <c r="P378" s="257" t="s">
        <v>15</v>
      </c>
      <c r="Q378" s="257" t="s">
        <v>15</v>
      </c>
      <c r="R378" s="257" t="s">
        <v>15</v>
      </c>
      <c r="S378" s="257" t="s">
        <v>16</v>
      </c>
      <c r="T378" s="257" t="s">
        <v>330</v>
      </c>
      <c r="U378" s="257" t="s">
        <v>250</v>
      </c>
      <c r="V378" s="257" t="s">
        <v>283</v>
      </c>
      <c r="W378" s="258" t="s">
        <v>283</v>
      </c>
      <c r="X378" s="258" t="s">
        <v>283</v>
      </c>
      <c r="Y378" s="259" t="s">
        <v>283</v>
      </c>
    </row>
    <row r="379" spans="1:25">
      <c r="A379" s="253">
        <v>7</v>
      </c>
      <c r="B379" s="254" t="str">
        <f>VLOOKUP(Tabel10[[#This Row],[Code]],Ruimtegroepen[[Code]:[Ruimte omschrijving]],2,FALSE)</f>
        <v>Entree</v>
      </c>
      <c r="C379" s="255" t="s">
        <v>598</v>
      </c>
      <c r="D379" s="254" t="s">
        <v>13</v>
      </c>
      <c r="E379" s="255" t="s">
        <v>102</v>
      </c>
      <c r="F379" s="255" t="s">
        <v>602</v>
      </c>
      <c r="G379" s="260" t="s">
        <v>283</v>
      </c>
      <c r="H379" s="256" t="s">
        <v>283</v>
      </c>
      <c r="I379" s="256" t="s">
        <v>15</v>
      </c>
      <c r="J379" s="256" t="s">
        <v>283</v>
      </c>
      <c r="K379" s="256" t="s">
        <v>15</v>
      </c>
      <c r="L379" s="256" t="s">
        <v>283</v>
      </c>
      <c r="M379" s="256" t="s">
        <v>283</v>
      </c>
      <c r="N379" s="256" t="s">
        <v>283</v>
      </c>
      <c r="O379" s="257" t="s">
        <v>15</v>
      </c>
      <c r="P379" s="257" t="s">
        <v>15</v>
      </c>
      <c r="Q379" s="257" t="s">
        <v>15</v>
      </c>
      <c r="R379" s="257" t="s">
        <v>15</v>
      </c>
      <c r="S379" s="257" t="s">
        <v>16</v>
      </c>
      <c r="T379" s="257" t="s">
        <v>330</v>
      </c>
      <c r="U379" s="257" t="s">
        <v>250</v>
      </c>
      <c r="V379" s="257" t="s">
        <v>283</v>
      </c>
      <c r="W379" s="258" t="s">
        <v>283</v>
      </c>
      <c r="X379" s="258" t="s">
        <v>283</v>
      </c>
      <c r="Y379" s="259" t="s">
        <v>283</v>
      </c>
    </row>
    <row r="380" spans="1:25">
      <c r="A380" s="253">
        <v>7</v>
      </c>
      <c r="B380" s="254" t="str">
        <f>VLOOKUP(Tabel10[[#This Row],[Code]],Ruimtegroepen[[Code]:[Ruimte omschrijving]],2,FALSE)</f>
        <v>Entree</v>
      </c>
      <c r="C380" s="255" t="s">
        <v>598</v>
      </c>
      <c r="D380" s="254" t="s">
        <v>13</v>
      </c>
      <c r="E380" s="255" t="s">
        <v>99</v>
      </c>
      <c r="F380" s="255" t="s">
        <v>600</v>
      </c>
      <c r="G380" s="260" t="s">
        <v>283</v>
      </c>
      <c r="H380" s="256" t="s">
        <v>15</v>
      </c>
      <c r="I380" s="256" t="s">
        <v>283</v>
      </c>
      <c r="J380" s="256" t="s">
        <v>283</v>
      </c>
      <c r="K380" s="256" t="s">
        <v>283</v>
      </c>
      <c r="L380" s="256" t="s">
        <v>283</v>
      </c>
      <c r="M380" s="256" t="s">
        <v>283</v>
      </c>
      <c r="N380" s="256" t="s">
        <v>283</v>
      </c>
      <c r="O380" s="257" t="s">
        <v>15</v>
      </c>
      <c r="P380" s="257" t="s">
        <v>15</v>
      </c>
      <c r="Q380" s="257" t="s">
        <v>15</v>
      </c>
      <c r="R380" s="257" t="s">
        <v>15</v>
      </c>
      <c r="S380" s="257" t="s">
        <v>16</v>
      </c>
      <c r="T380" s="257" t="s">
        <v>330</v>
      </c>
      <c r="U380" s="257" t="s">
        <v>250</v>
      </c>
      <c r="V380" s="257" t="s">
        <v>283</v>
      </c>
      <c r="W380" s="258" t="s">
        <v>283</v>
      </c>
      <c r="X380" s="258" t="s">
        <v>283</v>
      </c>
      <c r="Y380" s="259" t="s">
        <v>283</v>
      </c>
    </row>
    <row r="381" spans="1:25">
      <c r="A381" s="253">
        <v>7</v>
      </c>
      <c r="B381" s="254" t="str">
        <f>VLOOKUP(Tabel10[[#This Row],[Code]],Ruimtegroepen[[Code]:[Ruimte omschrijving]],2,FALSE)</f>
        <v>Entree</v>
      </c>
      <c r="C381" s="255" t="s">
        <v>598</v>
      </c>
      <c r="D381" s="254" t="s">
        <v>13</v>
      </c>
      <c r="E381" s="255" t="s">
        <v>1312</v>
      </c>
      <c r="F381" s="255" t="s">
        <v>1366</v>
      </c>
      <c r="G381" s="260" t="s">
        <v>283</v>
      </c>
      <c r="H381" s="256" t="s">
        <v>283</v>
      </c>
      <c r="I381" s="256" t="s">
        <v>15</v>
      </c>
      <c r="J381" s="256" t="s">
        <v>283</v>
      </c>
      <c r="K381" s="256" t="s">
        <v>15</v>
      </c>
      <c r="L381" s="256" t="s">
        <v>283</v>
      </c>
      <c r="M381" s="256" t="s">
        <v>283</v>
      </c>
      <c r="N381" s="256" t="s">
        <v>283</v>
      </c>
      <c r="O381" s="257" t="s">
        <v>15</v>
      </c>
      <c r="P381" s="257" t="s">
        <v>15</v>
      </c>
      <c r="Q381" s="257" t="s">
        <v>15</v>
      </c>
      <c r="R381" s="257" t="s">
        <v>15</v>
      </c>
      <c r="S381" s="257" t="s">
        <v>16</v>
      </c>
      <c r="T381" s="257" t="s">
        <v>330</v>
      </c>
      <c r="U381" s="257" t="s">
        <v>250</v>
      </c>
      <c r="V381" s="257" t="s">
        <v>283</v>
      </c>
      <c r="W381" s="258" t="s">
        <v>283</v>
      </c>
      <c r="X381" s="258" t="s">
        <v>283</v>
      </c>
      <c r="Y381" s="259" t="s">
        <v>283</v>
      </c>
    </row>
    <row r="382" spans="1:25">
      <c r="A382" s="253">
        <v>7</v>
      </c>
      <c r="B382" s="254" t="str">
        <f>VLOOKUP(Tabel10[[#This Row],[Code]],Ruimtegroepen[[Code]:[Ruimte omschrijving]],2,FALSE)</f>
        <v>Entree</v>
      </c>
      <c r="C382" s="255" t="s">
        <v>603</v>
      </c>
      <c r="D382" s="254" t="s">
        <v>0</v>
      </c>
      <c r="E382" s="255" t="s">
        <v>100</v>
      </c>
      <c r="F382" s="255" t="s">
        <v>604</v>
      </c>
      <c r="G382" s="260" t="s">
        <v>283</v>
      </c>
      <c r="H382" s="256" t="s">
        <v>283</v>
      </c>
      <c r="I382" s="256" t="s">
        <v>283</v>
      </c>
      <c r="J382" s="256" t="s">
        <v>16</v>
      </c>
      <c r="K382" s="256" t="s">
        <v>283</v>
      </c>
      <c r="L382" s="256" t="s">
        <v>283</v>
      </c>
      <c r="M382" s="256" t="s">
        <v>283</v>
      </c>
      <c r="N382" s="256" t="s">
        <v>283</v>
      </c>
      <c r="O382" s="257" t="s">
        <v>16</v>
      </c>
      <c r="P382" s="257" t="s">
        <v>16</v>
      </c>
      <c r="Q382" s="257" t="s">
        <v>16</v>
      </c>
      <c r="R382" s="257" t="s">
        <v>16</v>
      </c>
      <c r="S382" s="257" t="s">
        <v>16</v>
      </c>
      <c r="T382" s="257" t="s">
        <v>330</v>
      </c>
      <c r="U382" s="257" t="s">
        <v>250</v>
      </c>
      <c r="V382" s="257" t="s">
        <v>283</v>
      </c>
      <c r="W382" s="258" t="s">
        <v>283</v>
      </c>
      <c r="X382" s="258" t="s">
        <v>283</v>
      </c>
      <c r="Y382" s="259" t="s">
        <v>283</v>
      </c>
    </row>
    <row r="383" spans="1:25">
      <c r="A383" s="253">
        <v>7</v>
      </c>
      <c r="B383" s="254" t="str">
        <f>VLOOKUP(Tabel10[[#This Row],[Code]],Ruimtegroepen[[Code]:[Ruimte omschrijving]],2,FALSE)</f>
        <v>Entree</v>
      </c>
      <c r="C383" s="255" t="s">
        <v>603</v>
      </c>
      <c r="D383" s="254" t="s">
        <v>0</v>
      </c>
      <c r="E383" s="255" t="s">
        <v>99</v>
      </c>
      <c r="F383" s="255" t="s">
        <v>605</v>
      </c>
      <c r="G383" s="260" t="s">
        <v>283</v>
      </c>
      <c r="H383" s="256" t="s">
        <v>16</v>
      </c>
      <c r="I383" s="256" t="s">
        <v>283</v>
      </c>
      <c r="J383" s="256" t="s">
        <v>283</v>
      </c>
      <c r="K383" s="256" t="s">
        <v>283</v>
      </c>
      <c r="L383" s="256" t="s">
        <v>283</v>
      </c>
      <c r="M383" s="256" t="s">
        <v>283</v>
      </c>
      <c r="N383" s="256" t="s">
        <v>283</v>
      </c>
      <c r="O383" s="257" t="s">
        <v>16</v>
      </c>
      <c r="P383" s="257" t="s">
        <v>16</v>
      </c>
      <c r="Q383" s="257" t="s">
        <v>16</v>
      </c>
      <c r="R383" s="257" t="s">
        <v>16</v>
      </c>
      <c r="S383" s="257" t="s">
        <v>16</v>
      </c>
      <c r="T383" s="257" t="s">
        <v>330</v>
      </c>
      <c r="U383" s="257" t="s">
        <v>250</v>
      </c>
      <c r="V383" s="257" t="s">
        <v>283</v>
      </c>
      <c r="W383" s="258" t="s">
        <v>283</v>
      </c>
      <c r="X383" s="258" t="s">
        <v>283</v>
      </c>
      <c r="Y383" s="259" t="s">
        <v>283</v>
      </c>
    </row>
    <row r="384" spans="1:25">
      <c r="A384" s="253">
        <v>7</v>
      </c>
      <c r="B384" s="254" t="str">
        <f>VLOOKUP(Tabel10[[#This Row],[Code]],Ruimtegroepen[[Code]:[Ruimte omschrijving]],2,FALSE)</f>
        <v>Entree</v>
      </c>
      <c r="C384" s="255" t="s">
        <v>603</v>
      </c>
      <c r="D384" s="254" t="s">
        <v>0</v>
      </c>
      <c r="E384" s="255" t="s">
        <v>101</v>
      </c>
      <c r="F384" s="255" t="s">
        <v>606</v>
      </c>
      <c r="G384" s="260" t="s">
        <v>283</v>
      </c>
      <c r="H384" s="256" t="s">
        <v>283</v>
      </c>
      <c r="I384" s="256" t="s">
        <v>16</v>
      </c>
      <c r="J384" s="256" t="s">
        <v>283</v>
      </c>
      <c r="K384" s="256" t="s">
        <v>16</v>
      </c>
      <c r="L384" s="256" t="s">
        <v>283</v>
      </c>
      <c r="M384" s="256" t="s">
        <v>283</v>
      </c>
      <c r="N384" s="256" t="s">
        <v>283</v>
      </c>
      <c r="O384" s="257" t="s">
        <v>16</v>
      </c>
      <c r="P384" s="257" t="s">
        <v>16</v>
      </c>
      <c r="Q384" s="257" t="s">
        <v>16</v>
      </c>
      <c r="R384" s="257" t="s">
        <v>16</v>
      </c>
      <c r="S384" s="257" t="s">
        <v>16</v>
      </c>
      <c r="T384" s="257" t="s">
        <v>330</v>
      </c>
      <c r="U384" s="257" t="s">
        <v>250</v>
      </c>
      <c r="V384" s="257" t="s">
        <v>283</v>
      </c>
      <c r="W384" s="258" t="s">
        <v>283</v>
      </c>
      <c r="X384" s="258" t="s">
        <v>283</v>
      </c>
      <c r="Y384" s="259" t="s">
        <v>283</v>
      </c>
    </row>
    <row r="385" spans="1:25">
      <c r="A385" s="253">
        <v>7</v>
      </c>
      <c r="B385" s="254" t="str">
        <f>VLOOKUP(Tabel10[[#This Row],[Code]],Ruimtegroepen[[Code]:[Ruimte omschrijving]],2,FALSE)</f>
        <v>Entree</v>
      </c>
      <c r="C385" s="255" t="s">
        <v>603</v>
      </c>
      <c r="D385" s="254" t="s">
        <v>0</v>
      </c>
      <c r="E385" s="255" t="s">
        <v>102</v>
      </c>
      <c r="F385" s="255" t="s">
        <v>607</v>
      </c>
      <c r="G385" s="260" t="s">
        <v>283</v>
      </c>
      <c r="H385" s="256" t="s">
        <v>283</v>
      </c>
      <c r="I385" s="256" t="s">
        <v>16</v>
      </c>
      <c r="J385" s="256" t="s">
        <v>283</v>
      </c>
      <c r="K385" s="256" t="s">
        <v>16</v>
      </c>
      <c r="L385" s="256" t="s">
        <v>283</v>
      </c>
      <c r="M385" s="256" t="s">
        <v>283</v>
      </c>
      <c r="N385" s="256" t="s">
        <v>283</v>
      </c>
      <c r="O385" s="257" t="s">
        <v>16</v>
      </c>
      <c r="P385" s="257" t="s">
        <v>16</v>
      </c>
      <c r="Q385" s="257" t="s">
        <v>16</v>
      </c>
      <c r="R385" s="257" t="s">
        <v>16</v>
      </c>
      <c r="S385" s="257" t="s">
        <v>16</v>
      </c>
      <c r="T385" s="257" t="s">
        <v>330</v>
      </c>
      <c r="U385" s="257" t="s">
        <v>250</v>
      </c>
      <c r="V385" s="257" t="s">
        <v>283</v>
      </c>
      <c r="W385" s="258" t="s">
        <v>283</v>
      </c>
      <c r="X385" s="258" t="s">
        <v>283</v>
      </c>
      <c r="Y385" s="259" t="s">
        <v>283</v>
      </c>
    </row>
    <row r="386" spans="1:25">
      <c r="A386" s="253">
        <v>7</v>
      </c>
      <c r="B386" s="254" t="str">
        <f>VLOOKUP(Tabel10[[#This Row],[Code]],Ruimtegroepen[[Code]:[Ruimte omschrijving]],2,FALSE)</f>
        <v>Entree</v>
      </c>
      <c r="C386" s="255" t="s">
        <v>603</v>
      </c>
      <c r="D386" s="254" t="s">
        <v>0</v>
      </c>
      <c r="E386" s="255" t="s">
        <v>99</v>
      </c>
      <c r="F386" s="255" t="s">
        <v>605</v>
      </c>
      <c r="G386" s="260" t="s">
        <v>283</v>
      </c>
      <c r="H386" s="256" t="s">
        <v>16</v>
      </c>
      <c r="I386" s="256" t="s">
        <v>283</v>
      </c>
      <c r="J386" s="256" t="s">
        <v>283</v>
      </c>
      <c r="K386" s="256" t="s">
        <v>283</v>
      </c>
      <c r="L386" s="256" t="s">
        <v>283</v>
      </c>
      <c r="M386" s="256" t="s">
        <v>283</v>
      </c>
      <c r="N386" s="256" t="s">
        <v>283</v>
      </c>
      <c r="O386" s="257" t="s">
        <v>16</v>
      </c>
      <c r="P386" s="257" t="s">
        <v>16</v>
      </c>
      <c r="Q386" s="257" t="s">
        <v>16</v>
      </c>
      <c r="R386" s="257" t="s">
        <v>16</v>
      </c>
      <c r="S386" s="257" t="s">
        <v>16</v>
      </c>
      <c r="T386" s="257" t="s">
        <v>330</v>
      </c>
      <c r="U386" s="257" t="s">
        <v>250</v>
      </c>
      <c r="V386" s="257" t="s">
        <v>283</v>
      </c>
      <c r="W386" s="258" t="s">
        <v>283</v>
      </c>
      <c r="X386" s="258" t="s">
        <v>283</v>
      </c>
      <c r="Y386" s="259" t="s">
        <v>283</v>
      </c>
    </row>
    <row r="387" spans="1:25">
      <c r="A387" s="253">
        <v>7</v>
      </c>
      <c r="B387" s="254" t="str">
        <f>VLOOKUP(Tabel10[[#This Row],[Code]],Ruimtegroepen[[Code]:[Ruimte omschrijving]],2,FALSE)</f>
        <v>Entree</v>
      </c>
      <c r="C387" s="255" t="s">
        <v>603</v>
      </c>
      <c r="D387" s="254" t="s">
        <v>0</v>
      </c>
      <c r="E387" s="255" t="s">
        <v>1312</v>
      </c>
      <c r="F387" s="255" t="s">
        <v>1350</v>
      </c>
      <c r="G387" s="260" t="s">
        <v>283</v>
      </c>
      <c r="H387" s="256" t="s">
        <v>283</v>
      </c>
      <c r="I387" s="256" t="s">
        <v>16</v>
      </c>
      <c r="J387" s="256" t="s">
        <v>283</v>
      </c>
      <c r="K387" s="256" t="s">
        <v>16</v>
      </c>
      <c r="L387" s="256" t="s">
        <v>283</v>
      </c>
      <c r="M387" s="256" t="s">
        <v>283</v>
      </c>
      <c r="N387" s="256" t="s">
        <v>283</v>
      </c>
      <c r="O387" s="257" t="s">
        <v>16</v>
      </c>
      <c r="P387" s="257" t="s">
        <v>16</v>
      </c>
      <c r="Q387" s="257" t="s">
        <v>16</v>
      </c>
      <c r="R387" s="257" t="s">
        <v>16</v>
      </c>
      <c r="S387" s="257" t="s">
        <v>16</v>
      </c>
      <c r="T387" s="257" t="s">
        <v>330</v>
      </c>
      <c r="U387" s="257" t="s">
        <v>250</v>
      </c>
      <c r="V387" s="257" t="s">
        <v>283</v>
      </c>
      <c r="W387" s="258" t="s">
        <v>283</v>
      </c>
      <c r="X387" s="258" t="s">
        <v>283</v>
      </c>
      <c r="Y387" s="259" t="s">
        <v>283</v>
      </c>
    </row>
    <row r="388" spans="1:25">
      <c r="A388" s="253">
        <v>7</v>
      </c>
      <c r="B388" s="254" t="str">
        <f>VLOOKUP(Tabel10[[#This Row],[Code]],Ruimtegroepen[[Code]:[Ruimte omschrijving]],2,FALSE)</f>
        <v>Entree</v>
      </c>
      <c r="C388" s="255" t="s">
        <v>608</v>
      </c>
      <c r="D388" s="254" t="s">
        <v>27</v>
      </c>
      <c r="E388" s="255" t="s">
        <v>100</v>
      </c>
      <c r="F388" s="255" t="s">
        <v>609</v>
      </c>
      <c r="G388" s="260" t="s">
        <v>283</v>
      </c>
      <c r="H388" s="256" t="s">
        <v>283</v>
      </c>
      <c r="I388" s="256" t="s">
        <v>15</v>
      </c>
      <c r="J388" s="256" t="s">
        <v>283</v>
      </c>
      <c r="K388" s="256" t="s">
        <v>283</v>
      </c>
      <c r="L388" s="256" t="s">
        <v>283</v>
      </c>
      <c r="M388" s="256" t="s">
        <v>283</v>
      </c>
      <c r="N388" s="256" t="s">
        <v>283</v>
      </c>
      <c r="O388" s="257" t="s">
        <v>15</v>
      </c>
      <c r="P388" s="257" t="s">
        <v>15</v>
      </c>
      <c r="Q388" s="257" t="s">
        <v>15</v>
      </c>
      <c r="R388" s="257" t="s">
        <v>283</v>
      </c>
      <c r="S388" s="257" t="s">
        <v>283</v>
      </c>
      <c r="T388" s="257" t="s">
        <v>283</v>
      </c>
      <c r="U388" s="257" t="s">
        <v>283</v>
      </c>
      <c r="V388" s="257" t="s">
        <v>283</v>
      </c>
      <c r="W388" s="258" t="s">
        <v>283</v>
      </c>
      <c r="X388" s="258" t="s">
        <v>283</v>
      </c>
      <c r="Y388" s="259" t="s">
        <v>283</v>
      </c>
    </row>
    <row r="389" spans="1:25">
      <c r="A389" s="253">
        <v>7</v>
      </c>
      <c r="B389" s="254" t="str">
        <f>VLOOKUP(Tabel10[[#This Row],[Code]],Ruimtegroepen[[Code]:[Ruimte omschrijving]],2,FALSE)</f>
        <v>Entree</v>
      </c>
      <c r="C389" s="255" t="s">
        <v>608</v>
      </c>
      <c r="D389" s="254" t="s">
        <v>27</v>
      </c>
      <c r="E389" s="255" t="s">
        <v>99</v>
      </c>
      <c r="F389" s="255" t="s">
        <v>610</v>
      </c>
      <c r="G389" s="260" t="s">
        <v>283</v>
      </c>
      <c r="H389" s="256" t="s">
        <v>15</v>
      </c>
      <c r="I389" s="256" t="s">
        <v>283</v>
      </c>
      <c r="J389" s="256" t="s">
        <v>283</v>
      </c>
      <c r="K389" s="256" t="s">
        <v>283</v>
      </c>
      <c r="L389" s="256" t="s">
        <v>283</v>
      </c>
      <c r="M389" s="256" t="s">
        <v>283</v>
      </c>
      <c r="N389" s="256" t="s">
        <v>283</v>
      </c>
      <c r="O389" s="257" t="s">
        <v>15</v>
      </c>
      <c r="P389" s="257" t="s">
        <v>15</v>
      </c>
      <c r="Q389" s="257" t="s">
        <v>15</v>
      </c>
      <c r="R389" s="257" t="s">
        <v>283</v>
      </c>
      <c r="S389" s="257" t="s">
        <v>283</v>
      </c>
      <c r="T389" s="257" t="s">
        <v>283</v>
      </c>
      <c r="U389" s="257" t="s">
        <v>283</v>
      </c>
      <c r="V389" s="257" t="s">
        <v>283</v>
      </c>
      <c r="W389" s="258" t="s">
        <v>283</v>
      </c>
      <c r="X389" s="258" t="s">
        <v>283</v>
      </c>
      <c r="Y389" s="259" t="s">
        <v>283</v>
      </c>
    </row>
    <row r="390" spans="1:25">
      <c r="A390" s="253">
        <v>7</v>
      </c>
      <c r="B390" s="254" t="str">
        <f>VLOOKUP(Tabel10[[#This Row],[Code]],Ruimtegroepen[[Code]:[Ruimte omschrijving]],2,FALSE)</f>
        <v>Entree</v>
      </c>
      <c r="C390" s="255" t="s">
        <v>608</v>
      </c>
      <c r="D390" s="254" t="s">
        <v>27</v>
      </c>
      <c r="E390" s="255" t="s">
        <v>101</v>
      </c>
      <c r="F390" s="255" t="s">
        <v>611</v>
      </c>
      <c r="G390" s="260" t="s">
        <v>283</v>
      </c>
      <c r="H390" s="256" t="s">
        <v>283</v>
      </c>
      <c r="I390" s="256" t="s">
        <v>15</v>
      </c>
      <c r="J390" s="256" t="s">
        <v>283</v>
      </c>
      <c r="K390" s="256" t="s">
        <v>283</v>
      </c>
      <c r="L390" s="256" t="s">
        <v>283</v>
      </c>
      <c r="M390" s="256" t="s">
        <v>283</v>
      </c>
      <c r="N390" s="256" t="s">
        <v>283</v>
      </c>
      <c r="O390" s="257" t="s">
        <v>15</v>
      </c>
      <c r="P390" s="257" t="s">
        <v>15</v>
      </c>
      <c r="Q390" s="257" t="s">
        <v>15</v>
      </c>
      <c r="R390" s="257" t="s">
        <v>283</v>
      </c>
      <c r="S390" s="257" t="s">
        <v>283</v>
      </c>
      <c r="T390" s="257" t="s">
        <v>283</v>
      </c>
      <c r="U390" s="257" t="s">
        <v>283</v>
      </c>
      <c r="V390" s="257" t="s">
        <v>283</v>
      </c>
      <c r="W390" s="258" t="s">
        <v>283</v>
      </c>
      <c r="X390" s="258" t="s">
        <v>283</v>
      </c>
      <c r="Y390" s="259" t="s">
        <v>283</v>
      </c>
    </row>
    <row r="391" spans="1:25">
      <c r="A391" s="253">
        <v>7</v>
      </c>
      <c r="B391" s="254" t="str">
        <f>VLOOKUP(Tabel10[[#This Row],[Code]],Ruimtegroepen[[Code]:[Ruimte omschrijving]],2,FALSE)</f>
        <v>Entree</v>
      </c>
      <c r="C391" s="255" t="s">
        <v>608</v>
      </c>
      <c r="D391" s="254" t="s">
        <v>27</v>
      </c>
      <c r="E391" s="255" t="s">
        <v>102</v>
      </c>
      <c r="F391" s="255" t="s">
        <v>612</v>
      </c>
      <c r="G391" s="260" t="s">
        <v>283</v>
      </c>
      <c r="H391" s="256" t="s">
        <v>283</v>
      </c>
      <c r="I391" s="256" t="s">
        <v>15</v>
      </c>
      <c r="J391" s="256" t="s">
        <v>283</v>
      </c>
      <c r="K391" s="256" t="s">
        <v>283</v>
      </c>
      <c r="L391" s="256" t="s">
        <v>283</v>
      </c>
      <c r="M391" s="256" t="s">
        <v>283</v>
      </c>
      <c r="N391" s="256" t="s">
        <v>283</v>
      </c>
      <c r="O391" s="257" t="s">
        <v>15</v>
      </c>
      <c r="P391" s="257" t="s">
        <v>15</v>
      </c>
      <c r="Q391" s="257" t="s">
        <v>15</v>
      </c>
      <c r="R391" s="257" t="s">
        <v>283</v>
      </c>
      <c r="S391" s="257" t="s">
        <v>283</v>
      </c>
      <c r="T391" s="257" t="s">
        <v>283</v>
      </c>
      <c r="U391" s="257" t="s">
        <v>283</v>
      </c>
      <c r="V391" s="257" t="s">
        <v>283</v>
      </c>
      <c r="W391" s="258" t="s">
        <v>283</v>
      </c>
      <c r="X391" s="258" t="s">
        <v>283</v>
      </c>
      <c r="Y391" s="259" t="s">
        <v>283</v>
      </c>
    </row>
    <row r="392" spans="1:25">
      <c r="A392" s="253">
        <v>7</v>
      </c>
      <c r="B392" s="254" t="str">
        <f>VLOOKUP(Tabel10[[#This Row],[Code]],Ruimtegroepen[[Code]:[Ruimte omschrijving]],2,FALSE)</f>
        <v>Entree</v>
      </c>
      <c r="C392" s="255" t="s">
        <v>608</v>
      </c>
      <c r="D392" s="254" t="s">
        <v>27</v>
      </c>
      <c r="E392" s="255" t="s">
        <v>99</v>
      </c>
      <c r="F392" s="255" t="s">
        <v>610</v>
      </c>
      <c r="G392" s="260" t="s">
        <v>283</v>
      </c>
      <c r="H392" s="256" t="s">
        <v>15</v>
      </c>
      <c r="I392" s="256" t="s">
        <v>283</v>
      </c>
      <c r="J392" s="256" t="s">
        <v>283</v>
      </c>
      <c r="K392" s="256" t="s">
        <v>283</v>
      </c>
      <c r="L392" s="256" t="s">
        <v>283</v>
      </c>
      <c r="M392" s="256" t="s">
        <v>283</v>
      </c>
      <c r="N392" s="256" t="s">
        <v>283</v>
      </c>
      <c r="O392" s="257" t="s">
        <v>15</v>
      </c>
      <c r="P392" s="257" t="s">
        <v>15</v>
      </c>
      <c r="Q392" s="257" t="s">
        <v>15</v>
      </c>
      <c r="R392" s="257" t="s">
        <v>283</v>
      </c>
      <c r="S392" s="257" t="s">
        <v>283</v>
      </c>
      <c r="T392" s="257" t="s">
        <v>283</v>
      </c>
      <c r="U392" s="257" t="s">
        <v>283</v>
      </c>
      <c r="V392" s="257" t="s">
        <v>283</v>
      </c>
      <c r="W392" s="258" t="s">
        <v>283</v>
      </c>
      <c r="X392" s="258" t="s">
        <v>283</v>
      </c>
      <c r="Y392" s="259" t="s">
        <v>283</v>
      </c>
    </row>
    <row r="393" spans="1:25">
      <c r="A393" s="253">
        <v>7</v>
      </c>
      <c r="B393" s="254" t="str">
        <f>VLOOKUP(Tabel10[[#This Row],[Code]],Ruimtegroepen[[Code]:[Ruimte omschrijving]],2,FALSE)</f>
        <v>Entree</v>
      </c>
      <c r="C393" s="255" t="s">
        <v>608</v>
      </c>
      <c r="D393" s="254" t="s">
        <v>27</v>
      </c>
      <c r="E393" s="255" t="s">
        <v>1312</v>
      </c>
      <c r="F393" s="255" t="s">
        <v>1383</v>
      </c>
      <c r="G393" s="260" t="s">
        <v>283</v>
      </c>
      <c r="H393" s="256" t="s">
        <v>283</v>
      </c>
      <c r="I393" s="256" t="s">
        <v>15</v>
      </c>
      <c r="J393" s="256" t="s">
        <v>283</v>
      </c>
      <c r="K393" s="256" t="s">
        <v>283</v>
      </c>
      <c r="L393" s="256" t="s">
        <v>283</v>
      </c>
      <c r="M393" s="256" t="s">
        <v>283</v>
      </c>
      <c r="N393" s="256" t="s">
        <v>283</v>
      </c>
      <c r="O393" s="257" t="s">
        <v>15</v>
      </c>
      <c r="P393" s="257" t="s">
        <v>15</v>
      </c>
      <c r="Q393" s="257" t="s">
        <v>15</v>
      </c>
      <c r="R393" s="257" t="s">
        <v>283</v>
      </c>
      <c r="S393" s="257" t="s">
        <v>283</v>
      </c>
      <c r="T393" s="257" t="s">
        <v>283</v>
      </c>
      <c r="U393" s="257" t="s">
        <v>283</v>
      </c>
      <c r="V393" s="257" t="s">
        <v>283</v>
      </c>
      <c r="W393" s="258" t="s">
        <v>283</v>
      </c>
      <c r="X393" s="258" t="s">
        <v>283</v>
      </c>
      <c r="Y393" s="259" t="s">
        <v>283</v>
      </c>
    </row>
    <row r="394" spans="1:25">
      <c r="A394" s="253">
        <v>7</v>
      </c>
      <c r="B394" s="254" t="str">
        <f>VLOOKUP(Tabel10[[#This Row],[Code]],Ruimtegroepen[[Code]:[Ruimte omschrijving]],2,FALSE)</f>
        <v>Entree</v>
      </c>
      <c r="C394" s="255" t="s">
        <v>613</v>
      </c>
      <c r="D394" s="254" t="s">
        <v>28</v>
      </c>
      <c r="E394" s="255" t="s">
        <v>100</v>
      </c>
      <c r="F394" s="255" t="s">
        <v>614</v>
      </c>
      <c r="G394" s="260" t="s">
        <v>283</v>
      </c>
      <c r="H394" s="256" t="s">
        <v>283</v>
      </c>
      <c r="I394" s="256" t="s">
        <v>17</v>
      </c>
      <c r="J394" s="256" t="s">
        <v>283</v>
      </c>
      <c r="K394" s="256" t="s">
        <v>283</v>
      </c>
      <c r="L394" s="256" t="s">
        <v>283</v>
      </c>
      <c r="M394" s="256" t="s">
        <v>283</v>
      </c>
      <c r="N394" s="256" t="s">
        <v>283</v>
      </c>
      <c r="O394" s="257" t="s">
        <v>17</v>
      </c>
      <c r="P394" s="257" t="s">
        <v>17</v>
      </c>
      <c r="Q394" s="257" t="s">
        <v>15</v>
      </c>
      <c r="R394" s="257" t="s">
        <v>283</v>
      </c>
      <c r="S394" s="257" t="s">
        <v>283</v>
      </c>
      <c r="T394" s="257" t="s">
        <v>283</v>
      </c>
      <c r="U394" s="257" t="s">
        <v>283</v>
      </c>
      <c r="V394" s="257" t="s">
        <v>283</v>
      </c>
      <c r="W394" s="258" t="s">
        <v>283</v>
      </c>
      <c r="X394" s="258" t="s">
        <v>283</v>
      </c>
      <c r="Y394" s="259" t="s">
        <v>283</v>
      </c>
    </row>
    <row r="395" spans="1:25">
      <c r="A395" s="253">
        <v>7</v>
      </c>
      <c r="B395" s="254" t="str">
        <f>VLOOKUP(Tabel10[[#This Row],[Code]],Ruimtegroepen[[Code]:[Ruimte omschrijving]],2,FALSE)</f>
        <v>Entree</v>
      </c>
      <c r="C395" s="255" t="s">
        <v>613</v>
      </c>
      <c r="D395" s="254" t="s">
        <v>28</v>
      </c>
      <c r="E395" s="255" t="s">
        <v>99</v>
      </c>
      <c r="F395" s="255" t="s">
        <v>615</v>
      </c>
      <c r="G395" s="260" t="s">
        <v>283</v>
      </c>
      <c r="H395" s="256" t="s">
        <v>17</v>
      </c>
      <c r="I395" s="256" t="s">
        <v>283</v>
      </c>
      <c r="J395" s="256" t="s">
        <v>283</v>
      </c>
      <c r="K395" s="256" t="s">
        <v>283</v>
      </c>
      <c r="L395" s="256" t="s">
        <v>283</v>
      </c>
      <c r="M395" s="256" t="s">
        <v>283</v>
      </c>
      <c r="N395" s="256" t="s">
        <v>283</v>
      </c>
      <c r="O395" s="257" t="s">
        <v>17</v>
      </c>
      <c r="P395" s="257" t="s">
        <v>17</v>
      </c>
      <c r="Q395" s="257" t="s">
        <v>15</v>
      </c>
      <c r="R395" s="257" t="s">
        <v>283</v>
      </c>
      <c r="S395" s="257" t="s">
        <v>283</v>
      </c>
      <c r="T395" s="257" t="s">
        <v>283</v>
      </c>
      <c r="U395" s="257" t="s">
        <v>283</v>
      </c>
      <c r="V395" s="257" t="s">
        <v>283</v>
      </c>
      <c r="W395" s="258" t="s">
        <v>283</v>
      </c>
      <c r="X395" s="258" t="s">
        <v>283</v>
      </c>
      <c r="Y395" s="259" t="s">
        <v>283</v>
      </c>
    </row>
    <row r="396" spans="1:25">
      <c r="A396" s="253">
        <v>7</v>
      </c>
      <c r="B396" s="254" t="str">
        <f>VLOOKUP(Tabel10[[#This Row],[Code]],Ruimtegroepen[[Code]:[Ruimte omschrijving]],2,FALSE)</f>
        <v>Entree</v>
      </c>
      <c r="C396" s="255" t="s">
        <v>613</v>
      </c>
      <c r="D396" s="254" t="s">
        <v>28</v>
      </c>
      <c r="E396" s="255" t="s">
        <v>101</v>
      </c>
      <c r="F396" s="255" t="s">
        <v>616</v>
      </c>
      <c r="G396" s="260" t="s">
        <v>283</v>
      </c>
      <c r="H396" s="256" t="s">
        <v>283</v>
      </c>
      <c r="I396" s="256" t="s">
        <v>17</v>
      </c>
      <c r="J396" s="256" t="s">
        <v>283</v>
      </c>
      <c r="K396" s="256" t="s">
        <v>283</v>
      </c>
      <c r="L396" s="256" t="s">
        <v>283</v>
      </c>
      <c r="M396" s="256" t="s">
        <v>283</v>
      </c>
      <c r="N396" s="256" t="s">
        <v>283</v>
      </c>
      <c r="O396" s="257" t="s">
        <v>17</v>
      </c>
      <c r="P396" s="257" t="s">
        <v>17</v>
      </c>
      <c r="Q396" s="257" t="s">
        <v>15</v>
      </c>
      <c r="R396" s="257" t="s">
        <v>283</v>
      </c>
      <c r="S396" s="257" t="s">
        <v>283</v>
      </c>
      <c r="T396" s="257" t="s">
        <v>283</v>
      </c>
      <c r="U396" s="257" t="s">
        <v>283</v>
      </c>
      <c r="V396" s="257" t="s">
        <v>283</v>
      </c>
      <c r="W396" s="258" t="s">
        <v>283</v>
      </c>
      <c r="X396" s="258" t="s">
        <v>283</v>
      </c>
      <c r="Y396" s="259" t="s">
        <v>283</v>
      </c>
    </row>
    <row r="397" spans="1:25">
      <c r="A397" s="253">
        <v>7</v>
      </c>
      <c r="B397" s="254" t="str">
        <f>VLOOKUP(Tabel10[[#This Row],[Code]],Ruimtegroepen[[Code]:[Ruimte omschrijving]],2,FALSE)</f>
        <v>Entree</v>
      </c>
      <c r="C397" s="255" t="s">
        <v>613</v>
      </c>
      <c r="D397" s="254" t="s">
        <v>28</v>
      </c>
      <c r="E397" s="255" t="s">
        <v>102</v>
      </c>
      <c r="F397" s="255" t="s">
        <v>617</v>
      </c>
      <c r="G397" s="260" t="s">
        <v>283</v>
      </c>
      <c r="H397" s="256" t="s">
        <v>283</v>
      </c>
      <c r="I397" s="256" t="s">
        <v>17</v>
      </c>
      <c r="J397" s="256" t="s">
        <v>283</v>
      </c>
      <c r="K397" s="256" t="s">
        <v>283</v>
      </c>
      <c r="L397" s="256" t="s">
        <v>283</v>
      </c>
      <c r="M397" s="256" t="s">
        <v>283</v>
      </c>
      <c r="N397" s="256" t="s">
        <v>283</v>
      </c>
      <c r="O397" s="257" t="s">
        <v>17</v>
      </c>
      <c r="P397" s="257" t="s">
        <v>17</v>
      </c>
      <c r="Q397" s="257" t="s">
        <v>15</v>
      </c>
      <c r="R397" s="257" t="s">
        <v>283</v>
      </c>
      <c r="S397" s="257" t="s">
        <v>283</v>
      </c>
      <c r="T397" s="257" t="s">
        <v>283</v>
      </c>
      <c r="U397" s="257" t="s">
        <v>283</v>
      </c>
      <c r="V397" s="257" t="s">
        <v>283</v>
      </c>
      <c r="W397" s="258" t="s">
        <v>283</v>
      </c>
      <c r="X397" s="258" t="s">
        <v>283</v>
      </c>
      <c r="Y397" s="259" t="s">
        <v>283</v>
      </c>
    </row>
    <row r="398" spans="1:25">
      <c r="A398" s="253">
        <v>7</v>
      </c>
      <c r="B398" s="254" t="str">
        <f>VLOOKUP(Tabel10[[#This Row],[Code]],Ruimtegroepen[[Code]:[Ruimte omschrijving]],2,FALSE)</f>
        <v>Entree</v>
      </c>
      <c r="C398" s="255" t="s">
        <v>613</v>
      </c>
      <c r="D398" s="254" t="s">
        <v>28</v>
      </c>
      <c r="E398" s="255" t="s">
        <v>99</v>
      </c>
      <c r="F398" s="255" t="s">
        <v>615</v>
      </c>
      <c r="G398" s="260" t="s">
        <v>283</v>
      </c>
      <c r="H398" s="256" t="s">
        <v>17</v>
      </c>
      <c r="I398" s="256" t="s">
        <v>283</v>
      </c>
      <c r="J398" s="256" t="s">
        <v>283</v>
      </c>
      <c r="K398" s="256" t="s">
        <v>283</v>
      </c>
      <c r="L398" s="256" t="s">
        <v>283</v>
      </c>
      <c r="M398" s="256" t="s">
        <v>283</v>
      </c>
      <c r="N398" s="256" t="s">
        <v>283</v>
      </c>
      <c r="O398" s="257" t="s">
        <v>17</v>
      </c>
      <c r="P398" s="257" t="s">
        <v>17</v>
      </c>
      <c r="Q398" s="257" t="s">
        <v>15</v>
      </c>
      <c r="R398" s="257" t="s">
        <v>283</v>
      </c>
      <c r="S398" s="257" t="s">
        <v>283</v>
      </c>
      <c r="T398" s="257" t="s">
        <v>283</v>
      </c>
      <c r="U398" s="257" t="s">
        <v>283</v>
      </c>
      <c r="V398" s="257" t="s">
        <v>283</v>
      </c>
      <c r="W398" s="258" t="s">
        <v>283</v>
      </c>
      <c r="X398" s="258" t="s">
        <v>283</v>
      </c>
      <c r="Y398" s="259" t="s">
        <v>283</v>
      </c>
    </row>
    <row r="399" spans="1:25">
      <c r="A399" s="253">
        <v>7</v>
      </c>
      <c r="B399" s="254" t="str">
        <f>VLOOKUP(Tabel10[[#This Row],[Code]],Ruimtegroepen[[Code]:[Ruimte omschrijving]],2,FALSE)</f>
        <v>Entree</v>
      </c>
      <c r="C399" s="255" t="s">
        <v>613</v>
      </c>
      <c r="D399" s="254" t="s">
        <v>28</v>
      </c>
      <c r="E399" s="255" t="s">
        <v>1312</v>
      </c>
      <c r="F399" s="255" t="s">
        <v>1416</v>
      </c>
      <c r="G399" s="260" t="s">
        <v>283</v>
      </c>
      <c r="H399" s="256" t="s">
        <v>283</v>
      </c>
      <c r="I399" s="256" t="s">
        <v>17</v>
      </c>
      <c r="J399" s="256" t="s">
        <v>283</v>
      </c>
      <c r="K399" s="256" t="s">
        <v>283</v>
      </c>
      <c r="L399" s="256" t="s">
        <v>283</v>
      </c>
      <c r="M399" s="256" t="s">
        <v>283</v>
      </c>
      <c r="N399" s="256" t="s">
        <v>283</v>
      </c>
      <c r="O399" s="257" t="s">
        <v>17</v>
      </c>
      <c r="P399" s="257" t="s">
        <v>17</v>
      </c>
      <c r="Q399" s="257" t="s">
        <v>15</v>
      </c>
      <c r="R399" s="257" t="s">
        <v>283</v>
      </c>
      <c r="S399" s="257" t="s">
        <v>283</v>
      </c>
      <c r="T399" s="257" t="s">
        <v>283</v>
      </c>
      <c r="U399" s="257" t="s">
        <v>283</v>
      </c>
      <c r="V399" s="257" t="s">
        <v>283</v>
      </c>
      <c r="W399" s="258" t="s">
        <v>283</v>
      </c>
      <c r="X399" s="258" t="s">
        <v>283</v>
      </c>
      <c r="Y399" s="259" t="s">
        <v>283</v>
      </c>
    </row>
    <row r="400" spans="1:25">
      <c r="A400" s="253">
        <v>8</v>
      </c>
      <c r="B400" s="254" t="str">
        <f>VLOOKUP(Tabel10[[#This Row],[Code]],Ruimtegroepen[[Code]:[Ruimte omschrijving]],2,FALSE)</f>
        <v>Kinderopvang</v>
      </c>
      <c r="C400" s="255" t="s">
        <v>618</v>
      </c>
      <c r="D400" s="254" t="s">
        <v>29</v>
      </c>
      <c r="E400" s="255" t="s">
        <v>100</v>
      </c>
      <c r="F400" s="255" t="s">
        <v>619</v>
      </c>
      <c r="G400" s="260" t="s">
        <v>283</v>
      </c>
      <c r="H400" s="256" t="s">
        <v>283</v>
      </c>
      <c r="I400" s="256" t="s">
        <v>20</v>
      </c>
      <c r="J400" s="256" t="s">
        <v>15</v>
      </c>
      <c r="K400" s="256" t="s">
        <v>283</v>
      </c>
      <c r="L400" s="256" t="s">
        <v>283</v>
      </c>
      <c r="M400" s="256" t="s">
        <v>283</v>
      </c>
      <c r="N400" s="256" t="s">
        <v>2</v>
      </c>
      <c r="O400" s="257" t="s">
        <v>2</v>
      </c>
      <c r="P400" s="257" t="s">
        <v>2</v>
      </c>
      <c r="Q400" s="257" t="s">
        <v>15</v>
      </c>
      <c r="R400" s="257" t="s">
        <v>15</v>
      </c>
      <c r="S400" s="257" t="s">
        <v>16</v>
      </c>
      <c r="T400" s="257" t="s">
        <v>330</v>
      </c>
      <c r="U400" s="257" t="s">
        <v>250</v>
      </c>
      <c r="V400" s="257" t="s">
        <v>2</v>
      </c>
      <c r="W400" s="258" t="s">
        <v>283</v>
      </c>
      <c r="X400" s="258" t="s">
        <v>283</v>
      </c>
      <c r="Y400" s="259" t="s">
        <v>283</v>
      </c>
    </row>
    <row r="401" spans="1:25">
      <c r="A401" s="253">
        <v>8</v>
      </c>
      <c r="B401" s="254" t="str">
        <f>VLOOKUP(Tabel10[[#This Row],[Code]],Ruimtegroepen[[Code]:[Ruimte omschrijving]],2,FALSE)</f>
        <v>Kinderopvang</v>
      </c>
      <c r="C401" s="255" t="s">
        <v>618</v>
      </c>
      <c r="D401" s="254" t="s">
        <v>29</v>
      </c>
      <c r="E401" s="255" t="s">
        <v>99</v>
      </c>
      <c r="F401" s="255" t="s">
        <v>620</v>
      </c>
      <c r="G401" s="260" t="s">
        <v>283</v>
      </c>
      <c r="H401" s="256" t="s">
        <v>2</v>
      </c>
      <c r="I401" s="256" t="s">
        <v>283</v>
      </c>
      <c r="J401" s="256" t="s">
        <v>283</v>
      </c>
      <c r="K401" s="256" t="s">
        <v>283</v>
      </c>
      <c r="L401" s="256" t="s">
        <v>283</v>
      </c>
      <c r="M401" s="256" t="s">
        <v>283</v>
      </c>
      <c r="N401" s="256" t="s">
        <v>2</v>
      </c>
      <c r="O401" s="257" t="s">
        <v>2</v>
      </c>
      <c r="P401" s="257" t="s">
        <v>2</v>
      </c>
      <c r="Q401" s="257" t="s">
        <v>15</v>
      </c>
      <c r="R401" s="257" t="s">
        <v>15</v>
      </c>
      <c r="S401" s="257" t="s">
        <v>16</v>
      </c>
      <c r="T401" s="257" t="s">
        <v>330</v>
      </c>
      <c r="U401" s="257" t="s">
        <v>250</v>
      </c>
      <c r="V401" s="257" t="s">
        <v>2</v>
      </c>
      <c r="W401" s="258" t="s">
        <v>283</v>
      </c>
      <c r="X401" s="258" t="s">
        <v>283</v>
      </c>
      <c r="Y401" s="259" t="s">
        <v>283</v>
      </c>
    </row>
    <row r="402" spans="1:25">
      <c r="A402" s="253">
        <v>8</v>
      </c>
      <c r="B402" s="254" t="str">
        <f>VLOOKUP(Tabel10[[#This Row],[Code]],Ruimtegroepen[[Code]:[Ruimte omschrijving]],2,FALSE)</f>
        <v>Kinderopvang</v>
      </c>
      <c r="C402" s="255" t="s">
        <v>618</v>
      </c>
      <c r="D402" s="254" t="s">
        <v>29</v>
      </c>
      <c r="E402" s="255" t="s">
        <v>101</v>
      </c>
      <c r="F402" s="255" t="s">
        <v>621</v>
      </c>
      <c r="G402" s="260" t="s">
        <v>283</v>
      </c>
      <c r="H402" s="256" t="s">
        <v>283</v>
      </c>
      <c r="I402" s="256" t="s">
        <v>20</v>
      </c>
      <c r="J402" s="256" t="s">
        <v>15</v>
      </c>
      <c r="K402" s="256" t="s">
        <v>284</v>
      </c>
      <c r="L402" s="256" t="s">
        <v>283</v>
      </c>
      <c r="M402" s="256" t="s">
        <v>283</v>
      </c>
      <c r="N402" s="256" t="s">
        <v>2</v>
      </c>
      <c r="O402" s="257" t="s">
        <v>2</v>
      </c>
      <c r="P402" s="257" t="s">
        <v>2</v>
      </c>
      <c r="Q402" s="257" t="s">
        <v>15</v>
      </c>
      <c r="R402" s="257" t="s">
        <v>15</v>
      </c>
      <c r="S402" s="257" t="s">
        <v>16</v>
      </c>
      <c r="T402" s="257" t="s">
        <v>330</v>
      </c>
      <c r="U402" s="257" t="s">
        <v>250</v>
      </c>
      <c r="V402" s="257" t="s">
        <v>2</v>
      </c>
      <c r="W402" s="258" t="s">
        <v>283</v>
      </c>
      <c r="X402" s="258" t="s">
        <v>283</v>
      </c>
      <c r="Y402" s="259" t="s">
        <v>283</v>
      </c>
    </row>
    <row r="403" spans="1:25">
      <c r="A403" s="253">
        <v>8</v>
      </c>
      <c r="B403" s="254" t="str">
        <f>VLOOKUP(Tabel10[[#This Row],[Code]],Ruimtegroepen[[Code]:[Ruimte omschrijving]],2,FALSE)</f>
        <v>Kinderopvang</v>
      </c>
      <c r="C403" s="255" t="s">
        <v>618</v>
      </c>
      <c r="D403" s="254" t="s">
        <v>29</v>
      </c>
      <c r="E403" s="255" t="s">
        <v>102</v>
      </c>
      <c r="F403" s="255" t="s">
        <v>622</v>
      </c>
      <c r="G403" s="260" t="s">
        <v>283</v>
      </c>
      <c r="H403" s="256" t="s">
        <v>283</v>
      </c>
      <c r="I403" s="256" t="s">
        <v>20</v>
      </c>
      <c r="J403" s="256" t="s">
        <v>15</v>
      </c>
      <c r="K403" s="256" t="s">
        <v>284</v>
      </c>
      <c r="L403" s="256" t="s">
        <v>283</v>
      </c>
      <c r="M403" s="256" t="s">
        <v>283</v>
      </c>
      <c r="N403" s="256" t="s">
        <v>2</v>
      </c>
      <c r="O403" s="257" t="s">
        <v>2</v>
      </c>
      <c r="P403" s="257" t="s">
        <v>2</v>
      </c>
      <c r="Q403" s="257" t="s">
        <v>15</v>
      </c>
      <c r="R403" s="257" t="s">
        <v>15</v>
      </c>
      <c r="S403" s="257" t="s">
        <v>16</v>
      </c>
      <c r="T403" s="257" t="s">
        <v>330</v>
      </c>
      <c r="U403" s="257" t="s">
        <v>250</v>
      </c>
      <c r="V403" s="257" t="s">
        <v>2</v>
      </c>
      <c r="W403" s="258" t="s">
        <v>283</v>
      </c>
      <c r="X403" s="258" t="s">
        <v>283</v>
      </c>
      <c r="Y403" s="259" t="s">
        <v>283</v>
      </c>
    </row>
    <row r="404" spans="1:25">
      <c r="A404" s="253">
        <v>8</v>
      </c>
      <c r="B404" s="254" t="str">
        <f>VLOOKUP(Tabel10[[#This Row],[Code]],Ruimtegroepen[[Code]:[Ruimte omschrijving]],2,FALSE)</f>
        <v>Kinderopvang</v>
      </c>
      <c r="C404" s="255" t="s">
        <v>618</v>
      </c>
      <c r="D404" s="254" t="s">
        <v>29</v>
      </c>
      <c r="E404" s="255" t="s">
        <v>99</v>
      </c>
      <c r="F404" s="255" t="s">
        <v>620</v>
      </c>
      <c r="G404" s="260" t="s">
        <v>283</v>
      </c>
      <c r="H404" s="256" t="s">
        <v>2</v>
      </c>
      <c r="I404" s="256" t="s">
        <v>283</v>
      </c>
      <c r="J404" s="256" t="s">
        <v>283</v>
      </c>
      <c r="K404" s="256" t="s">
        <v>283</v>
      </c>
      <c r="L404" s="256" t="s">
        <v>283</v>
      </c>
      <c r="M404" s="256" t="s">
        <v>283</v>
      </c>
      <c r="N404" s="256" t="s">
        <v>2</v>
      </c>
      <c r="O404" s="257" t="s">
        <v>2</v>
      </c>
      <c r="P404" s="257" t="s">
        <v>2</v>
      </c>
      <c r="Q404" s="257" t="s">
        <v>15</v>
      </c>
      <c r="R404" s="257" t="s">
        <v>15</v>
      </c>
      <c r="S404" s="257" t="s">
        <v>16</v>
      </c>
      <c r="T404" s="257" t="s">
        <v>330</v>
      </c>
      <c r="U404" s="257" t="s">
        <v>250</v>
      </c>
      <c r="V404" s="257" t="s">
        <v>2</v>
      </c>
      <c r="W404" s="258" t="s">
        <v>283</v>
      </c>
      <c r="X404" s="258" t="s">
        <v>283</v>
      </c>
      <c r="Y404" s="259" t="s">
        <v>283</v>
      </c>
    </row>
    <row r="405" spans="1:25">
      <c r="A405" s="253">
        <v>8</v>
      </c>
      <c r="B405" s="254" t="str">
        <f>VLOOKUP(Tabel10[[#This Row],[Code]],Ruimtegroepen[[Code]:[Ruimte omschrijving]],2,FALSE)</f>
        <v>Kinderopvang</v>
      </c>
      <c r="C405" s="255" t="s">
        <v>618</v>
      </c>
      <c r="D405" s="254" t="s">
        <v>29</v>
      </c>
      <c r="E405" s="255" t="s">
        <v>1312</v>
      </c>
      <c r="F405" s="255" t="s">
        <v>1484</v>
      </c>
      <c r="G405" s="260" t="s">
        <v>283</v>
      </c>
      <c r="H405" s="256" t="s">
        <v>283</v>
      </c>
      <c r="I405" s="256" t="s">
        <v>20</v>
      </c>
      <c r="J405" s="256" t="s">
        <v>15</v>
      </c>
      <c r="K405" s="256" t="s">
        <v>284</v>
      </c>
      <c r="L405" s="256" t="s">
        <v>283</v>
      </c>
      <c r="M405" s="256" t="s">
        <v>283</v>
      </c>
      <c r="N405" s="256" t="s">
        <v>2</v>
      </c>
      <c r="O405" s="257" t="s">
        <v>2</v>
      </c>
      <c r="P405" s="257" t="s">
        <v>2</v>
      </c>
      <c r="Q405" s="257" t="s">
        <v>15</v>
      </c>
      <c r="R405" s="257" t="s">
        <v>15</v>
      </c>
      <c r="S405" s="257" t="s">
        <v>16</v>
      </c>
      <c r="T405" s="257" t="s">
        <v>330</v>
      </c>
      <c r="U405" s="257" t="s">
        <v>250</v>
      </c>
      <c r="V405" s="257" t="s">
        <v>2</v>
      </c>
      <c r="W405" s="258" t="s">
        <v>283</v>
      </c>
      <c r="X405" s="258" t="s">
        <v>283</v>
      </c>
      <c r="Y405" s="259" t="s">
        <v>283</v>
      </c>
    </row>
    <row r="406" spans="1:25">
      <c r="A406" s="253">
        <v>8</v>
      </c>
      <c r="B406" s="254" t="str">
        <f>VLOOKUP(Tabel10[[#This Row],[Code]],Ruimtegroepen[[Code]:[Ruimte omschrijving]],2,FALSE)</f>
        <v>Kinderopvang</v>
      </c>
      <c r="C406" s="255" t="s">
        <v>623</v>
      </c>
      <c r="D406" s="254" t="s">
        <v>1</v>
      </c>
      <c r="E406" s="255" t="s">
        <v>100</v>
      </c>
      <c r="F406" s="255" t="s">
        <v>624</v>
      </c>
      <c r="G406" s="260" t="s">
        <v>283</v>
      </c>
      <c r="H406" s="256" t="s">
        <v>283</v>
      </c>
      <c r="I406" s="256" t="s">
        <v>20</v>
      </c>
      <c r="J406" s="256" t="s">
        <v>15</v>
      </c>
      <c r="K406" s="256" t="s">
        <v>283</v>
      </c>
      <c r="L406" s="256" t="s">
        <v>283</v>
      </c>
      <c r="M406" s="256" t="s">
        <v>283</v>
      </c>
      <c r="N406" s="256" t="s">
        <v>283</v>
      </c>
      <c r="O406" s="257" t="s">
        <v>2</v>
      </c>
      <c r="P406" s="257" t="s">
        <v>2</v>
      </c>
      <c r="Q406" s="257" t="s">
        <v>15</v>
      </c>
      <c r="R406" s="257" t="s">
        <v>15</v>
      </c>
      <c r="S406" s="257" t="s">
        <v>16</v>
      </c>
      <c r="T406" s="257" t="s">
        <v>330</v>
      </c>
      <c r="U406" s="257" t="s">
        <v>250</v>
      </c>
      <c r="V406" s="257" t="s">
        <v>283</v>
      </c>
      <c r="W406" s="258" t="s">
        <v>283</v>
      </c>
      <c r="X406" s="258" t="s">
        <v>283</v>
      </c>
      <c r="Y406" s="259" t="s">
        <v>283</v>
      </c>
    </row>
    <row r="407" spans="1:25">
      <c r="A407" s="253">
        <v>8</v>
      </c>
      <c r="B407" s="254" t="str">
        <f>VLOOKUP(Tabel10[[#This Row],[Code]],Ruimtegroepen[[Code]:[Ruimte omschrijving]],2,FALSE)</f>
        <v>Kinderopvang</v>
      </c>
      <c r="C407" s="255" t="s">
        <v>623</v>
      </c>
      <c r="D407" s="254" t="s">
        <v>1</v>
      </c>
      <c r="E407" s="255" t="s">
        <v>99</v>
      </c>
      <c r="F407" s="255" t="s">
        <v>625</v>
      </c>
      <c r="G407" s="260" t="s">
        <v>283</v>
      </c>
      <c r="H407" s="256" t="s">
        <v>2</v>
      </c>
      <c r="I407" s="256" t="s">
        <v>283</v>
      </c>
      <c r="J407" s="256" t="s">
        <v>283</v>
      </c>
      <c r="K407" s="256" t="s">
        <v>283</v>
      </c>
      <c r="L407" s="256" t="s">
        <v>283</v>
      </c>
      <c r="M407" s="256" t="s">
        <v>283</v>
      </c>
      <c r="N407" s="256" t="s">
        <v>283</v>
      </c>
      <c r="O407" s="257" t="s">
        <v>2</v>
      </c>
      <c r="P407" s="257" t="s">
        <v>2</v>
      </c>
      <c r="Q407" s="257" t="s">
        <v>15</v>
      </c>
      <c r="R407" s="257" t="s">
        <v>15</v>
      </c>
      <c r="S407" s="257" t="s">
        <v>16</v>
      </c>
      <c r="T407" s="257" t="s">
        <v>330</v>
      </c>
      <c r="U407" s="257" t="s">
        <v>250</v>
      </c>
      <c r="V407" s="257" t="s">
        <v>283</v>
      </c>
      <c r="W407" s="258" t="s">
        <v>283</v>
      </c>
      <c r="X407" s="258" t="s">
        <v>283</v>
      </c>
      <c r="Y407" s="259" t="s">
        <v>283</v>
      </c>
    </row>
    <row r="408" spans="1:25">
      <c r="A408" s="253">
        <v>8</v>
      </c>
      <c r="B408" s="254" t="str">
        <f>VLOOKUP(Tabel10[[#This Row],[Code]],Ruimtegroepen[[Code]:[Ruimte omschrijving]],2,FALSE)</f>
        <v>Kinderopvang</v>
      </c>
      <c r="C408" s="255" t="s">
        <v>623</v>
      </c>
      <c r="D408" s="254" t="s">
        <v>1</v>
      </c>
      <c r="E408" s="255" t="s">
        <v>101</v>
      </c>
      <c r="F408" s="255" t="s">
        <v>626</v>
      </c>
      <c r="G408" s="260" t="s">
        <v>283</v>
      </c>
      <c r="H408" s="256" t="s">
        <v>283</v>
      </c>
      <c r="I408" s="256" t="s">
        <v>20</v>
      </c>
      <c r="J408" s="256" t="s">
        <v>15</v>
      </c>
      <c r="K408" s="256" t="s">
        <v>284</v>
      </c>
      <c r="L408" s="256" t="s">
        <v>283</v>
      </c>
      <c r="M408" s="256" t="s">
        <v>283</v>
      </c>
      <c r="N408" s="256" t="s">
        <v>283</v>
      </c>
      <c r="O408" s="257" t="s">
        <v>2</v>
      </c>
      <c r="P408" s="257" t="s">
        <v>2</v>
      </c>
      <c r="Q408" s="257" t="s">
        <v>15</v>
      </c>
      <c r="R408" s="257" t="s">
        <v>15</v>
      </c>
      <c r="S408" s="257" t="s">
        <v>16</v>
      </c>
      <c r="T408" s="257" t="s">
        <v>330</v>
      </c>
      <c r="U408" s="257" t="s">
        <v>250</v>
      </c>
      <c r="V408" s="257" t="s">
        <v>283</v>
      </c>
      <c r="W408" s="258" t="s">
        <v>283</v>
      </c>
      <c r="X408" s="258" t="s">
        <v>283</v>
      </c>
      <c r="Y408" s="259" t="s">
        <v>283</v>
      </c>
    </row>
    <row r="409" spans="1:25">
      <c r="A409" s="253">
        <v>8</v>
      </c>
      <c r="B409" s="254" t="str">
        <f>VLOOKUP(Tabel10[[#This Row],[Code]],Ruimtegroepen[[Code]:[Ruimte omschrijving]],2,FALSE)</f>
        <v>Kinderopvang</v>
      </c>
      <c r="C409" s="255" t="s">
        <v>623</v>
      </c>
      <c r="D409" s="254" t="s">
        <v>1</v>
      </c>
      <c r="E409" s="255" t="s">
        <v>102</v>
      </c>
      <c r="F409" s="255" t="s">
        <v>627</v>
      </c>
      <c r="G409" s="260" t="s">
        <v>283</v>
      </c>
      <c r="H409" s="256" t="s">
        <v>283</v>
      </c>
      <c r="I409" s="256" t="s">
        <v>2</v>
      </c>
      <c r="J409" s="256" t="s">
        <v>283</v>
      </c>
      <c r="K409" s="256" t="s">
        <v>284</v>
      </c>
      <c r="L409" s="256" t="s">
        <v>283</v>
      </c>
      <c r="M409" s="256" t="s">
        <v>283</v>
      </c>
      <c r="N409" s="256" t="s">
        <v>283</v>
      </c>
      <c r="O409" s="257" t="s">
        <v>2</v>
      </c>
      <c r="P409" s="257" t="s">
        <v>2</v>
      </c>
      <c r="Q409" s="257" t="s">
        <v>15</v>
      </c>
      <c r="R409" s="257" t="s">
        <v>15</v>
      </c>
      <c r="S409" s="257" t="s">
        <v>16</v>
      </c>
      <c r="T409" s="257" t="s">
        <v>330</v>
      </c>
      <c r="U409" s="257" t="s">
        <v>250</v>
      </c>
      <c r="V409" s="257" t="s">
        <v>283</v>
      </c>
      <c r="W409" s="258" t="s">
        <v>283</v>
      </c>
      <c r="X409" s="258" t="s">
        <v>283</v>
      </c>
      <c r="Y409" s="259" t="s">
        <v>283</v>
      </c>
    </row>
    <row r="410" spans="1:25">
      <c r="A410" s="253">
        <v>8</v>
      </c>
      <c r="B410" s="254" t="str">
        <f>VLOOKUP(Tabel10[[#This Row],[Code]],Ruimtegroepen[[Code]:[Ruimte omschrijving]],2,FALSE)</f>
        <v>Kinderopvang</v>
      </c>
      <c r="C410" s="255" t="s">
        <v>623</v>
      </c>
      <c r="D410" s="254" t="s">
        <v>1</v>
      </c>
      <c r="E410" s="255" t="s">
        <v>99</v>
      </c>
      <c r="F410" s="255" t="s">
        <v>625</v>
      </c>
      <c r="G410" s="260" t="s">
        <v>283</v>
      </c>
      <c r="H410" s="256" t="s">
        <v>2</v>
      </c>
      <c r="I410" s="256" t="s">
        <v>283</v>
      </c>
      <c r="J410" s="256" t="s">
        <v>283</v>
      </c>
      <c r="K410" s="256" t="s">
        <v>283</v>
      </c>
      <c r="L410" s="256" t="s">
        <v>283</v>
      </c>
      <c r="M410" s="256" t="s">
        <v>283</v>
      </c>
      <c r="N410" s="256" t="s">
        <v>283</v>
      </c>
      <c r="O410" s="257" t="s">
        <v>2</v>
      </c>
      <c r="P410" s="257" t="s">
        <v>2</v>
      </c>
      <c r="Q410" s="257" t="s">
        <v>15</v>
      </c>
      <c r="R410" s="257" t="s">
        <v>15</v>
      </c>
      <c r="S410" s="257" t="s">
        <v>16</v>
      </c>
      <c r="T410" s="257" t="s">
        <v>330</v>
      </c>
      <c r="U410" s="257" t="s">
        <v>250</v>
      </c>
      <c r="V410" s="257" t="s">
        <v>283</v>
      </c>
      <c r="W410" s="258" t="s">
        <v>283</v>
      </c>
      <c r="X410" s="258" t="s">
        <v>283</v>
      </c>
      <c r="Y410" s="259" t="s">
        <v>283</v>
      </c>
    </row>
    <row r="411" spans="1:25">
      <c r="A411" s="253">
        <v>8</v>
      </c>
      <c r="B411" s="254" t="str">
        <f>VLOOKUP(Tabel10[[#This Row],[Code]],Ruimtegroepen[[Code]:[Ruimte omschrijving]],2,FALSE)</f>
        <v>Kinderopvang</v>
      </c>
      <c r="C411" s="255" t="s">
        <v>623</v>
      </c>
      <c r="D411" s="254" t="s">
        <v>1</v>
      </c>
      <c r="E411" s="255" t="s">
        <v>1312</v>
      </c>
      <c r="F411" s="255" t="s">
        <v>1468</v>
      </c>
      <c r="G411" s="260" t="s">
        <v>283</v>
      </c>
      <c r="H411" s="256" t="s">
        <v>283</v>
      </c>
      <c r="I411" s="256" t="s">
        <v>2</v>
      </c>
      <c r="J411" s="256" t="s">
        <v>283</v>
      </c>
      <c r="K411" s="256" t="s">
        <v>284</v>
      </c>
      <c r="L411" s="256" t="s">
        <v>283</v>
      </c>
      <c r="M411" s="256" t="s">
        <v>283</v>
      </c>
      <c r="N411" s="256" t="s">
        <v>283</v>
      </c>
      <c r="O411" s="257" t="s">
        <v>2</v>
      </c>
      <c r="P411" s="257" t="s">
        <v>2</v>
      </c>
      <c r="Q411" s="257" t="s">
        <v>15</v>
      </c>
      <c r="R411" s="257" t="s">
        <v>15</v>
      </c>
      <c r="S411" s="257" t="s">
        <v>16</v>
      </c>
      <c r="T411" s="257" t="s">
        <v>330</v>
      </c>
      <c r="U411" s="257" t="s">
        <v>250</v>
      </c>
      <c r="V411" s="257" t="s">
        <v>283</v>
      </c>
      <c r="W411" s="258" t="s">
        <v>283</v>
      </c>
      <c r="X411" s="258" t="s">
        <v>283</v>
      </c>
      <c r="Y411" s="259" t="s">
        <v>283</v>
      </c>
    </row>
    <row r="412" spans="1:25">
      <c r="A412" s="253">
        <v>8</v>
      </c>
      <c r="B412" s="254" t="str">
        <f>VLOOKUP(Tabel10[[#This Row],[Code]],Ruimtegroepen[[Code]:[Ruimte omschrijving]],2,FALSE)</f>
        <v>Kinderopvang</v>
      </c>
      <c r="C412" s="255" t="s">
        <v>628</v>
      </c>
      <c r="D412" s="254" t="s">
        <v>21</v>
      </c>
      <c r="E412" s="255" t="s">
        <v>100</v>
      </c>
      <c r="F412" s="255" t="s">
        <v>629</v>
      </c>
      <c r="G412" s="260" t="s">
        <v>283</v>
      </c>
      <c r="H412" s="256" t="s">
        <v>283</v>
      </c>
      <c r="I412" s="256" t="s">
        <v>18</v>
      </c>
      <c r="J412" s="256" t="s">
        <v>15</v>
      </c>
      <c r="K412" s="256" t="s">
        <v>283</v>
      </c>
      <c r="L412" s="256" t="s">
        <v>283</v>
      </c>
      <c r="M412" s="256" t="s">
        <v>283</v>
      </c>
      <c r="N412" s="256" t="s">
        <v>283</v>
      </c>
      <c r="O412" s="257" t="s">
        <v>20</v>
      </c>
      <c r="P412" s="257" t="s">
        <v>20</v>
      </c>
      <c r="Q412" s="257" t="s">
        <v>15</v>
      </c>
      <c r="R412" s="257" t="s">
        <v>15</v>
      </c>
      <c r="S412" s="257" t="s">
        <v>16</v>
      </c>
      <c r="T412" s="257" t="s">
        <v>330</v>
      </c>
      <c r="U412" s="257" t="s">
        <v>250</v>
      </c>
      <c r="V412" s="257" t="s">
        <v>283</v>
      </c>
      <c r="W412" s="258" t="s">
        <v>283</v>
      </c>
      <c r="X412" s="258" t="s">
        <v>283</v>
      </c>
      <c r="Y412" s="259" t="s">
        <v>283</v>
      </c>
    </row>
    <row r="413" spans="1:25">
      <c r="A413" s="253">
        <v>8</v>
      </c>
      <c r="B413" s="254" t="str">
        <f>VLOOKUP(Tabel10[[#This Row],[Code]],Ruimtegroepen[[Code]:[Ruimte omschrijving]],2,FALSE)</f>
        <v>Kinderopvang</v>
      </c>
      <c r="C413" s="255" t="s">
        <v>628</v>
      </c>
      <c r="D413" s="254" t="s">
        <v>21</v>
      </c>
      <c r="E413" s="255" t="s">
        <v>99</v>
      </c>
      <c r="F413" s="255" t="s">
        <v>630</v>
      </c>
      <c r="G413" s="260" t="s">
        <v>283</v>
      </c>
      <c r="H413" s="256" t="s">
        <v>20</v>
      </c>
      <c r="I413" s="256" t="s">
        <v>283</v>
      </c>
      <c r="J413" s="256" t="s">
        <v>283</v>
      </c>
      <c r="K413" s="256" t="s">
        <v>283</v>
      </c>
      <c r="L413" s="256" t="s">
        <v>283</v>
      </c>
      <c r="M413" s="256" t="s">
        <v>283</v>
      </c>
      <c r="N413" s="256" t="s">
        <v>283</v>
      </c>
      <c r="O413" s="257" t="s">
        <v>20</v>
      </c>
      <c r="P413" s="257" t="s">
        <v>20</v>
      </c>
      <c r="Q413" s="257" t="s">
        <v>15</v>
      </c>
      <c r="R413" s="257" t="s">
        <v>15</v>
      </c>
      <c r="S413" s="257" t="s">
        <v>16</v>
      </c>
      <c r="T413" s="257" t="s">
        <v>330</v>
      </c>
      <c r="U413" s="257" t="s">
        <v>250</v>
      </c>
      <c r="V413" s="257" t="s">
        <v>283</v>
      </c>
      <c r="W413" s="258" t="s">
        <v>283</v>
      </c>
      <c r="X413" s="258" t="s">
        <v>283</v>
      </c>
      <c r="Y413" s="259" t="s">
        <v>283</v>
      </c>
    </row>
    <row r="414" spans="1:25">
      <c r="A414" s="253">
        <v>8</v>
      </c>
      <c r="B414" s="254" t="str">
        <f>VLOOKUP(Tabel10[[#This Row],[Code]],Ruimtegroepen[[Code]:[Ruimte omschrijving]],2,FALSE)</f>
        <v>Kinderopvang</v>
      </c>
      <c r="C414" s="255" t="s">
        <v>628</v>
      </c>
      <c r="D414" s="254" t="s">
        <v>21</v>
      </c>
      <c r="E414" s="255" t="s">
        <v>101</v>
      </c>
      <c r="F414" s="255" t="s">
        <v>631</v>
      </c>
      <c r="G414" s="260" t="s">
        <v>283</v>
      </c>
      <c r="H414" s="256" t="s">
        <v>283</v>
      </c>
      <c r="I414" s="256" t="s">
        <v>18</v>
      </c>
      <c r="J414" s="256" t="s">
        <v>15</v>
      </c>
      <c r="K414" s="256" t="s">
        <v>284</v>
      </c>
      <c r="L414" s="256" t="s">
        <v>283</v>
      </c>
      <c r="M414" s="256" t="s">
        <v>283</v>
      </c>
      <c r="N414" s="256" t="s">
        <v>283</v>
      </c>
      <c r="O414" s="257" t="s">
        <v>20</v>
      </c>
      <c r="P414" s="257" t="s">
        <v>20</v>
      </c>
      <c r="Q414" s="257" t="s">
        <v>15</v>
      </c>
      <c r="R414" s="257" t="s">
        <v>15</v>
      </c>
      <c r="S414" s="257" t="s">
        <v>16</v>
      </c>
      <c r="T414" s="257" t="s">
        <v>330</v>
      </c>
      <c r="U414" s="257" t="s">
        <v>250</v>
      </c>
      <c r="V414" s="257" t="s">
        <v>283</v>
      </c>
      <c r="W414" s="258" t="s">
        <v>283</v>
      </c>
      <c r="X414" s="258" t="s">
        <v>283</v>
      </c>
      <c r="Y414" s="259" t="s">
        <v>283</v>
      </c>
    </row>
    <row r="415" spans="1:25">
      <c r="A415" s="253">
        <v>8</v>
      </c>
      <c r="B415" s="254" t="str">
        <f>VLOOKUP(Tabel10[[#This Row],[Code]],Ruimtegroepen[[Code]:[Ruimte omschrijving]],2,FALSE)</f>
        <v>Kinderopvang</v>
      </c>
      <c r="C415" s="255" t="s">
        <v>628</v>
      </c>
      <c r="D415" s="254" t="s">
        <v>21</v>
      </c>
      <c r="E415" s="255" t="s">
        <v>102</v>
      </c>
      <c r="F415" s="255" t="s">
        <v>632</v>
      </c>
      <c r="G415" s="260" t="s">
        <v>283</v>
      </c>
      <c r="H415" s="256" t="s">
        <v>283</v>
      </c>
      <c r="I415" s="256" t="s">
        <v>18</v>
      </c>
      <c r="J415" s="256" t="s">
        <v>15</v>
      </c>
      <c r="K415" s="256" t="s">
        <v>284</v>
      </c>
      <c r="L415" s="256" t="s">
        <v>283</v>
      </c>
      <c r="M415" s="256" t="s">
        <v>283</v>
      </c>
      <c r="N415" s="256" t="s">
        <v>283</v>
      </c>
      <c r="O415" s="257" t="s">
        <v>20</v>
      </c>
      <c r="P415" s="257" t="s">
        <v>20</v>
      </c>
      <c r="Q415" s="257" t="s">
        <v>15</v>
      </c>
      <c r="R415" s="257" t="s">
        <v>15</v>
      </c>
      <c r="S415" s="257" t="s">
        <v>16</v>
      </c>
      <c r="T415" s="257" t="s">
        <v>330</v>
      </c>
      <c r="U415" s="257" t="s">
        <v>250</v>
      </c>
      <c r="V415" s="257" t="s">
        <v>283</v>
      </c>
      <c r="W415" s="258" t="s">
        <v>283</v>
      </c>
      <c r="X415" s="258" t="s">
        <v>283</v>
      </c>
      <c r="Y415" s="259" t="s">
        <v>283</v>
      </c>
    </row>
    <row r="416" spans="1:25">
      <c r="A416" s="253">
        <v>8</v>
      </c>
      <c r="B416" s="254" t="str">
        <f>VLOOKUP(Tabel10[[#This Row],[Code]],Ruimtegroepen[[Code]:[Ruimte omschrijving]],2,FALSE)</f>
        <v>Kinderopvang</v>
      </c>
      <c r="C416" s="255" t="s">
        <v>628</v>
      </c>
      <c r="D416" s="254" t="s">
        <v>21</v>
      </c>
      <c r="E416" s="255" t="s">
        <v>99</v>
      </c>
      <c r="F416" s="255" t="s">
        <v>630</v>
      </c>
      <c r="G416" s="260" t="s">
        <v>283</v>
      </c>
      <c r="H416" s="256" t="s">
        <v>20</v>
      </c>
      <c r="I416" s="256" t="s">
        <v>283</v>
      </c>
      <c r="J416" s="256" t="s">
        <v>283</v>
      </c>
      <c r="K416" s="256" t="s">
        <v>283</v>
      </c>
      <c r="L416" s="256" t="s">
        <v>283</v>
      </c>
      <c r="M416" s="256" t="s">
        <v>283</v>
      </c>
      <c r="N416" s="256" t="s">
        <v>283</v>
      </c>
      <c r="O416" s="257" t="s">
        <v>20</v>
      </c>
      <c r="P416" s="257" t="s">
        <v>20</v>
      </c>
      <c r="Q416" s="257" t="s">
        <v>15</v>
      </c>
      <c r="R416" s="257" t="s">
        <v>15</v>
      </c>
      <c r="S416" s="257" t="s">
        <v>16</v>
      </c>
      <c r="T416" s="257" t="s">
        <v>330</v>
      </c>
      <c r="U416" s="257" t="s">
        <v>250</v>
      </c>
      <c r="V416" s="257" t="s">
        <v>283</v>
      </c>
      <c r="W416" s="258" t="s">
        <v>283</v>
      </c>
      <c r="X416" s="258" t="s">
        <v>283</v>
      </c>
      <c r="Y416" s="259" t="s">
        <v>283</v>
      </c>
    </row>
    <row r="417" spans="1:25">
      <c r="A417" s="253">
        <v>8</v>
      </c>
      <c r="B417" s="254" t="str">
        <f>VLOOKUP(Tabel10[[#This Row],[Code]],Ruimtegroepen[[Code]:[Ruimte omschrijving]],2,FALSE)</f>
        <v>Kinderopvang</v>
      </c>
      <c r="C417" s="255" t="s">
        <v>628</v>
      </c>
      <c r="D417" s="254" t="s">
        <v>21</v>
      </c>
      <c r="E417" s="255" t="s">
        <v>1312</v>
      </c>
      <c r="F417" s="255" t="s">
        <v>1451</v>
      </c>
      <c r="G417" s="260" t="s">
        <v>283</v>
      </c>
      <c r="H417" s="256" t="s">
        <v>283</v>
      </c>
      <c r="I417" s="256" t="s">
        <v>18</v>
      </c>
      <c r="J417" s="256" t="s">
        <v>15</v>
      </c>
      <c r="K417" s="256" t="s">
        <v>284</v>
      </c>
      <c r="L417" s="256" t="s">
        <v>283</v>
      </c>
      <c r="M417" s="256" t="s">
        <v>283</v>
      </c>
      <c r="N417" s="256" t="s">
        <v>283</v>
      </c>
      <c r="O417" s="257" t="s">
        <v>20</v>
      </c>
      <c r="P417" s="257" t="s">
        <v>20</v>
      </c>
      <c r="Q417" s="257" t="s">
        <v>15</v>
      </c>
      <c r="R417" s="257" t="s">
        <v>15</v>
      </c>
      <c r="S417" s="257" t="s">
        <v>16</v>
      </c>
      <c r="T417" s="257" t="s">
        <v>330</v>
      </c>
      <c r="U417" s="257" t="s">
        <v>250</v>
      </c>
      <c r="V417" s="257" t="s">
        <v>283</v>
      </c>
      <c r="W417" s="258" t="s">
        <v>283</v>
      </c>
      <c r="X417" s="258" t="s">
        <v>283</v>
      </c>
      <c r="Y417" s="259" t="s">
        <v>283</v>
      </c>
    </row>
    <row r="418" spans="1:25">
      <c r="A418" s="253">
        <v>8</v>
      </c>
      <c r="B418" s="254" t="str">
        <f>VLOOKUP(Tabel10[[#This Row],[Code]],Ruimtegroepen[[Code]:[Ruimte omschrijving]],2,FALSE)</f>
        <v>Kinderopvang</v>
      </c>
      <c r="C418" s="255" t="s">
        <v>633</v>
      </c>
      <c r="D418" s="254" t="s">
        <v>12</v>
      </c>
      <c r="E418" s="255" t="s">
        <v>100</v>
      </c>
      <c r="F418" s="255" t="s">
        <v>634</v>
      </c>
      <c r="G418" s="260" t="s">
        <v>283</v>
      </c>
      <c r="H418" s="256" t="s">
        <v>283</v>
      </c>
      <c r="I418" s="256" t="s">
        <v>17</v>
      </c>
      <c r="J418" s="256" t="s">
        <v>15</v>
      </c>
      <c r="K418" s="256" t="s">
        <v>283</v>
      </c>
      <c r="L418" s="256" t="s">
        <v>283</v>
      </c>
      <c r="M418" s="256" t="s">
        <v>283</v>
      </c>
      <c r="N418" s="256" t="s">
        <v>283</v>
      </c>
      <c r="O418" s="257" t="s">
        <v>18</v>
      </c>
      <c r="P418" s="257" t="s">
        <v>18</v>
      </c>
      <c r="Q418" s="257" t="s">
        <v>15</v>
      </c>
      <c r="R418" s="257" t="s">
        <v>15</v>
      </c>
      <c r="S418" s="257" t="s">
        <v>16</v>
      </c>
      <c r="T418" s="257" t="s">
        <v>330</v>
      </c>
      <c r="U418" s="257" t="s">
        <v>250</v>
      </c>
      <c r="V418" s="257" t="s">
        <v>283</v>
      </c>
      <c r="W418" s="258" t="s">
        <v>283</v>
      </c>
      <c r="X418" s="258" t="s">
        <v>283</v>
      </c>
      <c r="Y418" s="259" t="s">
        <v>283</v>
      </c>
    </row>
    <row r="419" spans="1:25">
      <c r="A419" s="253">
        <v>8</v>
      </c>
      <c r="B419" s="254" t="str">
        <f>VLOOKUP(Tabel10[[#This Row],[Code]],Ruimtegroepen[[Code]:[Ruimte omschrijving]],2,FALSE)</f>
        <v>Kinderopvang</v>
      </c>
      <c r="C419" s="255" t="s">
        <v>633</v>
      </c>
      <c r="D419" s="254" t="s">
        <v>12</v>
      </c>
      <c r="E419" s="255" t="s">
        <v>99</v>
      </c>
      <c r="F419" s="255" t="s">
        <v>635</v>
      </c>
      <c r="G419" s="260" t="s">
        <v>283</v>
      </c>
      <c r="H419" s="256" t="s">
        <v>18</v>
      </c>
      <c r="I419" s="256" t="s">
        <v>283</v>
      </c>
      <c r="J419" s="256" t="s">
        <v>283</v>
      </c>
      <c r="K419" s="256" t="s">
        <v>283</v>
      </c>
      <c r="L419" s="256" t="s">
        <v>283</v>
      </c>
      <c r="M419" s="256" t="s">
        <v>283</v>
      </c>
      <c r="N419" s="256" t="s">
        <v>283</v>
      </c>
      <c r="O419" s="257" t="s">
        <v>18</v>
      </c>
      <c r="P419" s="257" t="s">
        <v>18</v>
      </c>
      <c r="Q419" s="257" t="s">
        <v>15</v>
      </c>
      <c r="R419" s="257" t="s">
        <v>15</v>
      </c>
      <c r="S419" s="257" t="s">
        <v>16</v>
      </c>
      <c r="T419" s="257" t="s">
        <v>330</v>
      </c>
      <c r="U419" s="257" t="s">
        <v>250</v>
      </c>
      <c r="V419" s="257" t="s">
        <v>283</v>
      </c>
      <c r="W419" s="258" t="s">
        <v>283</v>
      </c>
      <c r="X419" s="258" t="s">
        <v>283</v>
      </c>
      <c r="Y419" s="259" t="s">
        <v>283</v>
      </c>
    </row>
    <row r="420" spans="1:25">
      <c r="A420" s="253">
        <v>8</v>
      </c>
      <c r="B420" s="254" t="str">
        <f>VLOOKUP(Tabel10[[#This Row],[Code]],Ruimtegroepen[[Code]:[Ruimte omschrijving]],2,FALSE)</f>
        <v>Kinderopvang</v>
      </c>
      <c r="C420" s="255" t="s">
        <v>633</v>
      </c>
      <c r="D420" s="254" t="s">
        <v>12</v>
      </c>
      <c r="E420" s="255" t="s">
        <v>101</v>
      </c>
      <c r="F420" s="255" t="s">
        <v>636</v>
      </c>
      <c r="G420" s="260" t="s">
        <v>283</v>
      </c>
      <c r="H420" s="256" t="s">
        <v>283</v>
      </c>
      <c r="I420" s="256" t="s">
        <v>17</v>
      </c>
      <c r="J420" s="256" t="s">
        <v>15</v>
      </c>
      <c r="K420" s="256" t="s">
        <v>284</v>
      </c>
      <c r="L420" s="256" t="s">
        <v>283</v>
      </c>
      <c r="M420" s="256" t="s">
        <v>283</v>
      </c>
      <c r="N420" s="256" t="s">
        <v>283</v>
      </c>
      <c r="O420" s="257" t="s">
        <v>18</v>
      </c>
      <c r="P420" s="257" t="s">
        <v>18</v>
      </c>
      <c r="Q420" s="257" t="s">
        <v>15</v>
      </c>
      <c r="R420" s="257" t="s">
        <v>15</v>
      </c>
      <c r="S420" s="257" t="s">
        <v>16</v>
      </c>
      <c r="T420" s="257" t="s">
        <v>330</v>
      </c>
      <c r="U420" s="257" t="s">
        <v>250</v>
      </c>
      <c r="V420" s="257" t="s">
        <v>283</v>
      </c>
      <c r="W420" s="258" t="s">
        <v>283</v>
      </c>
      <c r="X420" s="258" t="s">
        <v>283</v>
      </c>
      <c r="Y420" s="259" t="s">
        <v>283</v>
      </c>
    </row>
    <row r="421" spans="1:25">
      <c r="A421" s="253">
        <v>8</v>
      </c>
      <c r="B421" s="254" t="str">
        <f>VLOOKUP(Tabel10[[#This Row],[Code]],Ruimtegroepen[[Code]:[Ruimte omschrijving]],2,FALSE)</f>
        <v>Kinderopvang</v>
      </c>
      <c r="C421" s="255" t="s">
        <v>633</v>
      </c>
      <c r="D421" s="254" t="s">
        <v>12</v>
      </c>
      <c r="E421" s="255" t="s">
        <v>102</v>
      </c>
      <c r="F421" s="255" t="s">
        <v>637</v>
      </c>
      <c r="G421" s="260" t="s">
        <v>283</v>
      </c>
      <c r="H421" s="256" t="s">
        <v>283</v>
      </c>
      <c r="I421" s="256" t="s">
        <v>17</v>
      </c>
      <c r="J421" s="256" t="s">
        <v>15</v>
      </c>
      <c r="K421" s="256" t="s">
        <v>284</v>
      </c>
      <c r="L421" s="256" t="s">
        <v>283</v>
      </c>
      <c r="M421" s="256" t="s">
        <v>283</v>
      </c>
      <c r="N421" s="256" t="s">
        <v>283</v>
      </c>
      <c r="O421" s="257" t="s">
        <v>18</v>
      </c>
      <c r="P421" s="257" t="s">
        <v>18</v>
      </c>
      <c r="Q421" s="257" t="s">
        <v>15</v>
      </c>
      <c r="R421" s="257" t="s">
        <v>15</v>
      </c>
      <c r="S421" s="257" t="s">
        <v>16</v>
      </c>
      <c r="T421" s="257" t="s">
        <v>330</v>
      </c>
      <c r="U421" s="257" t="s">
        <v>250</v>
      </c>
      <c r="V421" s="257" t="s">
        <v>283</v>
      </c>
      <c r="W421" s="258" t="s">
        <v>283</v>
      </c>
      <c r="X421" s="258" t="s">
        <v>283</v>
      </c>
      <c r="Y421" s="259" t="s">
        <v>283</v>
      </c>
    </row>
    <row r="422" spans="1:25">
      <c r="A422" s="253">
        <v>8</v>
      </c>
      <c r="B422" s="254" t="str">
        <f>VLOOKUP(Tabel10[[#This Row],[Code]],Ruimtegroepen[[Code]:[Ruimte omschrijving]],2,FALSE)</f>
        <v>Kinderopvang</v>
      </c>
      <c r="C422" s="255" t="s">
        <v>633</v>
      </c>
      <c r="D422" s="254" t="s">
        <v>12</v>
      </c>
      <c r="E422" s="255" t="s">
        <v>99</v>
      </c>
      <c r="F422" s="255" t="s">
        <v>635</v>
      </c>
      <c r="G422" s="260" t="s">
        <v>283</v>
      </c>
      <c r="H422" s="256" t="s">
        <v>18</v>
      </c>
      <c r="I422" s="256" t="s">
        <v>283</v>
      </c>
      <c r="J422" s="256" t="s">
        <v>283</v>
      </c>
      <c r="K422" s="256" t="s">
        <v>283</v>
      </c>
      <c r="L422" s="256" t="s">
        <v>283</v>
      </c>
      <c r="M422" s="256" t="s">
        <v>283</v>
      </c>
      <c r="N422" s="256" t="s">
        <v>283</v>
      </c>
      <c r="O422" s="257" t="s">
        <v>18</v>
      </c>
      <c r="P422" s="257" t="s">
        <v>18</v>
      </c>
      <c r="Q422" s="257" t="s">
        <v>15</v>
      </c>
      <c r="R422" s="257" t="s">
        <v>15</v>
      </c>
      <c r="S422" s="257" t="s">
        <v>16</v>
      </c>
      <c r="T422" s="257" t="s">
        <v>330</v>
      </c>
      <c r="U422" s="257" t="s">
        <v>250</v>
      </c>
      <c r="V422" s="257" t="s">
        <v>283</v>
      </c>
      <c r="W422" s="258" t="s">
        <v>283</v>
      </c>
      <c r="X422" s="258" t="s">
        <v>283</v>
      </c>
      <c r="Y422" s="259" t="s">
        <v>283</v>
      </c>
    </row>
    <row r="423" spans="1:25">
      <c r="A423" s="253">
        <v>8</v>
      </c>
      <c r="B423" s="254" t="str">
        <f>VLOOKUP(Tabel10[[#This Row],[Code]],Ruimtegroepen[[Code]:[Ruimte omschrijving]],2,FALSE)</f>
        <v>Kinderopvang</v>
      </c>
      <c r="C423" s="255" t="s">
        <v>633</v>
      </c>
      <c r="D423" s="254" t="s">
        <v>12</v>
      </c>
      <c r="E423" s="255" t="s">
        <v>1312</v>
      </c>
      <c r="F423" s="255" t="s">
        <v>1433</v>
      </c>
      <c r="G423" s="260" t="s">
        <v>283</v>
      </c>
      <c r="H423" s="256" t="s">
        <v>283</v>
      </c>
      <c r="I423" s="256" t="s">
        <v>17</v>
      </c>
      <c r="J423" s="256" t="s">
        <v>15</v>
      </c>
      <c r="K423" s="256" t="s">
        <v>284</v>
      </c>
      <c r="L423" s="256" t="s">
        <v>283</v>
      </c>
      <c r="M423" s="256" t="s">
        <v>283</v>
      </c>
      <c r="N423" s="256" t="s">
        <v>283</v>
      </c>
      <c r="O423" s="257" t="s">
        <v>18</v>
      </c>
      <c r="P423" s="257" t="s">
        <v>18</v>
      </c>
      <c r="Q423" s="257" t="s">
        <v>15</v>
      </c>
      <c r="R423" s="257" t="s">
        <v>15</v>
      </c>
      <c r="S423" s="257" t="s">
        <v>16</v>
      </c>
      <c r="T423" s="257" t="s">
        <v>330</v>
      </c>
      <c r="U423" s="257" t="s">
        <v>250</v>
      </c>
      <c r="V423" s="257" t="s">
        <v>283</v>
      </c>
      <c r="W423" s="258" t="s">
        <v>283</v>
      </c>
      <c r="X423" s="258" t="s">
        <v>283</v>
      </c>
      <c r="Y423" s="259" t="s">
        <v>283</v>
      </c>
    </row>
    <row r="424" spans="1:25">
      <c r="A424" s="253">
        <v>8</v>
      </c>
      <c r="B424" s="254" t="str">
        <f>VLOOKUP(Tabel10[[#This Row],[Code]],Ruimtegroepen[[Code]:[Ruimte omschrijving]],2,FALSE)</f>
        <v>Kinderopvang</v>
      </c>
      <c r="C424" s="255" t="s">
        <v>638</v>
      </c>
      <c r="D424" s="254" t="s">
        <v>14</v>
      </c>
      <c r="E424" s="255" t="s">
        <v>100</v>
      </c>
      <c r="F424" s="255" t="s">
        <v>639</v>
      </c>
      <c r="G424" s="260" t="s">
        <v>283</v>
      </c>
      <c r="H424" s="256" t="s">
        <v>283</v>
      </c>
      <c r="I424" s="256" t="s">
        <v>15</v>
      </c>
      <c r="J424" s="256" t="s">
        <v>15</v>
      </c>
      <c r="K424" s="256" t="s">
        <v>283</v>
      </c>
      <c r="L424" s="256" t="s">
        <v>283</v>
      </c>
      <c r="M424" s="256" t="s">
        <v>283</v>
      </c>
      <c r="N424" s="256" t="s">
        <v>283</v>
      </c>
      <c r="O424" s="257" t="s">
        <v>17</v>
      </c>
      <c r="P424" s="257" t="s">
        <v>17</v>
      </c>
      <c r="Q424" s="257" t="s">
        <v>15</v>
      </c>
      <c r="R424" s="257" t="s">
        <v>15</v>
      </c>
      <c r="S424" s="257" t="s">
        <v>16</v>
      </c>
      <c r="T424" s="257" t="s">
        <v>330</v>
      </c>
      <c r="U424" s="257" t="s">
        <v>250</v>
      </c>
      <c r="V424" s="257" t="s">
        <v>283</v>
      </c>
      <c r="W424" s="258" t="s">
        <v>283</v>
      </c>
      <c r="X424" s="258" t="s">
        <v>283</v>
      </c>
      <c r="Y424" s="259" t="s">
        <v>283</v>
      </c>
    </row>
    <row r="425" spans="1:25">
      <c r="A425" s="253">
        <v>8</v>
      </c>
      <c r="B425" s="254" t="str">
        <f>VLOOKUP(Tabel10[[#This Row],[Code]],Ruimtegroepen[[Code]:[Ruimte omschrijving]],2,FALSE)</f>
        <v>Kinderopvang</v>
      </c>
      <c r="C425" s="255" t="s">
        <v>638</v>
      </c>
      <c r="D425" s="254" t="s">
        <v>14</v>
      </c>
      <c r="E425" s="255" t="s">
        <v>99</v>
      </c>
      <c r="F425" s="255" t="s">
        <v>640</v>
      </c>
      <c r="G425" s="260" t="s">
        <v>283</v>
      </c>
      <c r="H425" s="256" t="s">
        <v>17</v>
      </c>
      <c r="I425" s="256" t="s">
        <v>283</v>
      </c>
      <c r="J425" s="256" t="s">
        <v>283</v>
      </c>
      <c r="K425" s="256" t="s">
        <v>283</v>
      </c>
      <c r="L425" s="256" t="s">
        <v>283</v>
      </c>
      <c r="M425" s="256" t="s">
        <v>283</v>
      </c>
      <c r="N425" s="256" t="s">
        <v>283</v>
      </c>
      <c r="O425" s="257" t="s">
        <v>17</v>
      </c>
      <c r="P425" s="257" t="s">
        <v>17</v>
      </c>
      <c r="Q425" s="257" t="s">
        <v>15</v>
      </c>
      <c r="R425" s="257" t="s">
        <v>15</v>
      </c>
      <c r="S425" s="257" t="s">
        <v>16</v>
      </c>
      <c r="T425" s="257" t="s">
        <v>330</v>
      </c>
      <c r="U425" s="257" t="s">
        <v>250</v>
      </c>
      <c r="V425" s="257" t="s">
        <v>283</v>
      </c>
      <c r="W425" s="258" t="s">
        <v>283</v>
      </c>
      <c r="X425" s="258" t="s">
        <v>283</v>
      </c>
      <c r="Y425" s="259" t="s">
        <v>283</v>
      </c>
    </row>
    <row r="426" spans="1:25">
      <c r="A426" s="253">
        <v>8</v>
      </c>
      <c r="B426" s="254" t="str">
        <f>VLOOKUP(Tabel10[[#This Row],[Code]],Ruimtegroepen[[Code]:[Ruimte omschrijving]],2,FALSE)</f>
        <v>Kinderopvang</v>
      </c>
      <c r="C426" s="255" t="s">
        <v>638</v>
      </c>
      <c r="D426" s="254" t="s">
        <v>14</v>
      </c>
      <c r="E426" s="255" t="s">
        <v>101</v>
      </c>
      <c r="F426" s="255" t="s">
        <v>641</v>
      </c>
      <c r="G426" s="260" t="s">
        <v>283</v>
      </c>
      <c r="H426" s="256" t="s">
        <v>283</v>
      </c>
      <c r="I426" s="256" t="s">
        <v>15</v>
      </c>
      <c r="J426" s="256" t="s">
        <v>15</v>
      </c>
      <c r="K426" s="256" t="s">
        <v>284</v>
      </c>
      <c r="L426" s="256" t="s">
        <v>283</v>
      </c>
      <c r="M426" s="256" t="s">
        <v>283</v>
      </c>
      <c r="N426" s="256" t="s">
        <v>283</v>
      </c>
      <c r="O426" s="257" t="s">
        <v>17</v>
      </c>
      <c r="P426" s="257" t="s">
        <v>17</v>
      </c>
      <c r="Q426" s="257" t="s">
        <v>15</v>
      </c>
      <c r="R426" s="257" t="s">
        <v>15</v>
      </c>
      <c r="S426" s="257" t="s">
        <v>16</v>
      </c>
      <c r="T426" s="257" t="s">
        <v>330</v>
      </c>
      <c r="U426" s="257" t="s">
        <v>250</v>
      </c>
      <c r="V426" s="257" t="s">
        <v>283</v>
      </c>
      <c r="W426" s="258" t="s">
        <v>283</v>
      </c>
      <c r="X426" s="258" t="s">
        <v>283</v>
      </c>
      <c r="Y426" s="259" t="s">
        <v>283</v>
      </c>
    </row>
    <row r="427" spans="1:25">
      <c r="A427" s="253">
        <v>8</v>
      </c>
      <c r="B427" s="254" t="str">
        <f>VLOOKUP(Tabel10[[#This Row],[Code]],Ruimtegroepen[[Code]:[Ruimte omschrijving]],2,FALSE)</f>
        <v>Kinderopvang</v>
      </c>
      <c r="C427" s="255" t="s">
        <v>638</v>
      </c>
      <c r="D427" s="254" t="s">
        <v>14</v>
      </c>
      <c r="E427" s="255" t="s">
        <v>102</v>
      </c>
      <c r="F427" s="255" t="s">
        <v>642</v>
      </c>
      <c r="G427" s="260" t="s">
        <v>283</v>
      </c>
      <c r="H427" s="256" t="s">
        <v>283</v>
      </c>
      <c r="I427" s="256" t="s">
        <v>15</v>
      </c>
      <c r="J427" s="256" t="s">
        <v>15</v>
      </c>
      <c r="K427" s="256" t="s">
        <v>284</v>
      </c>
      <c r="L427" s="256" t="s">
        <v>283</v>
      </c>
      <c r="M427" s="256" t="s">
        <v>283</v>
      </c>
      <c r="N427" s="256" t="s">
        <v>283</v>
      </c>
      <c r="O427" s="257" t="s">
        <v>17</v>
      </c>
      <c r="P427" s="257" t="s">
        <v>17</v>
      </c>
      <c r="Q427" s="257" t="s">
        <v>15</v>
      </c>
      <c r="R427" s="257" t="s">
        <v>15</v>
      </c>
      <c r="S427" s="257" t="s">
        <v>16</v>
      </c>
      <c r="T427" s="257" t="s">
        <v>330</v>
      </c>
      <c r="U427" s="257" t="s">
        <v>250</v>
      </c>
      <c r="V427" s="257" t="s">
        <v>283</v>
      </c>
      <c r="W427" s="258" t="s">
        <v>283</v>
      </c>
      <c r="X427" s="258" t="s">
        <v>283</v>
      </c>
      <c r="Y427" s="259" t="s">
        <v>283</v>
      </c>
    </row>
    <row r="428" spans="1:25">
      <c r="A428" s="253">
        <v>8</v>
      </c>
      <c r="B428" s="254" t="str">
        <f>VLOOKUP(Tabel10[[#This Row],[Code]],Ruimtegroepen[[Code]:[Ruimte omschrijving]],2,FALSE)</f>
        <v>Kinderopvang</v>
      </c>
      <c r="C428" s="255" t="s">
        <v>638</v>
      </c>
      <c r="D428" s="254" t="s">
        <v>14</v>
      </c>
      <c r="E428" s="255" t="s">
        <v>99</v>
      </c>
      <c r="F428" s="255" t="s">
        <v>640</v>
      </c>
      <c r="G428" s="260" t="s">
        <v>283</v>
      </c>
      <c r="H428" s="256" t="s">
        <v>17</v>
      </c>
      <c r="I428" s="256" t="s">
        <v>283</v>
      </c>
      <c r="J428" s="256" t="s">
        <v>283</v>
      </c>
      <c r="K428" s="256" t="s">
        <v>283</v>
      </c>
      <c r="L428" s="256" t="s">
        <v>283</v>
      </c>
      <c r="M428" s="256" t="s">
        <v>283</v>
      </c>
      <c r="N428" s="256" t="s">
        <v>283</v>
      </c>
      <c r="O428" s="257" t="s">
        <v>17</v>
      </c>
      <c r="P428" s="257" t="s">
        <v>17</v>
      </c>
      <c r="Q428" s="257" t="s">
        <v>15</v>
      </c>
      <c r="R428" s="257" t="s">
        <v>15</v>
      </c>
      <c r="S428" s="257" t="s">
        <v>16</v>
      </c>
      <c r="T428" s="257" t="s">
        <v>330</v>
      </c>
      <c r="U428" s="257" t="s">
        <v>250</v>
      </c>
      <c r="V428" s="257" t="s">
        <v>283</v>
      </c>
      <c r="W428" s="258" t="s">
        <v>283</v>
      </c>
      <c r="X428" s="258" t="s">
        <v>283</v>
      </c>
      <c r="Y428" s="259" t="s">
        <v>283</v>
      </c>
    </row>
    <row r="429" spans="1:25">
      <c r="A429" s="253">
        <v>8</v>
      </c>
      <c r="B429" s="254" t="str">
        <f>VLOOKUP(Tabel10[[#This Row],[Code]],Ruimtegroepen[[Code]:[Ruimte omschrijving]],2,FALSE)</f>
        <v>Kinderopvang</v>
      </c>
      <c r="C429" s="255" t="s">
        <v>638</v>
      </c>
      <c r="D429" s="254" t="s">
        <v>14</v>
      </c>
      <c r="E429" s="255" t="s">
        <v>1312</v>
      </c>
      <c r="F429" s="255" t="s">
        <v>1400</v>
      </c>
      <c r="G429" s="260" t="s">
        <v>283</v>
      </c>
      <c r="H429" s="256" t="s">
        <v>283</v>
      </c>
      <c r="I429" s="256" t="s">
        <v>15</v>
      </c>
      <c r="J429" s="256" t="s">
        <v>15</v>
      </c>
      <c r="K429" s="256" t="s">
        <v>284</v>
      </c>
      <c r="L429" s="256" t="s">
        <v>283</v>
      </c>
      <c r="M429" s="256" t="s">
        <v>283</v>
      </c>
      <c r="N429" s="256" t="s">
        <v>283</v>
      </c>
      <c r="O429" s="257" t="s">
        <v>17</v>
      </c>
      <c r="P429" s="257" t="s">
        <v>17</v>
      </c>
      <c r="Q429" s="257" t="s">
        <v>15</v>
      </c>
      <c r="R429" s="257" t="s">
        <v>15</v>
      </c>
      <c r="S429" s="257" t="s">
        <v>16</v>
      </c>
      <c r="T429" s="257" t="s">
        <v>330</v>
      </c>
      <c r="U429" s="257" t="s">
        <v>250</v>
      </c>
      <c r="V429" s="257" t="s">
        <v>283</v>
      </c>
      <c r="W429" s="258" t="s">
        <v>283</v>
      </c>
      <c r="X429" s="258" t="s">
        <v>283</v>
      </c>
      <c r="Y429" s="259" t="s">
        <v>283</v>
      </c>
    </row>
    <row r="430" spans="1:25">
      <c r="A430" s="253">
        <v>8</v>
      </c>
      <c r="B430" s="254" t="str">
        <f>VLOOKUP(Tabel10[[#This Row],[Code]],Ruimtegroepen[[Code]:[Ruimte omschrijving]],2,FALSE)</f>
        <v>Kinderopvang</v>
      </c>
      <c r="C430" s="255" t="s">
        <v>643</v>
      </c>
      <c r="D430" s="254" t="s">
        <v>13</v>
      </c>
      <c r="E430" s="255" t="s">
        <v>100</v>
      </c>
      <c r="F430" s="255" t="s">
        <v>644</v>
      </c>
      <c r="G430" s="260" t="s">
        <v>283</v>
      </c>
      <c r="H430" s="256" t="s">
        <v>283</v>
      </c>
      <c r="I430" s="256" t="s">
        <v>283</v>
      </c>
      <c r="J430" s="256" t="s">
        <v>15</v>
      </c>
      <c r="K430" s="256" t="s">
        <v>283</v>
      </c>
      <c r="L430" s="256" t="s">
        <v>283</v>
      </c>
      <c r="M430" s="256" t="s">
        <v>283</v>
      </c>
      <c r="N430" s="256" t="s">
        <v>283</v>
      </c>
      <c r="O430" s="257" t="s">
        <v>15</v>
      </c>
      <c r="P430" s="257" t="s">
        <v>15</v>
      </c>
      <c r="Q430" s="257" t="s">
        <v>15</v>
      </c>
      <c r="R430" s="257" t="s">
        <v>15</v>
      </c>
      <c r="S430" s="257" t="s">
        <v>16</v>
      </c>
      <c r="T430" s="257" t="s">
        <v>330</v>
      </c>
      <c r="U430" s="257" t="s">
        <v>250</v>
      </c>
      <c r="V430" s="257" t="s">
        <v>283</v>
      </c>
      <c r="W430" s="258" t="s">
        <v>283</v>
      </c>
      <c r="X430" s="258" t="s">
        <v>283</v>
      </c>
      <c r="Y430" s="259" t="s">
        <v>283</v>
      </c>
    </row>
    <row r="431" spans="1:25">
      <c r="A431" s="253">
        <v>8</v>
      </c>
      <c r="B431" s="254" t="str">
        <f>VLOOKUP(Tabel10[[#This Row],[Code]],Ruimtegroepen[[Code]:[Ruimte omschrijving]],2,FALSE)</f>
        <v>Kinderopvang</v>
      </c>
      <c r="C431" s="255" t="s">
        <v>643</v>
      </c>
      <c r="D431" s="254" t="s">
        <v>13</v>
      </c>
      <c r="E431" s="255" t="s">
        <v>99</v>
      </c>
      <c r="F431" s="255" t="s">
        <v>645</v>
      </c>
      <c r="G431" s="260" t="s">
        <v>283</v>
      </c>
      <c r="H431" s="256" t="s">
        <v>15</v>
      </c>
      <c r="I431" s="256" t="s">
        <v>283</v>
      </c>
      <c r="J431" s="256" t="s">
        <v>283</v>
      </c>
      <c r="K431" s="256" t="s">
        <v>283</v>
      </c>
      <c r="L431" s="256" t="s">
        <v>283</v>
      </c>
      <c r="M431" s="256" t="s">
        <v>283</v>
      </c>
      <c r="N431" s="256" t="s">
        <v>283</v>
      </c>
      <c r="O431" s="257" t="s">
        <v>15</v>
      </c>
      <c r="P431" s="257" t="s">
        <v>15</v>
      </c>
      <c r="Q431" s="257" t="s">
        <v>15</v>
      </c>
      <c r="R431" s="257" t="s">
        <v>15</v>
      </c>
      <c r="S431" s="257" t="s">
        <v>16</v>
      </c>
      <c r="T431" s="257" t="s">
        <v>330</v>
      </c>
      <c r="U431" s="257" t="s">
        <v>250</v>
      </c>
      <c r="V431" s="257" t="s">
        <v>283</v>
      </c>
      <c r="W431" s="258" t="s">
        <v>283</v>
      </c>
      <c r="X431" s="258" t="s">
        <v>283</v>
      </c>
      <c r="Y431" s="259" t="s">
        <v>283</v>
      </c>
    </row>
    <row r="432" spans="1:25">
      <c r="A432" s="253">
        <v>8</v>
      </c>
      <c r="B432" s="254" t="str">
        <f>VLOOKUP(Tabel10[[#This Row],[Code]],Ruimtegroepen[[Code]:[Ruimte omschrijving]],2,FALSE)</f>
        <v>Kinderopvang</v>
      </c>
      <c r="C432" s="255" t="s">
        <v>643</v>
      </c>
      <c r="D432" s="254" t="s">
        <v>13</v>
      </c>
      <c r="E432" s="255" t="s">
        <v>101</v>
      </c>
      <c r="F432" s="255" t="s">
        <v>646</v>
      </c>
      <c r="G432" s="260" t="s">
        <v>283</v>
      </c>
      <c r="H432" s="256" t="s">
        <v>283</v>
      </c>
      <c r="I432" s="256" t="s">
        <v>283</v>
      </c>
      <c r="J432" s="256" t="s">
        <v>15</v>
      </c>
      <c r="K432" s="256" t="s">
        <v>284</v>
      </c>
      <c r="L432" s="256" t="s">
        <v>283</v>
      </c>
      <c r="M432" s="256" t="s">
        <v>283</v>
      </c>
      <c r="N432" s="256" t="s">
        <v>283</v>
      </c>
      <c r="O432" s="257" t="s">
        <v>15</v>
      </c>
      <c r="P432" s="257" t="s">
        <v>15</v>
      </c>
      <c r="Q432" s="257" t="s">
        <v>15</v>
      </c>
      <c r="R432" s="257" t="s">
        <v>15</v>
      </c>
      <c r="S432" s="257" t="s">
        <v>16</v>
      </c>
      <c r="T432" s="257" t="s">
        <v>330</v>
      </c>
      <c r="U432" s="257" t="s">
        <v>250</v>
      </c>
      <c r="V432" s="257" t="s">
        <v>283</v>
      </c>
      <c r="W432" s="258" t="s">
        <v>283</v>
      </c>
      <c r="X432" s="258" t="s">
        <v>283</v>
      </c>
      <c r="Y432" s="259" t="s">
        <v>283</v>
      </c>
    </row>
    <row r="433" spans="1:25">
      <c r="A433" s="253">
        <v>8</v>
      </c>
      <c r="B433" s="254" t="str">
        <f>VLOOKUP(Tabel10[[#This Row],[Code]],Ruimtegroepen[[Code]:[Ruimte omschrijving]],2,FALSE)</f>
        <v>Kinderopvang</v>
      </c>
      <c r="C433" s="255" t="s">
        <v>643</v>
      </c>
      <c r="D433" s="254" t="s">
        <v>13</v>
      </c>
      <c r="E433" s="255" t="s">
        <v>102</v>
      </c>
      <c r="F433" s="255" t="s">
        <v>647</v>
      </c>
      <c r="G433" s="260" t="s">
        <v>283</v>
      </c>
      <c r="H433" s="256" t="s">
        <v>283</v>
      </c>
      <c r="I433" s="256" t="s">
        <v>283</v>
      </c>
      <c r="J433" s="256" t="s">
        <v>15</v>
      </c>
      <c r="K433" s="256" t="s">
        <v>284</v>
      </c>
      <c r="L433" s="256" t="s">
        <v>283</v>
      </c>
      <c r="M433" s="256" t="s">
        <v>283</v>
      </c>
      <c r="N433" s="256" t="s">
        <v>283</v>
      </c>
      <c r="O433" s="257" t="s">
        <v>15</v>
      </c>
      <c r="P433" s="257" t="s">
        <v>15</v>
      </c>
      <c r="Q433" s="257" t="s">
        <v>15</v>
      </c>
      <c r="R433" s="257" t="s">
        <v>15</v>
      </c>
      <c r="S433" s="257" t="s">
        <v>16</v>
      </c>
      <c r="T433" s="257" t="s">
        <v>330</v>
      </c>
      <c r="U433" s="257" t="s">
        <v>250</v>
      </c>
      <c r="V433" s="257" t="s">
        <v>283</v>
      </c>
      <c r="W433" s="258" t="s">
        <v>283</v>
      </c>
      <c r="X433" s="258" t="s">
        <v>283</v>
      </c>
      <c r="Y433" s="259" t="s">
        <v>283</v>
      </c>
    </row>
    <row r="434" spans="1:25">
      <c r="A434" s="253">
        <v>8</v>
      </c>
      <c r="B434" s="254" t="str">
        <f>VLOOKUP(Tabel10[[#This Row],[Code]],Ruimtegroepen[[Code]:[Ruimte omschrijving]],2,FALSE)</f>
        <v>Kinderopvang</v>
      </c>
      <c r="C434" s="255" t="s">
        <v>643</v>
      </c>
      <c r="D434" s="254" t="s">
        <v>13</v>
      </c>
      <c r="E434" s="255" t="s">
        <v>99</v>
      </c>
      <c r="F434" s="255" t="s">
        <v>645</v>
      </c>
      <c r="G434" s="260" t="s">
        <v>283</v>
      </c>
      <c r="H434" s="256" t="s">
        <v>15</v>
      </c>
      <c r="I434" s="256" t="s">
        <v>283</v>
      </c>
      <c r="J434" s="256" t="s">
        <v>283</v>
      </c>
      <c r="K434" s="256" t="s">
        <v>283</v>
      </c>
      <c r="L434" s="256" t="s">
        <v>283</v>
      </c>
      <c r="M434" s="256" t="s">
        <v>283</v>
      </c>
      <c r="N434" s="256" t="s">
        <v>283</v>
      </c>
      <c r="O434" s="257" t="s">
        <v>15</v>
      </c>
      <c r="P434" s="257" t="s">
        <v>15</v>
      </c>
      <c r="Q434" s="257" t="s">
        <v>15</v>
      </c>
      <c r="R434" s="257" t="s">
        <v>15</v>
      </c>
      <c r="S434" s="257" t="s">
        <v>16</v>
      </c>
      <c r="T434" s="257" t="s">
        <v>330</v>
      </c>
      <c r="U434" s="257" t="s">
        <v>250</v>
      </c>
      <c r="V434" s="257" t="s">
        <v>283</v>
      </c>
      <c r="W434" s="258" t="s">
        <v>283</v>
      </c>
      <c r="X434" s="258" t="s">
        <v>283</v>
      </c>
      <c r="Y434" s="259" t="s">
        <v>283</v>
      </c>
    </row>
    <row r="435" spans="1:25">
      <c r="A435" s="253">
        <v>8</v>
      </c>
      <c r="B435" s="254" t="str">
        <f>VLOOKUP(Tabel10[[#This Row],[Code]],Ruimtegroepen[[Code]:[Ruimte omschrijving]],2,FALSE)</f>
        <v>Kinderopvang</v>
      </c>
      <c r="C435" s="255" t="s">
        <v>643</v>
      </c>
      <c r="D435" s="254" t="s">
        <v>13</v>
      </c>
      <c r="E435" s="255" t="s">
        <v>1312</v>
      </c>
      <c r="F435" s="255" t="s">
        <v>1367</v>
      </c>
      <c r="G435" s="260" t="s">
        <v>283</v>
      </c>
      <c r="H435" s="256" t="s">
        <v>283</v>
      </c>
      <c r="I435" s="256" t="s">
        <v>283</v>
      </c>
      <c r="J435" s="256" t="s">
        <v>15</v>
      </c>
      <c r="K435" s="256" t="s">
        <v>284</v>
      </c>
      <c r="L435" s="256" t="s">
        <v>283</v>
      </c>
      <c r="M435" s="256" t="s">
        <v>283</v>
      </c>
      <c r="N435" s="256" t="s">
        <v>283</v>
      </c>
      <c r="O435" s="257" t="s">
        <v>15</v>
      </c>
      <c r="P435" s="257" t="s">
        <v>15</v>
      </c>
      <c r="Q435" s="257" t="s">
        <v>15</v>
      </c>
      <c r="R435" s="257" t="s">
        <v>15</v>
      </c>
      <c r="S435" s="257" t="s">
        <v>16</v>
      </c>
      <c r="T435" s="257" t="s">
        <v>330</v>
      </c>
      <c r="U435" s="257" t="s">
        <v>250</v>
      </c>
      <c r="V435" s="257" t="s">
        <v>283</v>
      </c>
      <c r="W435" s="258" t="s">
        <v>283</v>
      </c>
      <c r="X435" s="258" t="s">
        <v>283</v>
      </c>
      <c r="Y435" s="259" t="s">
        <v>283</v>
      </c>
    </row>
    <row r="436" spans="1:25">
      <c r="A436" s="253">
        <v>8</v>
      </c>
      <c r="B436" s="254" t="str">
        <f>VLOOKUP(Tabel10[[#This Row],[Code]],Ruimtegroepen[[Code]:[Ruimte omschrijving]],2,FALSE)</f>
        <v>Kinderopvang</v>
      </c>
      <c r="C436" s="255" t="s">
        <v>648</v>
      </c>
      <c r="D436" s="254" t="s">
        <v>0</v>
      </c>
      <c r="E436" s="255" t="s">
        <v>100</v>
      </c>
      <c r="F436" s="255" t="s">
        <v>649</v>
      </c>
      <c r="G436" s="260" t="s">
        <v>283</v>
      </c>
      <c r="H436" s="256" t="s">
        <v>283</v>
      </c>
      <c r="I436" s="256" t="s">
        <v>283</v>
      </c>
      <c r="J436" s="256" t="s">
        <v>16</v>
      </c>
      <c r="K436" s="256" t="s">
        <v>283</v>
      </c>
      <c r="L436" s="256" t="s">
        <v>283</v>
      </c>
      <c r="M436" s="256" t="s">
        <v>283</v>
      </c>
      <c r="N436" s="256" t="s">
        <v>283</v>
      </c>
      <c r="O436" s="257" t="s">
        <v>16</v>
      </c>
      <c r="P436" s="257" t="s">
        <v>16</v>
      </c>
      <c r="Q436" s="257" t="s">
        <v>16</v>
      </c>
      <c r="R436" s="257" t="s">
        <v>16</v>
      </c>
      <c r="S436" s="257" t="s">
        <v>16</v>
      </c>
      <c r="T436" s="257" t="s">
        <v>330</v>
      </c>
      <c r="U436" s="257" t="s">
        <v>250</v>
      </c>
      <c r="V436" s="257" t="s">
        <v>283</v>
      </c>
      <c r="W436" s="258" t="s">
        <v>283</v>
      </c>
      <c r="X436" s="258" t="s">
        <v>283</v>
      </c>
      <c r="Y436" s="259" t="s">
        <v>283</v>
      </c>
    </row>
    <row r="437" spans="1:25">
      <c r="A437" s="253">
        <v>8</v>
      </c>
      <c r="B437" s="254" t="str">
        <f>VLOOKUP(Tabel10[[#This Row],[Code]],Ruimtegroepen[[Code]:[Ruimte omschrijving]],2,FALSE)</f>
        <v>Kinderopvang</v>
      </c>
      <c r="C437" s="255" t="s">
        <v>648</v>
      </c>
      <c r="D437" s="254" t="s">
        <v>0</v>
      </c>
      <c r="E437" s="255" t="s">
        <v>99</v>
      </c>
      <c r="F437" s="255" t="s">
        <v>650</v>
      </c>
      <c r="G437" s="260" t="s">
        <v>283</v>
      </c>
      <c r="H437" s="256" t="s">
        <v>16</v>
      </c>
      <c r="I437" s="256" t="s">
        <v>283</v>
      </c>
      <c r="J437" s="256" t="s">
        <v>283</v>
      </c>
      <c r="K437" s="256" t="s">
        <v>283</v>
      </c>
      <c r="L437" s="256" t="s">
        <v>283</v>
      </c>
      <c r="M437" s="256" t="s">
        <v>283</v>
      </c>
      <c r="N437" s="256" t="s">
        <v>283</v>
      </c>
      <c r="O437" s="257" t="s">
        <v>16</v>
      </c>
      <c r="P437" s="257" t="s">
        <v>16</v>
      </c>
      <c r="Q437" s="257" t="s">
        <v>16</v>
      </c>
      <c r="R437" s="257" t="s">
        <v>16</v>
      </c>
      <c r="S437" s="257" t="s">
        <v>16</v>
      </c>
      <c r="T437" s="257" t="s">
        <v>330</v>
      </c>
      <c r="U437" s="257" t="s">
        <v>250</v>
      </c>
      <c r="V437" s="257" t="s">
        <v>283</v>
      </c>
      <c r="W437" s="258" t="s">
        <v>283</v>
      </c>
      <c r="X437" s="258" t="s">
        <v>283</v>
      </c>
      <c r="Y437" s="259" t="s">
        <v>283</v>
      </c>
    </row>
    <row r="438" spans="1:25">
      <c r="A438" s="253">
        <v>8</v>
      </c>
      <c r="B438" s="254" t="str">
        <f>VLOOKUP(Tabel10[[#This Row],[Code]],Ruimtegroepen[[Code]:[Ruimte omschrijving]],2,FALSE)</f>
        <v>Kinderopvang</v>
      </c>
      <c r="C438" s="255" t="s">
        <v>648</v>
      </c>
      <c r="D438" s="254" t="s">
        <v>0</v>
      </c>
      <c r="E438" s="255" t="s">
        <v>101</v>
      </c>
      <c r="F438" s="255" t="s">
        <v>651</v>
      </c>
      <c r="G438" s="260" t="s">
        <v>283</v>
      </c>
      <c r="H438" s="256" t="s">
        <v>283</v>
      </c>
      <c r="I438" s="256" t="s">
        <v>283</v>
      </c>
      <c r="J438" s="256" t="s">
        <v>16</v>
      </c>
      <c r="K438" s="256" t="s">
        <v>284</v>
      </c>
      <c r="L438" s="256" t="s">
        <v>283</v>
      </c>
      <c r="M438" s="256" t="s">
        <v>283</v>
      </c>
      <c r="N438" s="256" t="s">
        <v>283</v>
      </c>
      <c r="O438" s="257" t="s">
        <v>16</v>
      </c>
      <c r="P438" s="257" t="s">
        <v>16</v>
      </c>
      <c r="Q438" s="257" t="s">
        <v>16</v>
      </c>
      <c r="R438" s="257" t="s">
        <v>16</v>
      </c>
      <c r="S438" s="257" t="s">
        <v>16</v>
      </c>
      <c r="T438" s="257" t="s">
        <v>330</v>
      </c>
      <c r="U438" s="257" t="s">
        <v>250</v>
      </c>
      <c r="V438" s="257" t="s">
        <v>283</v>
      </c>
      <c r="W438" s="258" t="s">
        <v>283</v>
      </c>
      <c r="X438" s="258" t="s">
        <v>283</v>
      </c>
      <c r="Y438" s="259" t="s">
        <v>283</v>
      </c>
    </row>
    <row r="439" spans="1:25">
      <c r="A439" s="253">
        <v>8</v>
      </c>
      <c r="B439" s="254" t="str">
        <f>VLOOKUP(Tabel10[[#This Row],[Code]],Ruimtegroepen[[Code]:[Ruimte omschrijving]],2,FALSE)</f>
        <v>Kinderopvang</v>
      </c>
      <c r="C439" s="255" t="s">
        <v>648</v>
      </c>
      <c r="D439" s="254" t="s">
        <v>0</v>
      </c>
      <c r="E439" s="255" t="s">
        <v>102</v>
      </c>
      <c r="F439" s="255" t="s">
        <v>652</v>
      </c>
      <c r="G439" s="260" t="s">
        <v>283</v>
      </c>
      <c r="H439" s="256" t="s">
        <v>283</v>
      </c>
      <c r="I439" s="256" t="s">
        <v>283</v>
      </c>
      <c r="J439" s="256" t="s">
        <v>16</v>
      </c>
      <c r="K439" s="256" t="s">
        <v>284</v>
      </c>
      <c r="L439" s="256" t="s">
        <v>283</v>
      </c>
      <c r="M439" s="256" t="s">
        <v>283</v>
      </c>
      <c r="N439" s="256" t="s">
        <v>283</v>
      </c>
      <c r="O439" s="257" t="s">
        <v>16</v>
      </c>
      <c r="P439" s="257" t="s">
        <v>16</v>
      </c>
      <c r="Q439" s="257" t="s">
        <v>16</v>
      </c>
      <c r="R439" s="257" t="s">
        <v>16</v>
      </c>
      <c r="S439" s="257" t="s">
        <v>16</v>
      </c>
      <c r="T439" s="257" t="s">
        <v>330</v>
      </c>
      <c r="U439" s="257" t="s">
        <v>250</v>
      </c>
      <c r="V439" s="257" t="s">
        <v>283</v>
      </c>
      <c r="W439" s="258" t="s">
        <v>283</v>
      </c>
      <c r="X439" s="258" t="s">
        <v>283</v>
      </c>
      <c r="Y439" s="259" t="s">
        <v>283</v>
      </c>
    </row>
    <row r="440" spans="1:25">
      <c r="A440" s="253">
        <v>8</v>
      </c>
      <c r="B440" s="254" t="str">
        <f>VLOOKUP(Tabel10[[#This Row],[Code]],Ruimtegroepen[[Code]:[Ruimte omschrijving]],2,FALSE)</f>
        <v>Kinderopvang</v>
      </c>
      <c r="C440" s="255" t="s">
        <v>648</v>
      </c>
      <c r="D440" s="254" t="s">
        <v>0</v>
      </c>
      <c r="E440" s="255" t="s">
        <v>99</v>
      </c>
      <c r="F440" s="255" t="s">
        <v>650</v>
      </c>
      <c r="G440" s="260" t="s">
        <v>283</v>
      </c>
      <c r="H440" s="256" t="s">
        <v>16</v>
      </c>
      <c r="I440" s="256" t="s">
        <v>283</v>
      </c>
      <c r="J440" s="256" t="s">
        <v>283</v>
      </c>
      <c r="K440" s="256" t="s">
        <v>283</v>
      </c>
      <c r="L440" s="256" t="s">
        <v>283</v>
      </c>
      <c r="M440" s="256" t="s">
        <v>283</v>
      </c>
      <c r="N440" s="256" t="s">
        <v>283</v>
      </c>
      <c r="O440" s="257" t="s">
        <v>16</v>
      </c>
      <c r="P440" s="257" t="s">
        <v>16</v>
      </c>
      <c r="Q440" s="257" t="s">
        <v>16</v>
      </c>
      <c r="R440" s="257" t="s">
        <v>16</v>
      </c>
      <c r="S440" s="257" t="s">
        <v>16</v>
      </c>
      <c r="T440" s="257" t="s">
        <v>330</v>
      </c>
      <c r="U440" s="257" t="s">
        <v>250</v>
      </c>
      <c r="V440" s="257" t="s">
        <v>283</v>
      </c>
      <c r="W440" s="258" t="s">
        <v>283</v>
      </c>
      <c r="X440" s="258" t="s">
        <v>283</v>
      </c>
      <c r="Y440" s="259" t="s">
        <v>283</v>
      </c>
    </row>
    <row r="441" spans="1:25">
      <c r="A441" s="253">
        <v>8</v>
      </c>
      <c r="B441" s="254" t="str">
        <f>VLOOKUP(Tabel10[[#This Row],[Code]],Ruimtegroepen[[Code]:[Ruimte omschrijving]],2,FALSE)</f>
        <v>Kinderopvang</v>
      </c>
      <c r="C441" s="255" t="s">
        <v>648</v>
      </c>
      <c r="D441" s="254" t="s">
        <v>0</v>
      </c>
      <c r="E441" s="255" t="s">
        <v>1312</v>
      </c>
      <c r="F441" s="255" t="s">
        <v>1351</v>
      </c>
      <c r="G441" s="260" t="s">
        <v>283</v>
      </c>
      <c r="H441" s="256" t="s">
        <v>283</v>
      </c>
      <c r="I441" s="256" t="s">
        <v>283</v>
      </c>
      <c r="J441" s="256" t="s">
        <v>16</v>
      </c>
      <c r="K441" s="256" t="s">
        <v>284</v>
      </c>
      <c r="L441" s="256" t="s">
        <v>283</v>
      </c>
      <c r="M441" s="256" t="s">
        <v>283</v>
      </c>
      <c r="N441" s="256" t="s">
        <v>283</v>
      </c>
      <c r="O441" s="257" t="s">
        <v>16</v>
      </c>
      <c r="P441" s="257" t="s">
        <v>16</v>
      </c>
      <c r="Q441" s="257" t="s">
        <v>16</v>
      </c>
      <c r="R441" s="257" t="s">
        <v>16</v>
      </c>
      <c r="S441" s="257" t="s">
        <v>16</v>
      </c>
      <c r="T441" s="257" t="s">
        <v>330</v>
      </c>
      <c r="U441" s="257" t="s">
        <v>250</v>
      </c>
      <c r="V441" s="257" t="s">
        <v>283</v>
      </c>
      <c r="W441" s="258" t="s">
        <v>283</v>
      </c>
      <c r="X441" s="258" t="s">
        <v>283</v>
      </c>
      <c r="Y441" s="259" t="s">
        <v>283</v>
      </c>
    </row>
    <row r="442" spans="1:25">
      <c r="A442" s="253">
        <v>8</v>
      </c>
      <c r="B442" s="254" t="str">
        <f>VLOOKUP(Tabel10[[#This Row],[Code]],Ruimtegroepen[[Code]:[Ruimte omschrijving]],2,FALSE)</f>
        <v>Kinderopvang</v>
      </c>
      <c r="C442" s="255" t="s">
        <v>653</v>
      </c>
      <c r="D442" s="254" t="s">
        <v>27</v>
      </c>
      <c r="E442" s="255" t="s">
        <v>100</v>
      </c>
      <c r="F442" s="255" t="s">
        <v>654</v>
      </c>
      <c r="G442" s="260" t="s">
        <v>283</v>
      </c>
      <c r="H442" s="256" t="s">
        <v>283</v>
      </c>
      <c r="I442" s="256" t="s">
        <v>15</v>
      </c>
      <c r="J442" s="256" t="s">
        <v>283</v>
      </c>
      <c r="K442" s="256" t="s">
        <v>283</v>
      </c>
      <c r="L442" s="256" t="s">
        <v>283</v>
      </c>
      <c r="M442" s="256" t="s">
        <v>283</v>
      </c>
      <c r="N442" s="256" t="s">
        <v>283</v>
      </c>
      <c r="O442" s="257" t="s">
        <v>15</v>
      </c>
      <c r="P442" s="257" t="s">
        <v>15</v>
      </c>
      <c r="Q442" s="257" t="s">
        <v>15</v>
      </c>
      <c r="R442" s="257" t="s">
        <v>283</v>
      </c>
      <c r="S442" s="257" t="s">
        <v>283</v>
      </c>
      <c r="T442" s="257" t="s">
        <v>283</v>
      </c>
      <c r="U442" s="257" t="s">
        <v>283</v>
      </c>
      <c r="V442" s="257" t="s">
        <v>283</v>
      </c>
      <c r="W442" s="258" t="s">
        <v>283</v>
      </c>
      <c r="X442" s="258" t="s">
        <v>283</v>
      </c>
      <c r="Y442" s="259" t="s">
        <v>283</v>
      </c>
    </row>
    <row r="443" spans="1:25">
      <c r="A443" s="253">
        <v>8</v>
      </c>
      <c r="B443" s="254" t="str">
        <f>VLOOKUP(Tabel10[[#This Row],[Code]],Ruimtegroepen[[Code]:[Ruimte omschrijving]],2,FALSE)</f>
        <v>Kinderopvang</v>
      </c>
      <c r="C443" s="255" t="s">
        <v>653</v>
      </c>
      <c r="D443" s="254" t="s">
        <v>27</v>
      </c>
      <c r="E443" s="255" t="s">
        <v>99</v>
      </c>
      <c r="F443" s="255" t="s">
        <v>655</v>
      </c>
      <c r="G443" s="260" t="s">
        <v>283</v>
      </c>
      <c r="H443" s="256" t="s">
        <v>15</v>
      </c>
      <c r="I443" s="256" t="s">
        <v>283</v>
      </c>
      <c r="J443" s="256" t="s">
        <v>283</v>
      </c>
      <c r="K443" s="256" t="s">
        <v>283</v>
      </c>
      <c r="L443" s="256" t="s">
        <v>283</v>
      </c>
      <c r="M443" s="256" t="s">
        <v>283</v>
      </c>
      <c r="N443" s="256" t="s">
        <v>283</v>
      </c>
      <c r="O443" s="257" t="s">
        <v>15</v>
      </c>
      <c r="P443" s="257" t="s">
        <v>15</v>
      </c>
      <c r="Q443" s="257" t="s">
        <v>15</v>
      </c>
      <c r="R443" s="257" t="s">
        <v>283</v>
      </c>
      <c r="S443" s="257" t="s">
        <v>283</v>
      </c>
      <c r="T443" s="257" t="s">
        <v>283</v>
      </c>
      <c r="U443" s="257" t="s">
        <v>283</v>
      </c>
      <c r="V443" s="257" t="s">
        <v>283</v>
      </c>
      <c r="W443" s="258" t="s">
        <v>283</v>
      </c>
      <c r="X443" s="258" t="s">
        <v>283</v>
      </c>
      <c r="Y443" s="259" t="s">
        <v>283</v>
      </c>
    </row>
    <row r="444" spans="1:25">
      <c r="A444" s="253">
        <v>8</v>
      </c>
      <c r="B444" s="254" t="str">
        <f>VLOOKUP(Tabel10[[#This Row],[Code]],Ruimtegroepen[[Code]:[Ruimte omschrijving]],2,FALSE)</f>
        <v>Kinderopvang</v>
      </c>
      <c r="C444" s="255" t="s">
        <v>653</v>
      </c>
      <c r="D444" s="254" t="s">
        <v>27</v>
      </c>
      <c r="E444" s="255" t="s">
        <v>101</v>
      </c>
      <c r="F444" s="255" t="s">
        <v>656</v>
      </c>
      <c r="G444" s="260" t="s">
        <v>283</v>
      </c>
      <c r="H444" s="256" t="s">
        <v>283</v>
      </c>
      <c r="I444" s="256" t="s">
        <v>15</v>
      </c>
      <c r="J444" s="256" t="s">
        <v>283</v>
      </c>
      <c r="K444" s="256" t="s">
        <v>283</v>
      </c>
      <c r="L444" s="256" t="s">
        <v>283</v>
      </c>
      <c r="M444" s="256" t="s">
        <v>283</v>
      </c>
      <c r="N444" s="256" t="s">
        <v>283</v>
      </c>
      <c r="O444" s="257" t="s">
        <v>15</v>
      </c>
      <c r="P444" s="257" t="s">
        <v>15</v>
      </c>
      <c r="Q444" s="257" t="s">
        <v>15</v>
      </c>
      <c r="R444" s="257" t="s">
        <v>283</v>
      </c>
      <c r="S444" s="257" t="s">
        <v>283</v>
      </c>
      <c r="T444" s="257" t="s">
        <v>283</v>
      </c>
      <c r="U444" s="257" t="s">
        <v>283</v>
      </c>
      <c r="V444" s="257" t="s">
        <v>283</v>
      </c>
      <c r="W444" s="258" t="s">
        <v>283</v>
      </c>
      <c r="X444" s="258" t="s">
        <v>283</v>
      </c>
      <c r="Y444" s="259" t="s">
        <v>283</v>
      </c>
    </row>
    <row r="445" spans="1:25">
      <c r="A445" s="253">
        <v>8</v>
      </c>
      <c r="B445" s="254" t="str">
        <f>VLOOKUP(Tabel10[[#This Row],[Code]],Ruimtegroepen[[Code]:[Ruimte omschrijving]],2,FALSE)</f>
        <v>Kinderopvang</v>
      </c>
      <c r="C445" s="255" t="s">
        <v>653</v>
      </c>
      <c r="D445" s="254" t="s">
        <v>27</v>
      </c>
      <c r="E445" s="255" t="s">
        <v>102</v>
      </c>
      <c r="F445" s="255" t="s">
        <v>657</v>
      </c>
      <c r="G445" s="260" t="s">
        <v>283</v>
      </c>
      <c r="H445" s="256" t="s">
        <v>283</v>
      </c>
      <c r="I445" s="256" t="s">
        <v>15</v>
      </c>
      <c r="J445" s="256" t="s">
        <v>283</v>
      </c>
      <c r="K445" s="256" t="s">
        <v>283</v>
      </c>
      <c r="L445" s="256" t="s">
        <v>283</v>
      </c>
      <c r="M445" s="256" t="s">
        <v>283</v>
      </c>
      <c r="N445" s="256" t="s">
        <v>283</v>
      </c>
      <c r="O445" s="257" t="s">
        <v>15</v>
      </c>
      <c r="P445" s="257" t="s">
        <v>15</v>
      </c>
      <c r="Q445" s="257" t="s">
        <v>15</v>
      </c>
      <c r="R445" s="257" t="s">
        <v>283</v>
      </c>
      <c r="S445" s="257" t="s">
        <v>283</v>
      </c>
      <c r="T445" s="257" t="s">
        <v>283</v>
      </c>
      <c r="U445" s="257" t="s">
        <v>283</v>
      </c>
      <c r="V445" s="257" t="s">
        <v>283</v>
      </c>
      <c r="W445" s="258" t="s">
        <v>283</v>
      </c>
      <c r="X445" s="258" t="s">
        <v>283</v>
      </c>
      <c r="Y445" s="259" t="s">
        <v>283</v>
      </c>
    </row>
    <row r="446" spans="1:25">
      <c r="A446" s="253">
        <v>8</v>
      </c>
      <c r="B446" s="254" t="str">
        <f>VLOOKUP(Tabel10[[#This Row],[Code]],Ruimtegroepen[[Code]:[Ruimte omschrijving]],2,FALSE)</f>
        <v>Kinderopvang</v>
      </c>
      <c r="C446" s="255" t="s">
        <v>653</v>
      </c>
      <c r="D446" s="254" t="s">
        <v>27</v>
      </c>
      <c r="E446" s="255" t="s">
        <v>99</v>
      </c>
      <c r="F446" s="255" t="s">
        <v>655</v>
      </c>
      <c r="G446" s="260" t="s">
        <v>283</v>
      </c>
      <c r="H446" s="256" t="s">
        <v>15</v>
      </c>
      <c r="I446" s="256" t="s">
        <v>283</v>
      </c>
      <c r="J446" s="256" t="s">
        <v>283</v>
      </c>
      <c r="K446" s="256" t="s">
        <v>283</v>
      </c>
      <c r="L446" s="256" t="s">
        <v>283</v>
      </c>
      <c r="M446" s="256" t="s">
        <v>283</v>
      </c>
      <c r="N446" s="256" t="s">
        <v>283</v>
      </c>
      <c r="O446" s="257" t="s">
        <v>15</v>
      </c>
      <c r="P446" s="257" t="s">
        <v>15</v>
      </c>
      <c r="Q446" s="257" t="s">
        <v>15</v>
      </c>
      <c r="R446" s="257" t="s">
        <v>283</v>
      </c>
      <c r="S446" s="257" t="s">
        <v>283</v>
      </c>
      <c r="T446" s="257" t="s">
        <v>283</v>
      </c>
      <c r="U446" s="257" t="s">
        <v>283</v>
      </c>
      <c r="V446" s="257" t="s">
        <v>283</v>
      </c>
      <c r="W446" s="258" t="s">
        <v>283</v>
      </c>
      <c r="X446" s="258" t="s">
        <v>283</v>
      </c>
      <c r="Y446" s="259" t="s">
        <v>283</v>
      </c>
    </row>
    <row r="447" spans="1:25">
      <c r="A447" s="253">
        <v>8</v>
      </c>
      <c r="B447" s="254" t="str">
        <f>VLOOKUP(Tabel10[[#This Row],[Code]],Ruimtegroepen[[Code]:[Ruimte omschrijving]],2,FALSE)</f>
        <v>Kinderopvang</v>
      </c>
      <c r="C447" s="255" t="s">
        <v>653</v>
      </c>
      <c r="D447" s="254" t="s">
        <v>27</v>
      </c>
      <c r="E447" s="255" t="s">
        <v>1312</v>
      </c>
      <c r="F447" s="255" t="s">
        <v>1384</v>
      </c>
      <c r="G447" s="260" t="s">
        <v>283</v>
      </c>
      <c r="H447" s="256" t="s">
        <v>283</v>
      </c>
      <c r="I447" s="256" t="s">
        <v>15</v>
      </c>
      <c r="J447" s="256" t="s">
        <v>283</v>
      </c>
      <c r="K447" s="256" t="s">
        <v>283</v>
      </c>
      <c r="L447" s="256" t="s">
        <v>283</v>
      </c>
      <c r="M447" s="256" t="s">
        <v>283</v>
      </c>
      <c r="N447" s="256" t="s">
        <v>283</v>
      </c>
      <c r="O447" s="257" t="s">
        <v>15</v>
      </c>
      <c r="P447" s="257" t="s">
        <v>15</v>
      </c>
      <c r="Q447" s="257" t="s">
        <v>15</v>
      </c>
      <c r="R447" s="257" t="s">
        <v>283</v>
      </c>
      <c r="S447" s="257" t="s">
        <v>283</v>
      </c>
      <c r="T447" s="257" t="s">
        <v>283</v>
      </c>
      <c r="U447" s="257" t="s">
        <v>283</v>
      </c>
      <c r="V447" s="257" t="s">
        <v>283</v>
      </c>
      <c r="W447" s="258" t="s">
        <v>283</v>
      </c>
      <c r="X447" s="258" t="s">
        <v>283</v>
      </c>
      <c r="Y447" s="259" t="s">
        <v>283</v>
      </c>
    </row>
    <row r="448" spans="1:25">
      <c r="A448" s="253">
        <v>8</v>
      </c>
      <c r="B448" s="254" t="str">
        <f>VLOOKUP(Tabel10[[#This Row],[Code]],Ruimtegroepen[[Code]:[Ruimte omschrijving]],2,FALSE)</f>
        <v>Kinderopvang</v>
      </c>
      <c r="C448" s="255" t="s">
        <v>658</v>
      </c>
      <c r="D448" s="254" t="s">
        <v>28</v>
      </c>
      <c r="E448" s="255" t="s">
        <v>100</v>
      </c>
      <c r="F448" s="255" t="s">
        <v>659</v>
      </c>
      <c r="G448" s="260" t="s">
        <v>283</v>
      </c>
      <c r="H448" s="256" t="s">
        <v>283</v>
      </c>
      <c r="I448" s="256" t="s">
        <v>17</v>
      </c>
      <c r="J448" s="256" t="s">
        <v>283</v>
      </c>
      <c r="K448" s="256" t="s">
        <v>283</v>
      </c>
      <c r="L448" s="256" t="s">
        <v>283</v>
      </c>
      <c r="M448" s="256" t="s">
        <v>283</v>
      </c>
      <c r="N448" s="256" t="s">
        <v>283</v>
      </c>
      <c r="O448" s="257" t="s">
        <v>17</v>
      </c>
      <c r="P448" s="257" t="s">
        <v>17</v>
      </c>
      <c r="Q448" s="257" t="s">
        <v>15</v>
      </c>
      <c r="R448" s="257" t="s">
        <v>283</v>
      </c>
      <c r="S448" s="257" t="s">
        <v>283</v>
      </c>
      <c r="T448" s="257" t="s">
        <v>283</v>
      </c>
      <c r="U448" s="257" t="s">
        <v>283</v>
      </c>
      <c r="V448" s="257" t="s">
        <v>283</v>
      </c>
      <c r="W448" s="258" t="s">
        <v>283</v>
      </c>
      <c r="X448" s="258" t="s">
        <v>283</v>
      </c>
      <c r="Y448" s="259" t="s">
        <v>283</v>
      </c>
    </row>
    <row r="449" spans="1:25">
      <c r="A449" s="253">
        <v>8</v>
      </c>
      <c r="B449" s="254" t="str">
        <f>VLOOKUP(Tabel10[[#This Row],[Code]],Ruimtegroepen[[Code]:[Ruimte omschrijving]],2,FALSE)</f>
        <v>Kinderopvang</v>
      </c>
      <c r="C449" s="255" t="s">
        <v>658</v>
      </c>
      <c r="D449" s="254" t="s">
        <v>28</v>
      </c>
      <c r="E449" s="255" t="s">
        <v>99</v>
      </c>
      <c r="F449" s="255" t="s">
        <v>660</v>
      </c>
      <c r="G449" s="260" t="s">
        <v>283</v>
      </c>
      <c r="H449" s="256" t="s">
        <v>17</v>
      </c>
      <c r="I449" s="256" t="s">
        <v>283</v>
      </c>
      <c r="J449" s="256" t="s">
        <v>283</v>
      </c>
      <c r="K449" s="256" t="s">
        <v>283</v>
      </c>
      <c r="L449" s="256" t="s">
        <v>283</v>
      </c>
      <c r="M449" s="256" t="s">
        <v>283</v>
      </c>
      <c r="N449" s="256" t="s">
        <v>283</v>
      </c>
      <c r="O449" s="257" t="s">
        <v>17</v>
      </c>
      <c r="P449" s="257" t="s">
        <v>17</v>
      </c>
      <c r="Q449" s="257" t="s">
        <v>15</v>
      </c>
      <c r="R449" s="257" t="s">
        <v>283</v>
      </c>
      <c r="S449" s="257" t="s">
        <v>283</v>
      </c>
      <c r="T449" s="257" t="s">
        <v>283</v>
      </c>
      <c r="U449" s="257" t="s">
        <v>283</v>
      </c>
      <c r="V449" s="257" t="s">
        <v>283</v>
      </c>
      <c r="W449" s="258" t="s">
        <v>283</v>
      </c>
      <c r="X449" s="258" t="s">
        <v>283</v>
      </c>
      <c r="Y449" s="259" t="s">
        <v>283</v>
      </c>
    </row>
    <row r="450" spans="1:25">
      <c r="A450" s="253">
        <v>8</v>
      </c>
      <c r="B450" s="254" t="str">
        <f>VLOOKUP(Tabel10[[#This Row],[Code]],Ruimtegroepen[[Code]:[Ruimte omschrijving]],2,FALSE)</f>
        <v>Kinderopvang</v>
      </c>
      <c r="C450" s="255" t="s">
        <v>658</v>
      </c>
      <c r="D450" s="254" t="s">
        <v>28</v>
      </c>
      <c r="E450" s="255" t="s">
        <v>101</v>
      </c>
      <c r="F450" s="255" t="s">
        <v>661</v>
      </c>
      <c r="G450" s="260" t="s">
        <v>283</v>
      </c>
      <c r="H450" s="256" t="s">
        <v>283</v>
      </c>
      <c r="I450" s="256" t="s">
        <v>17</v>
      </c>
      <c r="J450" s="256" t="s">
        <v>283</v>
      </c>
      <c r="K450" s="256" t="s">
        <v>283</v>
      </c>
      <c r="L450" s="256" t="s">
        <v>283</v>
      </c>
      <c r="M450" s="256" t="s">
        <v>283</v>
      </c>
      <c r="N450" s="256" t="s">
        <v>283</v>
      </c>
      <c r="O450" s="257" t="s">
        <v>17</v>
      </c>
      <c r="P450" s="257" t="s">
        <v>17</v>
      </c>
      <c r="Q450" s="257" t="s">
        <v>15</v>
      </c>
      <c r="R450" s="257" t="s">
        <v>283</v>
      </c>
      <c r="S450" s="257" t="s">
        <v>283</v>
      </c>
      <c r="T450" s="257" t="s">
        <v>283</v>
      </c>
      <c r="U450" s="257" t="s">
        <v>283</v>
      </c>
      <c r="V450" s="257" t="s">
        <v>283</v>
      </c>
      <c r="W450" s="258" t="s">
        <v>283</v>
      </c>
      <c r="X450" s="258" t="s">
        <v>283</v>
      </c>
      <c r="Y450" s="259" t="s">
        <v>283</v>
      </c>
    </row>
    <row r="451" spans="1:25">
      <c r="A451" s="253">
        <v>8</v>
      </c>
      <c r="B451" s="254" t="str">
        <f>VLOOKUP(Tabel10[[#This Row],[Code]],Ruimtegroepen[[Code]:[Ruimte omschrijving]],2,FALSE)</f>
        <v>Kinderopvang</v>
      </c>
      <c r="C451" s="255" t="s">
        <v>658</v>
      </c>
      <c r="D451" s="254" t="s">
        <v>28</v>
      </c>
      <c r="E451" s="255" t="s">
        <v>102</v>
      </c>
      <c r="F451" s="255" t="s">
        <v>662</v>
      </c>
      <c r="G451" s="260" t="s">
        <v>283</v>
      </c>
      <c r="H451" s="256" t="s">
        <v>283</v>
      </c>
      <c r="I451" s="256" t="s">
        <v>17</v>
      </c>
      <c r="J451" s="256" t="s">
        <v>283</v>
      </c>
      <c r="K451" s="256" t="s">
        <v>283</v>
      </c>
      <c r="L451" s="256" t="s">
        <v>283</v>
      </c>
      <c r="M451" s="256" t="s">
        <v>283</v>
      </c>
      <c r="N451" s="256" t="s">
        <v>283</v>
      </c>
      <c r="O451" s="257" t="s">
        <v>17</v>
      </c>
      <c r="P451" s="257" t="s">
        <v>17</v>
      </c>
      <c r="Q451" s="257" t="s">
        <v>15</v>
      </c>
      <c r="R451" s="257" t="s">
        <v>283</v>
      </c>
      <c r="S451" s="257" t="s">
        <v>283</v>
      </c>
      <c r="T451" s="257" t="s">
        <v>283</v>
      </c>
      <c r="U451" s="257" t="s">
        <v>283</v>
      </c>
      <c r="V451" s="257" t="s">
        <v>283</v>
      </c>
      <c r="W451" s="258" t="s">
        <v>283</v>
      </c>
      <c r="X451" s="258" t="s">
        <v>283</v>
      </c>
      <c r="Y451" s="259" t="s">
        <v>283</v>
      </c>
    </row>
    <row r="452" spans="1:25">
      <c r="A452" s="253">
        <v>8</v>
      </c>
      <c r="B452" s="254" t="str">
        <f>VLOOKUP(Tabel10[[#This Row],[Code]],Ruimtegroepen[[Code]:[Ruimte omschrijving]],2,FALSE)</f>
        <v>Kinderopvang</v>
      </c>
      <c r="C452" s="255" t="s">
        <v>658</v>
      </c>
      <c r="D452" s="254" t="s">
        <v>28</v>
      </c>
      <c r="E452" s="255" t="s">
        <v>99</v>
      </c>
      <c r="F452" s="255" t="s">
        <v>660</v>
      </c>
      <c r="G452" s="260" t="s">
        <v>283</v>
      </c>
      <c r="H452" s="256" t="s">
        <v>17</v>
      </c>
      <c r="I452" s="256" t="s">
        <v>283</v>
      </c>
      <c r="J452" s="256" t="s">
        <v>283</v>
      </c>
      <c r="K452" s="256" t="s">
        <v>283</v>
      </c>
      <c r="L452" s="256" t="s">
        <v>283</v>
      </c>
      <c r="M452" s="256" t="s">
        <v>283</v>
      </c>
      <c r="N452" s="256" t="s">
        <v>283</v>
      </c>
      <c r="O452" s="257" t="s">
        <v>17</v>
      </c>
      <c r="P452" s="257" t="s">
        <v>17</v>
      </c>
      <c r="Q452" s="257" t="s">
        <v>15</v>
      </c>
      <c r="R452" s="257" t="s">
        <v>283</v>
      </c>
      <c r="S452" s="257" t="s">
        <v>283</v>
      </c>
      <c r="T452" s="257" t="s">
        <v>283</v>
      </c>
      <c r="U452" s="257" t="s">
        <v>283</v>
      </c>
      <c r="V452" s="257" t="s">
        <v>283</v>
      </c>
      <c r="W452" s="258" t="s">
        <v>283</v>
      </c>
      <c r="X452" s="258" t="s">
        <v>283</v>
      </c>
      <c r="Y452" s="259" t="s">
        <v>283</v>
      </c>
    </row>
    <row r="453" spans="1:25">
      <c r="A453" s="253">
        <v>8</v>
      </c>
      <c r="B453" s="254" t="str">
        <f>VLOOKUP(Tabel10[[#This Row],[Code]],Ruimtegroepen[[Code]:[Ruimte omschrijving]],2,FALSE)</f>
        <v>Kinderopvang</v>
      </c>
      <c r="C453" s="255" t="s">
        <v>658</v>
      </c>
      <c r="D453" s="254" t="s">
        <v>28</v>
      </c>
      <c r="E453" s="255" t="s">
        <v>1312</v>
      </c>
      <c r="F453" s="255" t="s">
        <v>1417</v>
      </c>
      <c r="G453" s="260" t="s">
        <v>283</v>
      </c>
      <c r="H453" s="256" t="s">
        <v>283</v>
      </c>
      <c r="I453" s="256" t="s">
        <v>17</v>
      </c>
      <c r="J453" s="256" t="s">
        <v>283</v>
      </c>
      <c r="K453" s="256" t="s">
        <v>283</v>
      </c>
      <c r="L453" s="256" t="s">
        <v>283</v>
      </c>
      <c r="M453" s="256" t="s">
        <v>283</v>
      </c>
      <c r="N453" s="256" t="s">
        <v>283</v>
      </c>
      <c r="O453" s="257" t="s">
        <v>17</v>
      </c>
      <c r="P453" s="257" t="s">
        <v>17</v>
      </c>
      <c r="Q453" s="257" t="s">
        <v>15</v>
      </c>
      <c r="R453" s="257" t="s">
        <v>283</v>
      </c>
      <c r="S453" s="257" t="s">
        <v>283</v>
      </c>
      <c r="T453" s="257" t="s">
        <v>283</v>
      </c>
      <c r="U453" s="257" t="s">
        <v>283</v>
      </c>
      <c r="V453" s="257" t="s">
        <v>283</v>
      </c>
      <c r="W453" s="258" t="s">
        <v>283</v>
      </c>
      <c r="X453" s="258" t="s">
        <v>283</v>
      </c>
      <c r="Y453" s="259" t="s">
        <v>283</v>
      </c>
    </row>
    <row r="454" spans="1:25">
      <c r="A454" s="253">
        <v>9</v>
      </c>
      <c r="B454" s="254" t="str">
        <f>VLOOKUP(Tabel10[[#This Row],[Code]],Ruimtegroepen[[Code]:[Ruimte omschrijving]],2,FALSE)</f>
        <v>Bibliotheek/OLC</v>
      </c>
      <c r="C454" s="255" t="s">
        <v>663</v>
      </c>
      <c r="D454" s="254" t="s">
        <v>29</v>
      </c>
      <c r="E454" s="255" t="s">
        <v>100</v>
      </c>
      <c r="F454" s="255" t="s">
        <v>664</v>
      </c>
      <c r="G454" s="260" t="s">
        <v>283</v>
      </c>
      <c r="H454" s="256" t="s">
        <v>283</v>
      </c>
      <c r="I454" s="256" t="s">
        <v>20</v>
      </c>
      <c r="J454" s="256" t="s">
        <v>15</v>
      </c>
      <c r="K454" s="256" t="s">
        <v>283</v>
      </c>
      <c r="L454" s="256" t="s">
        <v>283</v>
      </c>
      <c r="M454" s="256" t="s">
        <v>283</v>
      </c>
      <c r="N454" s="256" t="s">
        <v>2</v>
      </c>
      <c r="O454" s="257" t="s">
        <v>2</v>
      </c>
      <c r="P454" s="257" t="s">
        <v>2</v>
      </c>
      <c r="Q454" s="257" t="s">
        <v>15</v>
      </c>
      <c r="R454" s="257" t="s">
        <v>15</v>
      </c>
      <c r="S454" s="257" t="s">
        <v>16</v>
      </c>
      <c r="T454" s="257" t="s">
        <v>330</v>
      </c>
      <c r="U454" s="257" t="s">
        <v>250</v>
      </c>
      <c r="V454" s="257" t="s">
        <v>2</v>
      </c>
      <c r="W454" s="258" t="s">
        <v>283</v>
      </c>
      <c r="X454" s="258" t="s">
        <v>283</v>
      </c>
      <c r="Y454" s="259" t="s">
        <v>283</v>
      </c>
    </row>
    <row r="455" spans="1:25">
      <c r="A455" s="253">
        <v>9</v>
      </c>
      <c r="B455" s="254" t="str">
        <f>VLOOKUP(Tabel10[[#This Row],[Code]],Ruimtegroepen[[Code]:[Ruimte omschrijving]],2,FALSE)</f>
        <v>Bibliotheek/OLC</v>
      </c>
      <c r="C455" s="255" t="s">
        <v>663</v>
      </c>
      <c r="D455" s="254" t="s">
        <v>29</v>
      </c>
      <c r="E455" s="255" t="s">
        <v>99</v>
      </c>
      <c r="F455" s="255" t="s">
        <v>665</v>
      </c>
      <c r="G455" s="260" t="s">
        <v>283</v>
      </c>
      <c r="H455" s="256" t="s">
        <v>2</v>
      </c>
      <c r="I455" s="256" t="s">
        <v>283</v>
      </c>
      <c r="J455" s="256" t="s">
        <v>283</v>
      </c>
      <c r="K455" s="256" t="s">
        <v>283</v>
      </c>
      <c r="L455" s="256" t="s">
        <v>283</v>
      </c>
      <c r="M455" s="256" t="s">
        <v>283</v>
      </c>
      <c r="N455" s="256" t="s">
        <v>2</v>
      </c>
      <c r="O455" s="257" t="s">
        <v>2</v>
      </c>
      <c r="P455" s="257" t="s">
        <v>2</v>
      </c>
      <c r="Q455" s="257" t="s">
        <v>15</v>
      </c>
      <c r="R455" s="257" t="s">
        <v>15</v>
      </c>
      <c r="S455" s="257" t="s">
        <v>16</v>
      </c>
      <c r="T455" s="257" t="s">
        <v>330</v>
      </c>
      <c r="U455" s="257" t="s">
        <v>250</v>
      </c>
      <c r="V455" s="257" t="s">
        <v>2</v>
      </c>
      <c r="W455" s="258" t="s">
        <v>283</v>
      </c>
      <c r="X455" s="258" t="s">
        <v>283</v>
      </c>
      <c r="Y455" s="259" t="s">
        <v>283</v>
      </c>
    </row>
    <row r="456" spans="1:25">
      <c r="A456" s="253">
        <v>9</v>
      </c>
      <c r="B456" s="254" t="str">
        <f>VLOOKUP(Tabel10[[#This Row],[Code]],Ruimtegroepen[[Code]:[Ruimte omschrijving]],2,FALSE)</f>
        <v>Bibliotheek/OLC</v>
      </c>
      <c r="C456" s="255" t="s">
        <v>663</v>
      </c>
      <c r="D456" s="254" t="s">
        <v>29</v>
      </c>
      <c r="E456" s="255" t="s">
        <v>101</v>
      </c>
      <c r="F456" s="255" t="s">
        <v>666</v>
      </c>
      <c r="G456" s="260" t="s">
        <v>283</v>
      </c>
      <c r="H456" s="256" t="s">
        <v>283</v>
      </c>
      <c r="I456" s="256" t="s">
        <v>20</v>
      </c>
      <c r="J456" s="256" t="s">
        <v>15</v>
      </c>
      <c r="K456" s="256" t="s">
        <v>284</v>
      </c>
      <c r="L456" s="256" t="s">
        <v>283</v>
      </c>
      <c r="M456" s="256" t="s">
        <v>283</v>
      </c>
      <c r="N456" s="256" t="s">
        <v>2</v>
      </c>
      <c r="O456" s="257" t="s">
        <v>2</v>
      </c>
      <c r="P456" s="257" t="s">
        <v>2</v>
      </c>
      <c r="Q456" s="257" t="s">
        <v>15</v>
      </c>
      <c r="R456" s="257" t="s">
        <v>15</v>
      </c>
      <c r="S456" s="257" t="s">
        <v>16</v>
      </c>
      <c r="T456" s="257" t="s">
        <v>330</v>
      </c>
      <c r="U456" s="257" t="s">
        <v>250</v>
      </c>
      <c r="V456" s="257" t="s">
        <v>2</v>
      </c>
      <c r="W456" s="258" t="s">
        <v>283</v>
      </c>
      <c r="X456" s="258" t="s">
        <v>283</v>
      </c>
      <c r="Y456" s="259" t="s">
        <v>283</v>
      </c>
    </row>
    <row r="457" spans="1:25">
      <c r="A457" s="253">
        <v>9</v>
      </c>
      <c r="B457" s="254" t="str">
        <f>VLOOKUP(Tabel10[[#This Row],[Code]],Ruimtegroepen[[Code]:[Ruimte omschrijving]],2,FALSE)</f>
        <v>Bibliotheek/OLC</v>
      </c>
      <c r="C457" s="255" t="s">
        <v>663</v>
      </c>
      <c r="D457" s="254" t="s">
        <v>29</v>
      </c>
      <c r="E457" s="255" t="s">
        <v>102</v>
      </c>
      <c r="F457" s="255" t="s">
        <v>667</v>
      </c>
      <c r="G457" s="260" t="s">
        <v>283</v>
      </c>
      <c r="H457" s="256" t="s">
        <v>283</v>
      </c>
      <c r="I457" s="256" t="s">
        <v>20</v>
      </c>
      <c r="J457" s="256" t="s">
        <v>15</v>
      </c>
      <c r="K457" s="256" t="s">
        <v>284</v>
      </c>
      <c r="L457" s="256" t="s">
        <v>283</v>
      </c>
      <c r="M457" s="256" t="s">
        <v>283</v>
      </c>
      <c r="N457" s="256" t="s">
        <v>2</v>
      </c>
      <c r="O457" s="257" t="s">
        <v>2</v>
      </c>
      <c r="P457" s="257" t="s">
        <v>2</v>
      </c>
      <c r="Q457" s="257" t="s">
        <v>15</v>
      </c>
      <c r="R457" s="257" t="s">
        <v>15</v>
      </c>
      <c r="S457" s="257" t="s">
        <v>16</v>
      </c>
      <c r="T457" s="257" t="s">
        <v>330</v>
      </c>
      <c r="U457" s="257" t="s">
        <v>250</v>
      </c>
      <c r="V457" s="257" t="s">
        <v>2</v>
      </c>
      <c r="W457" s="258" t="s">
        <v>283</v>
      </c>
      <c r="X457" s="258" t="s">
        <v>283</v>
      </c>
      <c r="Y457" s="259" t="s">
        <v>283</v>
      </c>
    </row>
    <row r="458" spans="1:25">
      <c r="A458" s="253">
        <v>9</v>
      </c>
      <c r="B458" s="254" t="str">
        <f>VLOOKUP(Tabel10[[#This Row],[Code]],Ruimtegroepen[[Code]:[Ruimte omschrijving]],2,FALSE)</f>
        <v>Bibliotheek/OLC</v>
      </c>
      <c r="C458" s="255" t="s">
        <v>663</v>
      </c>
      <c r="D458" s="254" t="s">
        <v>29</v>
      </c>
      <c r="E458" s="255" t="s">
        <v>99</v>
      </c>
      <c r="F458" s="255" t="s">
        <v>665</v>
      </c>
      <c r="G458" s="260" t="s">
        <v>283</v>
      </c>
      <c r="H458" s="256" t="s">
        <v>2</v>
      </c>
      <c r="I458" s="256" t="s">
        <v>283</v>
      </c>
      <c r="J458" s="256" t="s">
        <v>283</v>
      </c>
      <c r="K458" s="256" t="s">
        <v>283</v>
      </c>
      <c r="L458" s="256" t="s">
        <v>283</v>
      </c>
      <c r="M458" s="256" t="s">
        <v>283</v>
      </c>
      <c r="N458" s="256" t="s">
        <v>2</v>
      </c>
      <c r="O458" s="257" t="s">
        <v>2</v>
      </c>
      <c r="P458" s="257" t="s">
        <v>2</v>
      </c>
      <c r="Q458" s="257" t="s">
        <v>15</v>
      </c>
      <c r="R458" s="257" t="s">
        <v>15</v>
      </c>
      <c r="S458" s="257" t="s">
        <v>16</v>
      </c>
      <c r="T458" s="257" t="s">
        <v>330</v>
      </c>
      <c r="U458" s="257" t="s">
        <v>250</v>
      </c>
      <c r="V458" s="257" t="s">
        <v>2</v>
      </c>
      <c r="W458" s="258" t="s">
        <v>283</v>
      </c>
      <c r="X458" s="258" t="s">
        <v>283</v>
      </c>
      <c r="Y458" s="259" t="s">
        <v>283</v>
      </c>
    </row>
    <row r="459" spans="1:25">
      <c r="A459" s="253">
        <v>9</v>
      </c>
      <c r="B459" s="254" t="str">
        <f>VLOOKUP(Tabel10[[#This Row],[Code]],Ruimtegroepen[[Code]:[Ruimte omschrijving]],2,FALSE)</f>
        <v>Bibliotheek/OLC</v>
      </c>
      <c r="C459" s="255" t="s">
        <v>663</v>
      </c>
      <c r="D459" s="254" t="s">
        <v>29</v>
      </c>
      <c r="E459" s="255" t="s">
        <v>1312</v>
      </c>
      <c r="F459" s="255" t="s">
        <v>1485</v>
      </c>
      <c r="G459" s="260" t="s">
        <v>283</v>
      </c>
      <c r="H459" s="256" t="s">
        <v>283</v>
      </c>
      <c r="I459" s="256" t="s">
        <v>20</v>
      </c>
      <c r="J459" s="256" t="s">
        <v>15</v>
      </c>
      <c r="K459" s="256" t="s">
        <v>284</v>
      </c>
      <c r="L459" s="256" t="s">
        <v>283</v>
      </c>
      <c r="M459" s="256" t="s">
        <v>283</v>
      </c>
      <c r="N459" s="256" t="s">
        <v>2</v>
      </c>
      <c r="O459" s="257" t="s">
        <v>2</v>
      </c>
      <c r="P459" s="257" t="s">
        <v>2</v>
      </c>
      <c r="Q459" s="257" t="s">
        <v>15</v>
      </c>
      <c r="R459" s="257" t="s">
        <v>15</v>
      </c>
      <c r="S459" s="257" t="s">
        <v>16</v>
      </c>
      <c r="T459" s="257" t="s">
        <v>330</v>
      </c>
      <c r="U459" s="257" t="s">
        <v>250</v>
      </c>
      <c r="V459" s="257" t="s">
        <v>2</v>
      </c>
      <c r="W459" s="258" t="s">
        <v>283</v>
      </c>
      <c r="X459" s="258" t="s">
        <v>283</v>
      </c>
      <c r="Y459" s="259" t="s">
        <v>283</v>
      </c>
    </row>
    <row r="460" spans="1:25">
      <c r="A460" s="253">
        <v>9</v>
      </c>
      <c r="B460" s="254" t="str">
        <f>VLOOKUP(Tabel10[[#This Row],[Code]],Ruimtegroepen[[Code]:[Ruimte omschrijving]],2,FALSE)</f>
        <v>Bibliotheek/OLC</v>
      </c>
      <c r="C460" s="255" t="s">
        <v>668</v>
      </c>
      <c r="D460" s="254" t="s">
        <v>1</v>
      </c>
      <c r="E460" s="255" t="s">
        <v>100</v>
      </c>
      <c r="F460" s="255" t="s">
        <v>669</v>
      </c>
      <c r="G460" s="260" t="s">
        <v>283</v>
      </c>
      <c r="H460" s="256" t="s">
        <v>283</v>
      </c>
      <c r="I460" s="256" t="s">
        <v>20</v>
      </c>
      <c r="J460" s="256" t="s">
        <v>15</v>
      </c>
      <c r="K460" s="256" t="s">
        <v>283</v>
      </c>
      <c r="L460" s="256" t="s">
        <v>283</v>
      </c>
      <c r="M460" s="256" t="s">
        <v>283</v>
      </c>
      <c r="N460" s="256" t="s">
        <v>283</v>
      </c>
      <c r="O460" s="257" t="s">
        <v>2</v>
      </c>
      <c r="P460" s="257" t="s">
        <v>2</v>
      </c>
      <c r="Q460" s="257" t="s">
        <v>15</v>
      </c>
      <c r="R460" s="257" t="s">
        <v>15</v>
      </c>
      <c r="S460" s="257" t="s">
        <v>16</v>
      </c>
      <c r="T460" s="257" t="s">
        <v>330</v>
      </c>
      <c r="U460" s="257" t="s">
        <v>250</v>
      </c>
      <c r="V460" s="257" t="s">
        <v>283</v>
      </c>
      <c r="W460" s="258" t="s">
        <v>283</v>
      </c>
      <c r="X460" s="258" t="s">
        <v>283</v>
      </c>
      <c r="Y460" s="259" t="s">
        <v>283</v>
      </c>
    </row>
    <row r="461" spans="1:25">
      <c r="A461" s="253">
        <v>9</v>
      </c>
      <c r="B461" s="254" t="str">
        <f>VLOOKUP(Tabel10[[#This Row],[Code]],Ruimtegroepen[[Code]:[Ruimte omschrijving]],2,FALSE)</f>
        <v>Bibliotheek/OLC</v>
      </c>
      <c r="C461" s="255" t="s">
        <v>668</v>
      </c>
      <c r="D461" s="254" t="s">
        <v>1</v>
      </c>
      <c r="E461" s="255" t="s">
        <v>99</v>
      </c>
      <c r="F461" s="255" t="s">
        <v>670</v>
      </c>
      <c r="G461" s="260" t="s">
        <v>283</v>
      </c>
      <c r="H461" s="256" t="s">
        <v>2</v>
      </c>
      <c r="I461" s="256" t="s">
        <v>283</v>
      </c>
      <c r="J461" s="256" t="s">
        <v>283</v>
      </c>
      <c r="K461" s="256" t="s">
        <v>283</v>
      </c>
      <c r="L461" s="256" t="s">
        <v>283</v>
      </c>
      <c r="M461" s="256" t="s">
        <v>283</v>
      </c>
      <c r="N461" s="256" t="s">
        <v>283</v>
      </c>
      <c r="O461" s="257" t="s">
        <v>2</v>
      </c>
      <c r="P461" s="257" t="s">
        <v>2</v>
      </c>
      <c r="Q461" s="257" t="s">
        <v>15</v>
      </c>
      <c r="R461" s="257" t="s">
        <v>15</v>
      </c>
      <c r="S461" s="257" t="s">
        <v>16</v>
      </c>
      <c r="T461" s="257" t="s">
        <v>330</v>
      </c>
      <c r="U461" s="257" t="s">
        <v>250</v>
      </c>
      <c r="V461" s="257" t="s">
        <v>283</v>
      </c>
      <c r="W461" s="258" t="s">
        <v>283</v>
      </c>
      <c r="X461" s="258" t="s">
        <v>283</v>
      </c>
      <c r="Y461" s="259" t="s">
        <v>283</v>
      </c>
    </row>
    <row r="462" spans="1:25">
      <c r="A462" s="253">
        <v>9</v>
      </c>
      <c r="B462" s="254" t="str">
        <f>VLOOKUP(Tabel10[[#This Row],[Code]],Ruimtegroepen[[Code]:[Ruimte omschrijving]],2,FALSE)</f>
        <v>Bibliotheek/OLC</v>
      </c>
      <c r="C462" s="255" t="s">
        <v>668</v>
      </c>
      <c r="D462" s="254" t="s">
        <v>1</v>
      </c>
      <c r="E462" s="255" t="s">
        <v>101</v>
      </c>
      <c r="F462" s="255" t="s">
        <v>671</v>
      </c>
      <c r="G462" s="260" t="s">
        <v>283</v>
      </c>
      <c r="H462" s="256" t="s">
        <v>283</v>
      </c>
      <c r="I462" s="256" t="s">
        <v>20</v>
      </c>
      <c r="J462" s="256" t="s">
        <v>15</v>
      </c>
      <c r="K462" s="256" t="s">
        <v>284</v>
      </c>
      <c r="L462" s="256" t="s">
        <v>283</v>
      </c>
      <c r="M462" s="256" t="s">
        <v>283</v>
      </c>
      <c r="N462" s="256" t="s">
        <v>283</v>
      </c>
      <c r="O462" s="257" t="s">
        <v>2</v>
      </c>
      <c r="P462" s="257" t="s">
        <v>2</v>
      </c>
      <c r="Q462" s="257" t="s">
        <v>15</v>
      </c>
      <c r="R462" s="257" t="s">
        <v>15</v>
      </c>
      <c r="S462" s="257" t="s">
        <v>16</v>
      </c>
      <c r="T462" s="257" t="s">
        <v>330</v>
      </c>
      <c r="U462" s="257" t="s">
        <v>250</v>
      </c>
      <c r="V462" s="257" t="s">
        <v>283</v>
      </c>
      <c r="W462" s="258" t="s">
        <v>283</v>
      </c>
      <c r="X462" s="258" t="s">
        <v>283</v>
      </c>
      <c r="Y462" s="259" t="s">
        <v>283</v>
      </c>
    </row>
    <row r="463" spans="1:25">
      <c r="A463" s="253">
        <v>9</v>
      </c>
      <c r="B463" s="254" t="str">
        <f>VLOOKUP(Tabel10[[#This Row],[Code]],Ruimtegroepen[[Code]:[Ruimte omschrijving]],2,FALSE)</f>
        <v>Bibliotheek/OLC</v>
      </c>
      <c r="C463" s="255" t="s">
        <v>668</v>
      </c>
      <c r="D463" s="254" t="s">
        <v>1</v>
      </c>
      <c r="E463" s="255" t="s">
        <v>102</v>
      </c>
      <c r="F463" s="255" t="s">
        <v>672</v>
      </c>
      <c r="G463" s="260" t="s">
        <v>283</v>
      </c>
      <c r="H463" s="256" t="s">
        <v>283</v>
      </c>
      <c r="I463" s="256" t="s">
        <v>2</v>
      </c>
      <c r="J463" s="256" t="s">
        <v>283</v>
      </c>
      <c r="K463" s="256" t="s">
        <v>284</v>
      </c>
      <c r="L463" s="256" t="s">
        <v>283</v>
      </c>
      <c r="M463" s="256" t="s">
        <v>283</v>
      </c>
      <c r="N463" s="256" t="s">
        <v>283</v>
      </c>
      <c r="O463" s="257" t="s">
        <v>2</v>
      </c>
      <c r="P463" s="257" t="s">
        <v>2</v>
      </c>
      <c r="Q463" s="257" t="s">
        <v>15</v>
      </c>
      <c r="R463" s="257" t="s">
        <v>15</v>
      </c>
      <c r="S463" s="257" t="s">
        <v>16</v>
      </c>
      <c r="T463" s="257" t="s">
        <v>330</v>
      </c>
      <c r="U463" s="257" t="s">
        <v>250</v>
      </c>
      <c r="V463" s="257" t="s">
        <v>283</v>
      </c>
      <c r="W463" s="258" t="s">
        <v>283</v>
      </c>
      <c r="X463" s="258" t="s">
        <v>283</v>
      </c>
      <c r="Y463" s="259" t="s">
        <v>283</v>
      </c>
    </row>
    <row r="464" spans="1:25">
      <c r="A464" s="253">
        <v>9</v>
      </c>
      <c r="B464" s="254" t="str">
        <f>VLOOKUP(Tabel10[[#This Row],[Code]],Ruimtegroepen[[Code]:[Ruimte omschrijving]],2,FALSE)</f>
        <v>Bibliotheek/OLC</v>
      </c>
      <c r="C464" s="255" t="s">
        <v>668</v>
      </c>
      <c r="D464" s="254" t="s">
        <v>1</v>
      </c>
      <c r="E464" s="255" t="s">
        <v>99</v>
      </c>
      <c r="F464" s="255" t="s">
        <v>670</v>
      </c>
      <c r="G464" s="260" t="s">
        <v>283</v>
      </c>
      <c r="H464" s="256" t="s">
        <v>2</v>
      </c>
      <c r="I464" s="256" t="s">
        <v>283</v>
      </c>
      <c r="J464" s="256" t="s">
        <v>283</v>
      </c>
      <c r="K464" s="256" t="s">
        <v>283</v>
      </c>
      <c r="L464" s="256" t="s">
        <v>283</v>
      </c>
      <c r="M464" s="256" t="s">
        <v>283</v>
      </c>
      <c r="N464" s="256" t="s">
        <v>283</v>
      </c>
      <c r="O464" s="257" t="s">
        <v>2</v>
      </c>
      <c r="P464" s="257" t="s">
        <v>2</v>
      </c>
      <c r="Q464" s="257" t="s">
        <v>15</v>
      </c>
      <c r="R464" s="257" t="s">
        <v>15</v>
      </c>
      <c r="S464" s="257" t="s">
        <v>16</v>
      </c>
      <c r="T464" s="257" t="s">
        <v>330</v>
      </c>
      <c r="U464" s="257" t="s">
        <v>250</v>
      </c>
      <c r="V464" s="257" t="s">
        <v>283</v>
      </c>
      <c r="W464" s="258" t="s">
        <v>283</v>
      </c>
      <c r="X464" s="258" t="s">
        <v>283</v>
      </c>
      <c r="Y464" s="259" t="s">
        <v>283</v>
      </c>
    </row>
    <row r="465" spans="1:25">
      <c r="A465" s="253">
        <v>9</v>
      </c>
      <c r="B465" s="254" t="str">
        <f>VLOOKUP(Tabel10[[#This Row],[Code]],Ruimtegroepen[[Code]:[Ruimte omschrijving]],2,FALSE)</f>
        <v>Bibliotheek/OLC</v>
      </c>
      <c r="C465" s="255" t="s">
        <v>668</v>
      </c>
      <c r="D465" s="254" t="s">
        <v>1</v>
      </c>
      <c r="E465" s="255" t="s">
        <v>1312</v>
      </c>
      <c r="F465" s="255" t="s">
        <v>1469</v>
      </c>
      <c r="G465" s="260" t="s">
        <v>283</v>
      </c>
      <c r="H465" s="256" t="s">
        <v>283</v>
      </c>
      <c r="I465" s="256" t="s">
        <v>2</v>
      </c>
      <c r="J465" s="256" t="s">
        <v>283</v>
      </c>
      <c r="K465" s="256" t="s">
        <v>284</v>
      </c>
      <c r="L465" s="256" t="s">
        <v>283</v>
      </c>
      <c r="M465" s="256" t="s">
        <v>283</v>
      </c>
      <c r="N465" s="256" t="s">
        <v>283</v>
      </c>
      <c r="O465" s="257" t="s">
        <v>2</v>
      </c>
      <c r="P465" s="257" t="s">
        <v>2</v>
      </c>
      <c r="Q465" s="257" t="s">
        <v>15</v>
      </c>
      <c r="R465" s="257" t="s">
        <v>15</v>
      </c>
      <c r="S465" s="257" t="s">
        <v>16</v>
      </c>
      <c r="T465" s="257" t="s">
        <v>330</v>
      </c>
      <c r="U465" s="257" t="s">
        <v>250</v>
      </c>
      <c r="V465" s="257" t="s">
        <v>283</v>
      </c>
      <c r="W465" s="258" t="s">
        <v>283</v>
      </c>
      <c r="X465" s="258" t="s">
        <v>283</v>
      </c>
      <c r="Y465" s="259" t="s">
        <v>283</v>
      </c>
    </row>
    <row r="466" spans="1:25">
      <c r="A466" s="253">
        <v>9</v>
      </c>
      <c r="B466" s="254" t="str">
        <f>VLOOKUP(Tabel10[[#This Row],[Code]],Ruimtegroepen[[Code]:[Ruimte omschrijving]],2,FALSE)</f>
        <v>Bibliotheek/OLC</v>
      </c>
      <c r="C466" s="255" t="s">
        <v>673</v>
      </c>
      <c r="D466" s="254" t="s">
        <v>21</v>
      </c>
      <c r="E466" s="255" t="s">
        <v>100</v>
      </c>
      <c r="F466" s="255" t="s">
        <v>674</v>
      </c>
      <c r="G466" s="260" t="s">
        <v>283</v>
      </c>
      <c r="H466" s="256" t="s">
        <v>283</v>
      </c>
      <c r="I466" s="256" t="s">
        <v>18</v>
      </c>
      <c r="J466" s="256" t="s">
        <v>15</v>
      </c>
      <c r="K466" s="256" t="s">
        <v>283</v>
      </c>
      <c r="L466" s="256" t="s">
        <v>283</v>
      </c>
      <c r="M466" s="256" t="s">
        <v>283</v>
      </c>
      <c r="N466" s="256" t="s">
        <v>283</v>
      </c>
      <c r="O466" s="257" t="s">
        <v>20</v>
      </c>
      <c r="P466" s="257" t="s">
        <v>20</v>
      </c>
      <c r="Q466" s="257" t="s">
        <v>15</v>
      </c>
      <c r="R466" s="257" t="s">
        <v>15</v>
      </c>
      <c r="S466" s="257" t="s">
        <v>16</v>
      </c>
      <c r="T466" s="257" t="s">
        <v>330</v>
      </c>
      <c r="U466" s="257" t="s">
        <v>250</v>
      </c>
      <c r="V466" s="257" t="s">
        <v>283</v>
      </c>
      <c r="W466" s="258" t="s">
        <v>283</v>
      </c>
      <c r="X466" s="258" t="s">
        <v>283</v>
      </c>
      <c r="Y466" s="259" t="s">
        <v>283</v>
      </c>
    </row>
    <row r="467" spans="1:25">
      <c r="A467" s="253">
        <v>9</v>
      </c>
      <c r="B467" s="254" t="str">
        <f>VLOOKUP(Tabel10[[#This Row],[Code]],Ruimtegroepen[[Code]:[Ruimte omschrijving]],2,FALSE)</f>
        <v>Bibliotheek/OLC</v>
      </c>
      <c r="C467" s="255" t="s">
        <v>673</v>
      </c>
      <c r="D467" s="254" t="s">
        <v>21</v>
      </c>
      <c r="E467" s="255" t="s">
        <v>99</v>
      </c>
      <c r="F467" s="255" t="s">
        <v>675</v>
      </c>
      <c r="G467" s="260" t="s">
        <v>283</v>
      </c>
      <c r="H467" s="256" t="s">
        <v>20</v>
      </c>
      <c r="I467" s="256" t="s">
        <v>283</v>
      </c>
      <c r="J467" s="256" t="s">
        <v>283</v>
      </c>
      <c r="K467" s="256" t="s">
        <v>283</v>
      </c>
      <c r="L467" s="256" t="s">
        <v>283</v>
      </c>
      <c r="M467" s="256" t="s">
        <v>283</v>
      </c>
      <c r="N467" s="256" t="s">
        <v>283</v>
      </c>
      <c r="O467" s="257" t="s">
        <v>20</v>
      </c>
      <c r="P467" s="257" t="s">
        <v>20</v>
      </c>
      <c r="Q467" s="257" t="s">
        <v>15</v>
      </c>
      <c r="R467" s="257" t="s">
        <v>15</v>
      </c>
      <c r="S467" s="257" t="s">
        <v>16</v>
      </c>
      <c r="T467" s="257" t="s">
        <v>330</v>
      </c>
      <c r="U467" s="257" t="s">
        <v>250</v>
      </c>
      <c r="V467" s="257" t="s">
        <v>283</v>
      </c>
      <c r="W467" s="258" t="s">
        <v>283</v>
      </c>
      <c r="X467" s="258" t="s">
        <v>283</v>
      </c>
      <c r="Y467" s="259" t="s">
        <v>283</v>
      </c>
    </row>
    <row r="468" spans="1:25">
      <c r="A468" s="253">
        <v>9</v>
      </c>
      <c r="B468" s="254" t="str">
        <f>VLOOKUP(Tabel10[[#This Row],[Code]],Ruimtegroepen[[Code]:[Ruimte omschrijving]],2,FALSE)</f>
        <v>Bibliotheek/OLC</v>
      </c>
      <c r="C468" s="255" t="s">
        <v>673</v>
      </c>
      <c r="D468" s="254" t="s">
        <v>21</v>
      </c>
      <c r="E468" s="255" t="s">
        <v>101</v>
      </c>
      <c r="F468" s="255" t="s">
        <v>676</v>
      </c>
      <c r="G468" s="260" t="s">
        <v>283</v>
      </c>
      <c r="H468" s="256" t="s">
        <v>283</v>
      </c>
      <c r="I468" s="256" t="s">
        <v>18</v>
      </c>
      <c r="J468" s="256" t="s">
        <v>15</v>
      </c>
      <c r="K468" s="256" t="s">
        <v>284</v>
      </c>
      <c r="L468" s="256" t="s">
        <v>283</v>
      </c>
      <c r="M468" s="256" t="s">
        <v>283</v>
      </c>
      <c r="N468" s="256" t="s">
        <v>283</v>
      </c>
      <c r="O468" s="257" t="s">
        <v>20</v>
      </c>
      <c r="P468" s="257" t="s">
        <v>20</v>
      </c>
      <c r="Q468" s="257" t="s">
        <v>15</v>
      </c>
      <c r="R468" s="257" t="s">
        <v>15</v>
      </c>
      <c r="S468" s="257" t="s">
        <v>16</v>
      </c>
      <c r="T468" s="257" t="s">
        <v>330</v>
      </c>
      <c r="U468" s="257" t="s">
        <v>250</v>
      </c>
      <c r="V468" s="257" t="s">
        <v>283</v>
      </c>
      <c r="W468" s="258" t="s">
        <v>283</v>
      </c>
      <c r="X468" s="258" t="s">
        <v>283</v>
      </c>
      <c r="Y468" s="259" t="s">
        <v>283</v>
      </c>
    </row>
    <row r="469" spans="1:25">
      <c r="A469" s="253">
        <v>9</v>
      </c>
      <c r="B469" s="254" t="str">
        <f>VLOOKUP(Tabel10[[#This Row],[Code]],Ruimtegroepen[[Code]:[Ruimte omschrijving]],2,FALSE)</f>
        <v>Bibliotheek/OLC</v>
      </c>
      <c r="C469" s="255" t="s">
        <v>673</v>
      </c>
      <c r="D469" s="254" t="s">
        <v>21</v>
      </c>
      <c r="E469" s="255" t="s">
        <v>102</v>
      </c>
      <c r="F469" s="255" t="s">
        <v>677</v>
      </c>
      <c r="G469" s="260" t="s">
        <v>283</v>
      </c>
      <c r="H469" s="256" t="s">
        <v>283</v>
      </c>
      <c r="I469" s="256" t="s">
        <v>18</v>
      </c>
      <c r="J469" s="256" t="s">
        <v>15</v>
      </c>
      <c r="K469" s="256" t="s">
        <v>284</v>
      </c>
      <c r="L469" s="256" t="s">
        <v>283</v>
      </c>
      <c r="M469" s="256" t="s">
        <v>283</v>
      </c>
      <c r="N469" s="256" t="s">
        <v>283</v>
      </c>
      <c r="O469" s="257" t="s">
        <v>20</v>
      </c>
      <c r="P469" s="257" t="s">
        <v>20</v>
      </c>
      <c r="Q469" s="257" t="s">
        <v>15</v>
      </c>
      <c r="R469" s="257" t="s">
        <v>15</v>
      </c>
      <c r="S469" s="257" t="s">
        <v>16</v>
      </c>
      <c r="T469" s="257" t="s">
        <v>330</v>
      </c>
      <c r="U469" s="257" t="s">
        <v>250</v>
      </c>
      <c r="V469" s="257" t="s">
        <v>283</v>
      </c>
      <c r="W469" s="258" t="s">
        <v>283</v>
      </c>
      <c r="X469" s="258" t="s">
        <v>283</v>
      </c>
      <c r="Y469" s="259" t="s">
        <v>283</v>
      </c>
    </row>
    <row r="470" spans="1:25">
      <c r="A470" s="253">
        <v>9</v>
      </c>
      <c r="B470" s="254" t="str">
        <f>VLOOKUP(Tabel10[[#This Row],[Code]],Ruimtegroepen[[Code]:[Ruimte omschrijving]],2,FALSE)</f>
        <v>Bibliotheek/OLC</v>
      </c>
      <c r="C470" s="255" t="s">
        <v>673</v>
      </c>
      <c r="D470" s="254" t="s">
        <v>21</v>
      </c>
      <c r="E470" s="255" t="s">
        <v>99</v>
      </c>
      <c r="F470" s="255" t="s">
        <v>675</v>
      </c>
      <c r="G470" s="260" t="s">
        <v>283</v>
      </c>
      <c r="H470" s="256" t="s">
        <v>20</v>
      </c>
      <c r="I470" s="256" t="s">
        <v>283</v>
      </c>
      <c r="J470" s="256" t="s">
        <v>283</v>
      </c>
      <c r="K470" s="256" t="s">
        <v>283</v>
      </c>
      <c r="L470" s="256" t="s">
        <v>283</v>
      </c>
      <c r="M470" s="256" t="s">
        <v>283</v>
      </c>
      <c r="N470" s="256" t="s">
        <v>283</v>
      </c>
      <c r="O470" s="257" t="s">
        <v>20</v>
      </c>
      <c r="P470" s="257" t="s">
        <v>20</v>
      </c>
      <c r="Q470" s="257" t="s">
        <v>15</v>
      </c>
      <c r="R470" s="257" t="s">
        <v>15</v>
      </c>
      <c r="S470" s="257" t="s">
        <v>16</v>
      </c>
      <c r="T470" s="257" t="s">
        <v>330</v>
      </c>
      <c r="U470" s="257" t="s">
        <v>250</v>
      </c>
      <c r="V470" s="257" t="s">
        <v>283</v>
      </c>
      <c r="W470" s="258" t="s">
        <v>283</v>
      </c>
      <c r="X470" s="258" t="s">
        <v>283</v>
      </c>
      <c r="Y470" s="259" t="s">
        <v>283</v>
      </c>
    </row>
    <row r="471" spans="1:25">
      <c r="A471" s="253">
        <v>9</v>
      </c>
      <c r="B471" s="254" t="str">
        <f>VLOOKUP(Tabel10[[#This Row],[Code]],Ruimtegroepen[[Code]:[Ruimte omschrijving]],2,FALSE)</f>
        <v>Bibliotheek/OLC</v>
      </c>
      <c r="C471" s="255" t="s">
        <v>673</v>
      </c>
      <c r="D471" s="254" t="s">
        <v>21</v>
      </c>
      <c r="E471" s="255" t="s">
        <v>1312</v>
      </c>
      <c r="F471" s="255" t="s">
        <v>1452</v>
      </c>
      <c r="G471" s="260" t="s">
        <v>283</v>
      </c>
      <c r="H471" s="256" t="s">
        <v>283</v>
      </c>
      <c r="I471" s="256" t="s">
        <v>18</v>
      </c>
      <c r="J471" s="256" t="s">
        <v>15</v>
      </c>
      <c r="K471" s="256" t="s">
        <v>284</v>
      </c>
      <c r="L471" s="256" t="s">
        <v>283</v>
      </c>
      <c r="M471" s="256" t="s">
        <v>283</v>
      </c>
      <c r="N471" s="256" t="s">
        <v>283</v>
      </c>
      <c r="O471" s="257" t="s">
        <v>20</v>
      </c>
      <c r="P471" s="257" t="s">
        <v>20</v>
      </c>
      <c r="Q471" s="257" t="s">
        <v>15</v>
      </c>
      <c r="R471" s="257" t="s">
        <v>15</v>
      </c>
      <c r="S471" s="257" t="s">
        <v>16</v>
      </c>
      <c r="T471" s="257" t="s">
        <v>330</v>
      </c>
      <c r="U471" s="257" t="s">
        <v>250</v>
      </c>
      <c r="V471" s="257" t="s">
        <v>283</v>
      </c>
      <c r="W471" s="258" t="s">
        <v>283</v>
      </c>
      <c r="X471" s="258" t="s">
        <v>283</v>
      </c>
      <c r="Y471" s="259" t="s">
        <v>283</v>
      </c>
    </row>
    <row r="472" spans="1:25">
      <c r="A472" s="253">
        <v>9</v>
      </c>
      <c r="B472" s="254" t="str">
        <f>VLOOKUP(Tabel10[[#This Row],[Code]],Ruimtegroepen[[Code]:[Ruimte omschrijving]],2,FALSE)</f>
        <v>Bibliotheek/OLC</v>
      </c>
      <c r="C472" s="255" t="s">
        <v>678</v>
      </c>
      <c r="D472" s="254" t="s">
        <v>12</v>
      </c>
      <c r="E472" s="255" t="s">
        <v>100</v>
      </c>
      <c r="F472" s="255" t="s">
        <v>679</v>
      </c>
      <c r="G472" s="260" t="s">
        <v>283</v>
      </c>
      <c r="H472" s="256" t="s">
        <v>283</v>
      </c>
      <c r="I472" s="256" t="s">
        <v>17</v>
      </c>
      <c r="J472" s="256" t="s">
        <v>15</v>
      </c>
      <c r="K472" s="256" t="s">
        <v>283</v>
      </c>
      <c r="L472" s="256" t="s">
        <v>283</v>
      </c>
      <c r="M472" s="256" t="s">
        <v>283</v>
      </c>
      <c r="N472" s="256" t="s">
        <v>283</v>
      </c>
      <c r="O472" s="257" t="s">
        <v>18</v>
      </c>
      <c r="P472" s="257" t="s">
        <v>18</v>
      </c>
      <c r="Q472" s="257" t="s">
        <v>15</v>
      </c>
      <c r="R472" s="257" t="s">
        <v>15</v>
      </c>
      <c r="S472" s="257" t="s">
        <v>16</v>
      </c>
      <c r="T472" s="257" t="s">
        <v>330</v>
      </c>
      <c r="U472" s="257" t="s">
        <v>250</v>
      </c>
      <c r="V472" s="257" t="s">
        <v>283</v>
      </c>
      <c r="W472" s="258" t="s">
        <v>283</v>
      </c>
      <c r="X472" s="258" t="s">
        <v>283</v>
      </c>
      <c r="Y472" s="259" t="s">
        <v>283</v>
      </c>
    </row>
    <row r="473" spans="1:25">
      <c r="A473" s="253">
        <v>9</v>
      </c>
      <c r="B473" s="254" t="str">
        <f>VLOOKUP(Tabel10[[#This Row],[Code]],Ruimtegroepen[[Code]:[Ruimte omschrijving]],2,FALSE)</f>
        <v>Bibliotheek/OLC</v>
      </c>
      <c r="C473" s="255" t="s">
        <v>678</v>
      </c>
      <c r="D473" s="254" t="s">
        <v>12</v>
      </c>
      <c r="E473" s="255" t="s">
        <v>99</v>
      </c>
      <c r="F473" s="255" t="s">
        <v>680</v>
      </c>
      <c r="G473" s="260" t="s">
        <v>283</v>
      </c>
      <c r="H473" s="256" t="s">
        <v>18</v>
      </c>
      <c r="I473" s="256" t="s">
        <v>283</v>
      </c>
      <c r="J473" s="256" t="s">
        <v>283</v>
      </c>
      <c r="K473" s="256" t="s">
        <v>283</v>
      </c>
      <c r="L473" s="256" t="s">
        <v>283</v>
      </c>
      <c r="M473" s="256" t="s">
        <v>283</v>
      </c>
      <c r="N473" s="256" t="s">
        <v>283</v>
      </c>
      <c r="O473" s="257" t="s">
        <v>18</v>
      </c>
      <c r="P473" s="257" t="s">
        <v>18</v>
      </c>
      <c r="Q473" s="257" t="s">
        <v>15</v>
      </c>
      <c r="R473" s="257" t="s">
        <v>15</v>
      </c>
      <c r="S473" s="257" t="s">
        <v>16</v>
      </c>
      <c r="T473" s="257" t="s">
        <v>330</v>
      </c>
      <c r="U473" s="257" t="s">
        <v>250</v>
      </c>
      <c r="V473" s="257" t="s">
        <v>283</v>
      </c>
      <c r="W473" s="258" t="s">
        <v>283</v>
      </c>
      <c r="X473" s="258" t="s">
        <v>283</v>
      </c>
      <c r="Y473" s="259" t="s">
        <v>283</v>
      </c>
    </row>
    <row r="474" spans="1:25">
      <c r="A474" s="253">
        <v>9</v>
      </c>
      <c r="B474" s="254" t="str">
        <f>VLOOKUP(Tabel10[[#This Row],[Code]],Ruimtegroepen[[Code]:[Ruimte omschrijving]],2,FALSE)</f>
        <v>Bibliotheek/OLC</v>
      </c>
      <c r="C474" s="255" t="s">
        <v>678</v>
      </c>
      <c r="D474" s="254" t="s">
        <v>12</v>
      </c>
      <c r="E474" s="255" t="s">
        <v>101</v>
      </c>
      <c r="F474" s="255" t="s">
        <v>681</v>
      </c>
      <c r="G474" s="260" t="s">
        <v>283</v>
      </c>
      <c r="H474" s="256" t="s">
        <v>283</v>
      </c>
      <c r="I474" s="256" t="s">
        <v>17</v>
      </c>
      <c r="J474" s="256" t="s">
        <v>15</v>
      </c>
      <c r="K474" s="256" t="s">
        <v>284</v>
      </c>
      <c r="L474" s="256" t="s">
        <v>283</v>
      </c>
      <c r="M474" s="256" t="s">
        <v>283</v>
      </c>
      <c r="N474" s="256" t="s">
        <v>283</v>
      </c>
      <c r="O474" s="257" t="s">
        <v>18</v>
      </c>
      <c r="P474" s="257" t="s">
        <v>18</v>
      </c>
      <c r="Q474" s="257" t="s">
        <v>15</v>
      </c>
      <c r="R474" s="257" t="s">
        <v>15</v>
      </c>
      <c r="S474" s="257" t="s">
        <v>16</v>
      </c>
      <c r="T474" s="257" t="s">
        <v>330</v>
      </c>
      <c r="U474" s="257" t="s">
        <v>250</v>
      </c>
      <c r="V474" s="257" t="s">
        <v>283</v>
      </c>
      <c r="W474" s="258" t="s">
        <v>283</v>
      </c>
      <c r="X474" s="258" t="s">
        <v>283</v>
      </c>
      <c r="Y474" s="259" t="s">
        <v>283</v>
      </c>
    </row>
    <row r="475" spans="1:25">
      <c r="A475" s="253">
        <v>9</v>
      </c>
      <c r="B475" s="254" t="str">
        <f>VLOOKUP(Tabel10[[#This Row],[Code]],Ruimtegroepen[[Code]:[Ruimte omschrijving]],2,FALSE)</f>
        <v>Bibliotheek/OLC</v>
      </c>
      <c r="C475" s="255" t="s">
        <v>678</v>
      </c>
      <c r="D475" s="254" t="s">
        <v>12</v>
      </c>
      <c r="E475" s="255" t="s">
        <v>102</v>
      </c>
      <c r="F475" s="255" t="s">
        <v>682</v>
      </c>
      <c r="G475" s="260" t="s">
        <v>283</v>
      </c>
      <c r="H475" s="256" t="s">
        <v>283</v>
      </c>
      <c r="I475" s="256" t="s">
        <v>17</v>
      </c>
      <c r="J475" s="256" t="s">
        <v>15</v>
      </c>
      <c r="K475" s="256" t="s">
        <v>284</v>
      </c>
      <c r="L475" s="256" t="s">
        <v>283</v>
      </c>
      <c r="M475" s="256" t="s">
        <v>283</v>
      </c>
      <c r="N475" s="256" t="s">
        <v>283</v>
      </c>
      <c r="O475" s="257" t="s">
        <v>18</v>
      </c>
      <c r="P475" s="257" t="s">
        <v>18</v>
      </c>
      <c r="Q475" s="257" t="s">
        <v>15</v>
      </c>
      <c r="R475" s="257" t="s">
        <v>15</v>
      </c>
      <c r="S475" s="257" t="s">
        <v>16</v>
      </c>
      <c r="T475" s="257" t="s">
        <v>330</v>
      </c>
      <c r="U475" s="257" t="s">
        <v>250</v>
      </c>
      <c r="V475" s="257" t="s">
        <v>283</v>
      </c>
      <c r="W475" s="258" t="s">
        <v>283</v>
      </c>
      <c r="X475" s="258" t="s">
        <v>283</v>
      </c>
      <c r="Y475" s="259" t="s">
        <v>283</v>
      </c>
    </row>
    <row r="476" spans="1:25">
      <c r="A476" s="253">
        <v>9</v>
      </c>
      <c r="B476" s="254" t="str">
        <f>VLOOKUP(Tabel10[[#This Row],[Code]],Ruimtegroepen[[Code]:[Ruimte omschrijving]],2,FALSE)</f>
        <v>Bibliotheek/OLC</v>
      </c>
      <c r="C476" s="255" t="s">
        <v>678</v>
      </c>
      <c r="D476" s="254" t="s">
        <v>12</v>
      </c>
      <c r="E476" s="255" t="s">
        <v>99</v>
      </c>
      <c r="F476" s="255" t="s">
        <v>680</v>
      </c>
      <c r="G476" s="260" t="s">
        <v>283</v>
      </c>
      <c r="H476" s="256" t="s">
        <v>18</v>
      </c>
      <c r="I476" s="256" t="s">
        <v>283</v>
      </c>
      <c r="J476" s="256" t="s">
        <v>283</v>
      </c>
      <c r="K476" s="256" t="s">
        <v>283</v>
      </c>
      <c r="L476" s="256" t="s">
        <v>283</v>
      </c>
      <c r="M476" s="256" t="s">
        <v>283</v>
      </c>
      <c r="N476" s="256" t="s">
        <v>283</v>
      </c>
      <c r="O476" s="257" t="s">
        <v>18</v>
      </c>
      <c r="P476" s="257" t="s">
        <v>18</v>
      </c>
      <c r="Q476" s="257" t="s">
        <v>15</v>
      </c>
      <c r="R476" s="257" t="s">
        <v>15</v>
      </c>
      <c r="S476" s="257" t="s">
        <v>16</v>
      </c>
      <c r="T476" s="257" t="s">
        <v>330</v>
      </c>
      <c r="U476" s="257" t="s">
        <v>250</v>
      </c>
      <c r="V476" s="257" t="s">
        <v>283</v>
      </c>
      <c r="W476" s="258" t="s">
        <v>283</v>
      </c>
      <c r="X476" s="258" t="s">
        <v>283</v>
      </c>
      <c r="Y476" s="259" t="s">
        <v>283</v>
      </c>
    </row>
    <row r="477" spans="1:25">
      <c r="A477" s="253">
        <v>9</v>
      </c>
      <c r="B477" s="254" t="str">
        <f>VLOOKUP(Tabel10[[#This Row],[Code]],Ruimtegroepen[[Code]:[Ruimte omschrijving]],2,FALSE)</f>
        <v>Bibliotheek/OLC</v>
      </c>
      <c r="C477" s="255" t="s">
        <v>678</v>
      </c>
      <c r="D477" s="254" t="s">
        <v>12</v>
      </c>
      <c r="E477" s="255" t="s">
        <v>1312</v>
      </c>
      <c r="F477" s="255" t="s">
        <v>1434</v>
      </c>
      <c r="G477" s="260" t="s">
        <v>283</v>
      </c>
      <c r="H477" s="256" t="s">
        <v>283</v>
      </c>
      <c r="I477" s="256" t="s">
        <v>17</v>
      </c>
      <c r="J477" s="256" t="s">
        <v>15</v>
      </c>
      <c r="K477" s="256" t="s">
        <v>284</v>
      </c>
      <c r="L477" s="256" t="s">
        <v>283</v>
      </c>
      <c r="M477" s="256" t="s">
        <v>283</v>
      </c>
      <c r="N477" s="256" t="s">
        <v>283</v>
      </c>
      <c r="O477" s="257" t="s">
        <v>18</v>
      </c>
      <c r="P477" s="257" t="s">
        <v>18</v>
      </c>
      <c r="Q477" s="257" t="s">
        <v>15</v>
      </c>
      <c r="R477" s="257" t="s">
        <v>15</v>
      </c>
      <c r="S477" s="257" t="s">
        <v>16</v>
      </c>
      <c r="T477" s="257" t="s">
        <v>330</v>
      </c>
      <c r="U477" s="257" t="s">
        <v>250</v>
      </c>
      <c r="V477" s="257" t="s">
        <v>283</v>
      </c>
      <c r="W477" s="258" t="s">
        <v>283</v>
      </c>
      <c r="X477" s="258" t="s">
        <v>283</v>
      </c>
      <c r="Y477" s="259" t="s">
        <v>283</v>
      </c>
    </row>
    <row r="478" spans="1:25">
      <c r="A478" s="253">
        <v>9</v>
      </c>
      <c r="B478" s="254" t="str">
        <f>VLOOKUP(Tabel10[[#This Row],[Code]],Ruimtegroepen[[Code]:[Ruimte omschrijving]],2,FALSE)</f>
        <v>Bibliotheek/OLC</v>
      </c>
      <c r="C478" s="255" t="s">
        <v>683</v>
      </c>
      <c r="D478" s="254" t="s">
        <v>14</v>
      </c>
      <c r="E478" s="255" t="s">
        <v>100</v>
      </c>
      <c r="F478" s="255" t="s">
        <v>684</v>
      </c>
      <c r="G478" s="260" t="s">
        <v>283</v>
      </c>
      <c r="H478" s="256" t="s">
        <v>283</v>
      </c>
      <c r="I478" s="256" t="s">
        <v>15</v>
      </c>
      <c r="J478" s="256" t="s">
        <v>15</v>
      </c>
      <c r="K478" s="256" t="s">
        <v>283</v>
      </c>
      <c r="L478" s="256" t="s">
        <v>283</v>
      </c>
      <c r="M478" s="256" t="s">
        <v>283</v>
      </c>
      <c r="N478" s="256" t="s">
        <v>283</v>
      </c>
      <c r="O478" s="257" t="s">
        <v>17</v>
      </c>
      <c r="P478" s="257" t="s">
        <v>17</v>
      </c>
      <c r="Q478" s="257" t="s">
        <v>15</v>
      </c>
      <c r="R478" s="257" t="s">
        <v>15</v>
      </c>
      <c r="S478" s="257" t="s">
        <v>16</v>
      </c>
      <c r="T478" s="257" t="s">
        <v>330</v>
      </c>
      <c r="U478" s="257" t="s">
        <v>250</v>
      </c>
      <c r="V478" s="257" t="s">
        <v>283</v>
      </c>
      <c r="W478" s="258" t="s">
        <v>283</v>
      </c>
      <c r="X478" s="258" t="s">
        <v>283</v>
      </c>
      <c r="Y478" s="259" t="s">
        <v>283</v>
      </c>
    </row>
    <row r="479" spans="1:25">
      <c r="A479" s="253">
        <v>9</v>
      </c>
      <c r="B479" s="254" t="str">
        <f>VLOOKUP(Tabel10[[#This Row],[Code]],Ruimtegroepen[[Code]:[Ruimte omschrijving]],2,FALSE)</f>
        <v>Bibliotheek/OLC</v>
      </c>
      <c r="C479" s="255" t="s">
        <v>683</v>
      </c>
      <c r="D479" s="254" t="s">
        <v>14</v>
      </c>
      <c r="E479" s="255" t="s">
        <v>99</v>
      </c>
      <c r="F479" s="255" t="s">
        <v>685</v>
      </c>
      <c r="G479" s="260" t="s">
        <v>283</v>
      </c>
      <c r="H479" s="256" t="s">
        <v>17</v>
      </c>
      <c r="I479" s="256" t="s">
        <v>283</v>
      </c>
      <c r="J479" s="256" t="s">
        <v>283</v>
      </c>
      <c r="K479" s="256" t="s">
        <v>283</v>
      </c>
      <c r="L479" s="256" t="s">
        <v>283</v>
      </c>
      <c r="M479" s="256" t="s">
        <v>283</v>
      </c>
      <c r="N479" s="256" t="s">
        <v>283</v>
      </c>
      <c r="O479" s="257" t="s">
        <v>17</v>
      </c>
      <c r="P479" s="257" t="s">
        <v>17</v>
      </c>
      <c r="Q479" s="257" t="s">
        <v>15</v>
      </c>
      <c r="R479" s="257" t="s">
        <v>15</v>
      </c>
      <c r="S479" s="257" t="s">
        <v>16</v>
      </c>
      <c r="T479" s="257" t="s">
        <v>330</v>
      </c>
      <c r="U479" s="257" t="s">
        <v>250</v>
      </c>
      <c r="V479" s="257" t="s">
        <v>283</v>
      </c>
      <c r="W479" s="258" t="s">
        <v>283</v>
      </c>
      <c r="X479" s="258" t="s">
        <v>283</v>
      </c>
      <c r="Y479" s="259" t="s">
        <v>283</v>
      </c>
    </row>
    <row r="480" spans="1:25">
      <c r="A480" s="253">
        <v>9</v>
      </c>
      <c r="B480" s="254" t="str">
        <f>VLOOKUP(Tabel10[[#This Row],[Code]],Ruimtegroepen[[Code]:[Ruimte omschrijving]],2,FALSE)</f>
        <v>Bibliotheek/OLC</v>
      </c>
      <c r="C480" s="255" t="s">
        <v>683</v>
      </c>
      <c r="D480" s="254" t="s">
        <v>14</v>
      </c>
      <c r="E480" s="255" t="s">
        <v>101</v>
      </c>
      <c r="F480" s="255" t="s">
        <v>686</v>
      </c>
      <c r="G480" s="260" t="s">
        <v>283</v>
      </c>
      <c r="H480" s="256" t="s">
        <v>283</v>
      </c>
      <c r="I480" s="256" t="s">
        <v>15</v>
      </c>
      <c r="J480" s="256" t="s">
        <v>15</v>
      </c>
      <c r="K480" s="256" t="s">
        <v>284</v>
      </c>
      <c r="L480" s="256" t="s">
        <v>283</v>
      </c>
      <c r="M480" s="256" t="s">
        <v>283</v>
      </c>
      <c r="N480" s="256" t="s">
        <v>283</v>
      </c>
      <c r="O480" s="257" t="s">
        <v>17</v>
      </c>
      <c r="P480" s="257" t="s">
        <v>17</v>
      </c>
      <c r="Q480" s="257" t="s">
        <v>15</v>
      </c>
      <c r="R480" s="257" t="s">
        <v>15</v>
      </c>
      <c r="S480" s="257" t="s">
        <v>16</v>
      </c>
      <c r="T480" s="257" t="s">
        <v>330</v>
      </c>
      <c r="U480" s="257" t="s">
        <v>250</v>
      </c>
      <c r="V480" s="257" t="s">
        <v>283</v>
      </c>
      <c r="W480" s="258" t="s">
        <v>283</v>
      </c>
      <c r="X480" s="258" t="s">
        <v>283</v>
      </c>
      <c r="Y480" s="259" t="s">
        <v>283</v>
      </c>
    </row>
    <row r="481" spans="1:25">
      <c r="A481" s="253">
        <v>9</v>
      </c>
      <c r="B481" s="254" t="str">
        <f>VLOOKUP(Tabel10[[#This Row],[Code]],Ruimtegroepen[[Code]:[Ruimte omschrijving]],2,FALSE)</f>
        <v>Bibliotheek/OLC</v>
      </c>
      <c r="C481" s="255" t="s">
        <v>683</v>
      </c>
      <c r="D481" s="254" t="s">
        <v>14</v>
      </c>
      <c r="E481" s="255" t="s">
        <v>102</v>
      </c>
      <c r="F481" s="255" t="s">
        <v>687</v>
      </c>
      <c r="G481" s="260" t="s">
        <v>283</v>
      </c>
      <c r="H481" s="256" t="s">
        <v>283</v>
      </c>
      <c r="I481" s="256" t="s">
        <v>15</v>
      </c>
      <c r="J481" s="256" t="s">
        <v>15</v>
      </c>
      <c r="K481" s="256" t="s">
        <v>284</v>
      </c>
      <c r="L481" s="256" t="s">
        <v>283</v>
      </c>
      <c r="M481" s="256" t="s">
        <v>283</v>
      </c>
      <c r="N481" s="256" t="s">
        <v>283</v>
      </c>
      <c r="O481" s="257" t="s">
        <v>17</v>
      </c>
      <c r="P481" s="257" t="s">
        <v>17</v>
      </c>
      <c r="Q481" s="257" t="s">
        <v>15</v>
      </c>
      <c r="R481" s="257" t="s">
        <v>15</v>
      </c>
      <c r="S481" s="257" t="s">
        <v>16</v>
      </c>
      <c r="T481" s="257" t="s">
        <v>330</v>
      </c>
      <c r="U481" s="257" t="s">
        <v>250</v>
      </c>
      <c r="V481" s="257" t="s">
        <v>283</v>
      </c>
      <c r="W481" s="258" t="s">
        <v>283</v>
      </c>
      <c r="X481" s="258" t="s">
        <v>283</v>
      </c>
      <c r="Y481" s="259" t="s">
        <v>283</v>
      </c>
    </row>
    <row r="482" spans="1:25">
      <c r="A482" s="253">
        <v>9</v>
      </c>
      <c r="B482" s="254" t="str">
        <f>VLOOKUP(Tabel10[[#This Row],[Code]],Ruimtegroepen[[Code]:[Ruimte omschrijving]],2,FALSE)</f>
        <v>Bibliotheek/OLC</v>
      </c>
      <c r="C482" s="255" t="s">
        <v>683</v>
      </c>
      <c r="D482" s="254" t="s">
        <v>14</v>
      </c>
      <c r="E482" s="255" t="s">
        <v>99</v>
      </c>
      <c r="F482" s="255" t="s">
        <v>685</v>
      </c>
      <c r="G482" s="260" t="s">
        <v>283</v>
      </c>
      <c r="H482" s="256" t="s">
        <v>17</v>
      </c>
      <c r="I482" s="256" t="s">
        <v>283</v>
      </c>
      <c r="J482" s="256" t="s">
        <v>283</v>
      </c>
      <c r="K482" s="256" t="s">
        <v>283</v>
      </c>
      <c r="L482" s="256" t="s">
        <v>283</v>
      </c>
      <c r="M482" s="256" t="s">
        <v>283</v>
      </c>
      <c r="N482" s="256" t="s">
        <v>283</v>
      </c>
      <c r="O482" s="257" t="s">
        <v>17</v>
      </c>
      <c r="P482" s="257" t="s">
        <v>17</v>
      </c>
      <c r="Q482" s="257" t="s">
        <v>15</v>
      </c>
      <c r="R482" s="257" t="s">
        <v>15</v>
      </c>
      <c r="S482" s="257" t="s">
        <v>16</v>
      </c>
      <c r="T482" s="257" t="s">
        <v>330</v>
      </c>
      <c r="U482" s="257" t="s">
        <v>250</v>
      </c>
      <c r="V482" s="257" t="s">
        <v>283</v>
      </c>
      <c r="W482" s="258" t="s">
        <v>283</v>
      </c>
      <c r="X482" s="258" t="s">
        <v>283</v>
      </c>
      <c r="Y482" s="259" t="s">
        <v>283</v>
      </c>
    </row>
    <row r="483" spans="1:25">
      <c r="A483" s="253">
        <v>9</v>
      </c>
      <c r="B483" s="254" t="str">
        <f>VLOOKUP(Tabel10[[#This Row],[Code]],Ruimtegroepen[[Code]:[Ruimte omschrijving]],2,FALSE)</f>
        <v>Bibliotheek/OLC</v>
      </c>
      <c r="C483" s="255" t="s">
        <v>683</v>
      </c>
      <c r="D483" s="254" t="s">
        <v>14</v>
      </c>
      <c r="E483" s="255" t="s">
        <v>1312</v>
      </c>
      <c r="F483" s="255" t="s">
        <v>1401</v>
      </c>
      <c r="G483" s="260" t="s">
        <v>283</v>
      </c>
      <c r="H483" s="256" t="s">
        <v>283</v>
      </c>
      <c r="I483" s="256" t="s">
        <v>15</v>
      </c>
      <c r="J483" s="256" t="s">
        <v>15</v>
      </c>
      <c r="K483" s="256" t="s">
        <v>284</v>
      </c>
      <c r="L483" s="256" t="s">
        <v>283</v>
      </c>
      <c r="M483" s="256" t="s">
        <v>283</v>
      </c>
      <c r="N483" s="256" t="s">
        <v>283</v>
      </c>
      <c r="O483" s="257" t="s">
        <v>17</v>
      </c>
      <c r="P483" s="257" t="s">
        <v>17</v>
      </c>
      <c r="Q483" s="257" t="s">
        <v>15</v>
      </c>
      <c r="R483" s="257" t="s">
        <v>15</v>
      </c>
      <c r="S483" s="257" t="s">
        <v>16</v>
      </c>
      <c r="T483" s="257" t="s">
        <v>330</v>
      </c>
      <c r="U483" s="257" t="s">
        <v>250</v>
      </c>
      <c r="V483" s="257" t="s">
        <v>283</v>
      </c>
      <c r="W483" s="258" t="s">
        <v>283</v>
      </c>
      <c r="X483" s="258" t="s">
        <v>283</v>
      </c>
      <c r="Y483" s="259" t="s">
        <v>283</v>
      </c>
    </row>
    <row r="484" spans="1:25">
      <c r="A484" s="253">
        <v>9</v>
      </c>
      <c r="B484" s="254" t="str">
        <f>VLOOKUP(Tabel10[[#This Row],[Code]],Ruimtegroepen[[Code]:[Ruimte omschrijving]],2,FALSE)</f>
        <v>Bibliotheek/OLC</v>
      </c>
      <c r="C484" s="255" t="s">
        <v>688</v>
      </c>
      <c r="D484" s="254" t="s">
        <v>13</v>
      </c>
      <c r="E484" s="255" t="s">
        <v>100</v>
      </c>
      <c r="F484" s="255" t="s">
        <v>689</v>
      </c>
      <c r="G484" s="260" t="s">
        <v>283</v>
      </c>
      <c r="H484" s="256" t="s">
        <v>283</v>
      </c>
      <c r="I484" s="256" t="s">
        <v>283</v>
      </c>
      <c r="J484" s="256" t="s">
        <v>15</v>
      </c>
      <c r="K484" s="256" t="s">
        <v>283</v>
      </c>
      <c r="L484" s="256" t="s">
        <v>283</v>
      </c>
      <c r="M484" s="256" t="s">
        <v>283</v>
      </c>
      <c r="N484" s="256" t="s">
        <v>283</v>
      </c>
      <c r="O484" s="257" t="s">
        <v>15</v>
      </c>
      <c r="P484" s="257" t="s">
        <v>15</v>
      </c>
      <c r="Q484" s="257" t="s">
        <v>15</v>
      </c>
      <c r="R484" s="257" t="s">
        <v>15</v>
      </c>
      <c r="S484" s="257" t="s">
        <v>16</v>
      </c>
      <c r="T484" s="257" t="s">
        <v>330</v>
      </c>
      <c r="U484" s="257" t="s">
        <v>250</v>
      </c>
      <c r="V484" s="257" t="s">
        <v>283</v>
      </c>
      <c r="W484" s="258" t="s">
        <v>283</v>
      </c>
      <c r="X484" s="258" t="s">
        <v>283</v>
      </c>
      <c r="Y484" s="259" t="s">
        <v>283</v>
      </c>
    </row>
    <row r="485" spans="1:25">
      <c r="A485" s="253">
        <v>9</v>
      </c>
      <c r="B485" s="254" t="str">
        <f>VLOOKUP(Tabel10[[#This Row],[Code]],Ruimtegroepen[[Code]:[Ruimte omschrijving]],2,FALSE)</f>
        <v>Bibliotheek/OLC</v>
      </c>
      <c r="C485" s="255" t="s">
        <v>688</v>
      </c>
      <c r="D485" s="254" t="s">
        <v>13</v>
      </c>
      <c r="E485" s="255" t="s">
        <v>99</v>
      </c>
      <c r="F485" s="255" t="s">
        <v>690</v>
      </c>
      <c r="G485" s="260" t="s">
        <v>283</v>
      </c>
      <c r="H485" s="256" t="s">
        <v>15</v>
      </c>
      <c r="I485" s="256" t="s">
        <v>283</v>
      </c>
      <c r="J485" s="256" t="s">
        <v>283</v>
      </c>
      <c r="K485" s="256" t="s">
        <v>283</v>
      </c>
      <c r="L485" s="256" t="s">
        <v>283</v>
      </c>
      <c r="M485" s="256" t="s">
        <v>283</v>
      </c>
      <c r="N485" s="256" t="s">
        <v>283</v>
      </c>
      <c r="O485" s="257" t="s">
        <v>15</v>
      </c>
      <c r="P485" s="257" t="s">
        <v>15</v>
      </c>
      <c r="Q485" s="257" t="s">
        <v>15</v>
      </c>
      <c r="R485" s="257" t="s">
        <v>15</v>
      </c>
      <c r="S485" s="257" t="s">
        <v>16</v>
      </c>
      <c r="T485" s="257" t="s">
        <v>330</v>
      </c>
      <c r="U485" s="257" t="s">
        <v>250</v>
      </c>
      <c r="V485" s="257" t="s">
        <v>283</v>
      </c>
      <c r="W485" s="258" t="s">
        <v>283</v>
      </c>
      <c r="X485" s="258" t="s">
        <v>283</v>
      </c>
      <c r="Y485" s="259" t="s">
        <v>283</v>
      </c>
    </row>
    <row r="486" spans="1:25">
      <c r="A486" s="253">
        <v>9</v>
      </c>
      <c r="B486" s="254" t="str">
        <f>VLOOKUP(Tabel10[[#This Row],[Code]],Ruimtegroepen[[Code]:[Ruimte omschrijving]],2,FALSE)</f>
        <v>Bibliotheek/OLC</v>
      </c>
      <c r="C486" s="255" t="s">
        <v>688</v>
      </c>
      <c r="D486" s="254" t="s">
        <v>13</v>
      </c>
      <c r="E486" s="255" t="s">
        <v>101</v>
      </c>
      <c r="F486" s="255" t="s">
        <v>691</v>
      </c>
      <c r="G486" s="260" t="s">
        <v>283</v>
      </c>
      <c r="H486" s="256" t="s">
        <v>283</v>
      </c>
      <c r="I486" s="256" t="s">
        <v>283</v>
      </c>
      <c r="J486" s="256" t="s">
        <v>15</v>
      </c>
      <c r="K486" s="256" t="s">
        <v>284</v>
      </c>
      <c r="L486" s="256" t="s">
        <v>283</v>
      </c>
      <c r="M486" s="256" t="s">
        <v>283</v>
      </c>
      <c r="N486" s="256" t="s">
        <v>283</v>
      </c>
      <c r="O486" s="257" t="s">
        <v>15</v>
      </c>
      <c r="P486" s="257" t="s">
        <v>15</v>
      </c>
      <c r="Q486" s="257" t="s">
        <v>15</v>
      </c>
      <c r="R486" s="257" t="s">
        <v>15</v>
      </c>
      <c r="S486" s="257" t="s">
        <v>16</v>
      </c>
      <c r="T486" s="257" t="s">
        <v>330</v>
      </c>
      <c r="U486" s="257" t="s">
        <v>250</v>
      </c>
      <c r="V486" s="257" t="s">
        <v>283</v>
      </c>
      <c r="W486" s="258" t="s">
        <v>283</v>
      </c>
      <c r="X486" s="258" t="s">
        <v>283</v>
      </c>
      <c r="Y486" s="259" t="s">
        <v>283</v>
      </c>
    </row>
    <row r="487" spans="1:25">
      <c r="A487" s="253">
        <v>9</v>
      </c>
      <c r="B487" s="254" t="str">
        <f>VLOOKUP(Tabel10[[#This Row],[Code]],Ruimtegroepen[[Code]:[Ruimte omschrijving]],2,FALSE)</f>
        <v>Bibliotheek/OLC</v>
      </c>
      <c r="C487" s="255" t="s">
        <v>688</v>
      </c>
      <c r="D487" s="254" t="s">
        <v>13</v>
      </c>
      <c r="E487" s="255" t="s">
        <v>102</v>
      </c>
      <c r="F487" s="255" t="s">
        <v>692</v>
      </c>
      <c r="G487" s="260" t="s">
        <v>283</v>
      </c>
      <c r="H487" s="256" t="s">
        <v>283</v>
      </c>
      <c r="I487" s="256" t="s">
        <v>283</v>
      </c>
      <c r="J487" s="256" t="s">
        <v>15</v>
      </c>
      <c r="K487" s="256" t="s">
        <v>284</v>
      </c>
      <c r="L487" s="256" t="s">
        <v>283</v>
      </c>
      <c r="M487" s="256" t="s">
        <v>283</v>
      </c>
      <c r="N487" s="256" t="s">
        <v>283</v>
      </c>
      <c r="O487" s="257" t="s">
        <v>15</v>
      </c>
      <c r="P487" s="257" t="s">
        <v>15</v>
      </c>
      <c r="Q487" s="257" t="s">
        <v>15</v>
      </c>
      <c r="R487" s="257" t="s">
        <v>15</v>
      </c>
      <c r="S487" s="257" t="s">
        <v>16</v>
      </c>
      <c r="T487" s="257" t="s">
        <v>330</v>
      </c>
      <c r="U487" s="257" t="s">
        <v>250</v>
      </c>
      <c r="V487" s="257" t="s">
        <v>283</v>
      </c>
      <c r="W487" s="258" t="s">
        <v>283</v>
      </c>
      <c r="X487" s="258" t="s">
        <v>283</v>
      </c>
      <c r="Y487" s="259" t="s">
        <v>283</v>
      </c>
    </row>
    <row r="488" spans="1:25">
      <c r="A488" s="253">
        <v>9</v>
      </c>
      <c r="B488" s="254" t="str">
        <f>VLOOKUP(Tabel10[[#This Row],[Code]],Ruimtegroepen[[Code]:[Ruimte omschrijving]],2,FALSE)</f>
        <v>Bibliotheek/OLC</v>
      </c>
      <c r="C488" s="255" t="s">
        <v>688</v>
      </c>
      <c r="D488" s="254" t="s">
        <v>13</v>
      </c>
      <c r="E488" s="255" t="s">
        <v>99</v>
      </c>
      <c r="F488" s="255" t="s">
        <v>690</v>
      </c>
      <c r="G488" s="260" t="s">
        <v>283</v>
      </c>
      <c r="H488" s="256" t="s">
        <v>15</v>
      </c>
      <c r="I488" s="256" t="s">
        <v>283</v>
      </c>
      <c r="J488" s="256" t="s">
        <v>283</v>
      </c>
      <c r="K488" s="256" t="s">
        <v>283</v>
      </c>
      <c r="L488" s="256" t="s">
        <v>283</v>
      </c>
      <c r="M488" s="256" t="s">
        <v>283</v>
      </c>
      <c r="N488" s="256" t="s">
        <v>283</v>
      </c>
      <c r="O488" s="257" t="s">
        <v>15</v>
      </c>
      <c r="P488" s="257" t="s">
        <v>15</v>
      </c>
      <c r="Q488" s="257" t="s">
        <v>15</v>
      </c>
      <c r="R488" s="257" t="s">
        <v>15</v>
      </c>
      <c r="S488" s="257" t="s">
        <v>16</v>
      </c>
      <c r="T488" s="257" t="s">
        <v>330</v>
      </c>
      <c r="U488" s="257" t="s">
        <v>250</v>
      </c>
      <c r="V488" s="257" t="s">
        <v>283</v>
      </c>
      <c r="W488" s="258" t="s">
        <v>283</v>
      </c>
      <c r="X488" s="258" t="s">
        <v>283</v>
      </c>
      <c r="Y488" s="259" t="s">
        <v>283</v>
      </c>
    </row>
    <row r="489" spans="1:25">
      <c r="A489" s="253">
        <v>9</v>
      </c>
      <c r="B489" s="254" t="str">
        <f>VLOOKUP(Tabel10[[#This Row],[Code]],Ruimtegroepen[[Code]:[Ruimte omschrijving]],2,FALSE)</f>
        <v>Bibliotheek/OLC</v>
      </c>
      <c r="C489" s="255" t="s">
        <v>688</v>
      </c>
      <c r="D489" s="254" t="s">
        <v>13</v>
      </c>
      <c r="E489" s="255" t="s">
        <v>1312</v>
      </c>
      <c r="F489" s="255" t="s">
        <v>1368</v>
      </c>
      <c r="G489" s="260" t="s">
        <v>283</v>
      </c>
      <c r="H489" s="256" t="s">
        <v>283</v>
      </c>
      <c r="I489" s="256" t="s">
        <v>283</v>
      </c>
      <c r="J489" s="256" t="s">
        <v>15</v>
      </c>
      <c r="K489" s="256" t="s">
        <v>284</v>
      </c>
      <c r="L489" s="256" t="s">
        <v>283</v>
      </c>
      <c r="M489" s="256" t="s">
        <v>283</v>
      </c>
      <c r="N489" s="256" t="s">
        <v>283</v>
      </c>
      <c r="O489" s="257" t="s">
        <v>15</v>
      </c>
      <c r="P489" s="257" t="s">
        <v>15</v>
      </c>
      <c r="Q489" s="257" t="s">
        <v>15</v>
      </c>
      <c r="R489" s="257" t="s">
        <v>15</v>
      </c>
      <c r="S489" s="257" t="s">
        <v>16</v>
      </c>
      <c r="T489" s="257" t="s">
        <v>330</v>
      </c>
      <c r="U489" s="257" t="s">
        <v>250</v>
      </c>
      <c r="V489" s="257" t="s">
        <v>283</v>
      </c>
      <c r="W489" s="258" t="s">
        <v>283</v>
      </c>
      <c r="X489" s="258" t="s">
        <v>283</v>
      </c>
      <c r="Y489" s="259" t="s">
        <v>283</v>
      </c>
    </row>
    <row r="490" spans="1:25">
      <c r="A490" s="253">
        <v>9</v>
      </c>
      <c r="B490" s="254" t="str">
        <f>VLOOKUP(Tabel10[[#This Row],[Code]],Ruimtegroepen[[Code]:[Ruimte omschrijving]],2,FALSE)</f>
        <v>Bibliotheek/OLC</v>
      </c>
      <c r="C490" s="255" t="s">
        <v>693</v>
      </c>
      <c r="D490" s="254" t="s">
        <v>0</v>
      </c>
      <c r="E490" s="255" t="s">
        <v>100</v>
      </c>
      <c r="F490" s="255" t="s">
        <v>694</v>
      </c>
      <c r="G490" s="260" t="s">
        <v>283</v>
      </c>
      <c r="H490" s="256" t="s">
        <v>283</v>
      </c>
      <c r="I490" s="256" t="s">
        <v>283</v>
      </c>
      <c r="J490" s="256" t="s">
        <v>16</v>
      </c>
      <c r="K490" s="256" t="s">
        <v>283</v>
      </c>
      <c r="L490" s="256" t="s">
        <v>283</v>
      </c>
      <c r="M490" s="256" t="s">
        <v>283</v>
      </c>
      <c r="N490" s="256" t="s">
        <v>283</v>
      </c>
      <c r="O490" s="257" t="s">
        <v>16</v>
      </c>
      <c r="P490" s="257" t="s">
        <v>16</v>
      </c>
      <c r="Q490" s="257" t="s">
        <v>16</v>
      </c>
      <c r="R490" s="257" t="s">
        <v>16</v>
      </c>
      <c r="S490" s="257" t="s">
        <v>16</v>
      </c>
      <c r="T490" s="257" t="s">
        <v>330</v>
      </c>
      <c r="U490" s="257" t="s">
        <v>250</v>
      </c>
      <c r="V490" s="257" t="s">
        <v>283</v>
      </c>
      <c r="W490" s="258" t="s">
        <v>283</v>
      </c>
      <c r="X490" s="258" t="s">
        <v>283</v>
      </c>
      <c r="Y490" s="259" t="s">
        <v>283</v>
      </c>
    </row>
    <row r="491" spans="1:25">
      <c r="A491" s="253">
        <v>9</v>
      </c>
      <c r="B491" s="254" t="str">
        <f>VLOOKUP(Tabel10[[#This Row],[Code]],Ruimtegroepen[[Code]:[Ruimte omschrijving]],2,FALSE)</f>
        <v>Bibliotheek/OLC</v>
      </c>
      <c r="C491" s="255" t="s">
        <v>693</v>
      </c>
      <c r="D491" s="254" t="s">
        <v>0</v>
      </c>
      <c r="E491" s="255" t="s">
        <v>99</v>
      </c>
      <c r="F491" s="255" t="s">
        <v>695</v>
      </c>
      <c r="G491" s="260" t="s">
        <v>283</v>
      </c>
      <c r="H491" s="256" t="s">
        <v>16</v>
      </c>
      <c r="I491" s="256" t="s">
        <v>283</v>
      </c>
      <c r="J491" s="256" t="s">
        <v>283</v>
      </c>
      <c r="K491" s="256" t="s">
        <v>283</v>
      </c>
      <c r="L491" s="256" t="s">
        <v>283</v>
      </c>
      <c r="M491" s="256" t="s">
        <v>283</v>
      </c>
      <c r="N491" s="256" t="s">
        <v>283</v>
      </c>
      <c r="O491" s="257" t="s">
        <v>16</v>
      </c>
      <c r="P491" s="257" t="s">
        <v>16</v>
      </c>
      <c r="Q491" s="257" t="s">
        <v>16</v>
      </c>
      <c r="R491" s="257" t="s">
        <v>16</v>
      </c>
      <c r="S491" s="257" t="s">
        <v>16</v>
      </c>
      <c r="T491" s="257" t="s">
        <v>330</v>
      </c>
      <c r="U491" s="257" t="s">
        <v>250</v>
      </c>
      <c r="V491" s="257" t="s">
        <v>283</v>
      </c>
      <c r="W491" s="258" t="s">
        <v>283</v>
      </c>
      <c r="X491" s="258" t="s">
        <v>283</v>
      </c>
      <c r="Y491" s="259" t="s">
        <v>283</v>
      </c>
    </row>
    <row r="492" spans="1:25">
      <c r="A492" s="253">
        <v>9</v>
      </c>
      <c r="B492" s="254" t="str">
        <f>VLOOKUP(Tabel10[[#This Row],[Code]],Ruimtegroepen[[Code]:[Ruimte omschrijving]],2,FALSE)</f>
        <v>Bibliotheek/OLC</v>
      </c>
      <c r="C492" s="255" t="s">
        <v>693</v>
      </c>
      <c r="D492" s="254" t="s">
        <v>0</v>
      </c>
      <c r="E492" s="255" t="s">
        <v>101</v>
      </c>
      <c r="F492" s="255" t="s">
        <v>696</v>
      </c>
      <c r="G492" s="260" t="s">
        <v>283</v>
      </c>
      <c r="H492" s="256" t="s">
        <v>283</v>
      </c>
      <c r="I492" s="256" t="s">
        <v>283</v>
      </c>
      <c r="J492" s="256" t="s">
        <v>16</v>
      </c>
      <c r="K492" s="256" t="s">
        <v>284</v>
      </c>
      <c r="L492" s="256" t="s">
        <v>283</v>
      </c>
      <c r="M492" s="256" t="s">
        <v>283</v>
      </c>
      <c r="N492" s="256" t="s">
        <v>283</v>
      </c>
      <c r="O492" s="257" t="s">
        <v>16</v>
      </c>
      <c r="P492" s="257" t="s">
        <v>16</v>
      </c>
      <c r="Q492" s="257" t="s">
        <v>16</v>
      </c>
      <c r="R492" s="257" t="s">
        <v>16</v>
      </c>
      <c r="S492" s="257" t="s">
        <v>16</v>
      </c>
      <c r="T492" s="257" t="s">
        <v>330</v>
      </c>
      <c r="U492" s="257" t="s">
        <v>250</v>
      </c>
      <c r="V492" s="257" t="s">
        <v>283</v>
      </c>
      <c r="W492" s="258" t="s">
        <v>283</v>
      </c>
      <c r="X492" s="258" t="s">
        <v>283</v>
      </c>
      <c r="Y492" s="259" t="s">
        <v>283</v>
      </c>
    </row>
    <row r="493" spans="1:25">
      <c r="A493" s="253">
        <v>9</v>
      </c>
      <c r="B493" s="254" t="str">
        <f>VLOOKUP(Tabel10[[#This Row],[Code]],Ruimtegroepen[[Code]:[Ruimte omschrijving]],2,FALSE)</f>
        <v>Bibliotheek/OLC</v>
      </c>
      <c r="C493" s="255" t="s">
        <v>693</v>
      </c>
      <c r="D493" s="254" t="s">
        <v>0</v>
      </c>
      <c r="E493" s="255" t="s">
        <v>102</v>
      </c>
      <c r="F493" s="255" t="s">
        <v>697</v>
      </c>
      <c r="G493" s="260" t="s">
        <v>283</v>
      </c>
      <c r="H493" s="256" t="s">
        <v>283</v>
      </c>
      <c r="I493" s="256" t="s">
        <v>283</v>
      </c>
      <c r="J493" s="256" t="s">
        <v>16</v>
      </c>
      <c r="K493" s="256" t="s">
        <v>284</v>
      </c>
      <c r="L493" s="256" t="s">
        <v>283</v>
      </c>
      <c r="M493" s="256" t="s">
        <v>283</v>
      </c>
      <c r="N493" s="256" t="s">
        <v>283</v>
      </c>
      <c r="O493" s="257" t="s">
        <v>16</v>
      </c>
      <c r="P493" s="257" t="s">
        <v>16</v>
      </c>
      <c r="Q493" s="257" t="s">
        <v>16</v>
      </c>
      <c r="R493" s="257" t="s">
        <v>16</v>
      </c>
      <c r="S493" s="257" t="s">
        <v>16</v>
      </c>
      <c r="T493" s="257" t="s">
        <v>330</v>
      </c>
      <c r="U493" s="257" t="s">
        <v>250</v>
      </c>
      <c r="V493" s="257" t="s">
        <v>283</v>
      </c>
      <c r="W493" s="258" t="s">
        <v>283</v>
      </c>
      <c r="X493" s="258" t="s">
        <v>283</v>
      </c>
      <c r="Y493" s="259" t="s">
        <v>283</v>
      </c>
    </row>
    <row r="494" spans="1:25">
      <c r="A494" s="253">
        <v>9</v>
      </c>
      <c r="B494" s="254" t="str">
        <f>VLOOKUP(Tabel10[[#This Row],[Code]],Ruimtegroepen[[Code]:[Ruimte omschrijving]],2,FALSE)</f>
        <v>Bibliotheek/OLC</v>
      </c>
      <c r="C494" s="255" t="s">
        <v>693</v>
      </c>
      <c r="D494" s="254" t="s">
        <v>0</v>
      </c>
      <c r="E494" s="255" t="s">
        <v>99</v>
      </c>
      <c r="F494" s="255" t="s">
        <v>695</v>
      </c>
      <c r="G494" s="260" t="s">
        <v>283</v>
      </c>
      <c r="H494" s="256" t="s">
        <v>16</v>
      </c>
      <c r="I494" s="256" t="s">
        <v>283</v>
      </c>
      <c r="J494" s="256" t="s">
        <v>283</v>
      </c>
      <c r="K494" s="256" t="s">
        <v>283</v>
      </c>
      <c r="L494" s="256" t="s">
        <v>283</v>
      </c>
      <c r="M494" s="256" t="s">
        <v>283</v>
      </c>
      <c r="N494" s="256" t="s">
        <v>283</v>
      </c>
      <c r="O494" s="257" t="s">
        <v>16</v>
      </c>
      <c r="P494" s="257" t="s">
        <v>16</v>
      </c>
      <c r="Q494" s="257" t="s">
        <v>16</v>
      </c>
      <c r="R494" s="257" t="s">
        <v>16</v>
      </c>
      <c r="S494" s="257" t="s">
        <v>16</v>
      </c>
      <c r="T494" s="257" t="s">
        <v>330</v>
      </c>
      <c r="U494" s="257" t="s">
        <v>250</v>
      </c>
      <c r="V494" s="257" t="s">
        <v>283</v>
      </c>
      <c r="W494" s="258" t="s">
        <v>283</v>
      </c>
      <c r="X494" s="258" t="s">
        <v>283</v>
      </c>
      <c r="Y494" s="259" t="s">
        <v>283</v>
      </c>
    </row>
    <row r="495" spans="1:25">
      <c r="A495" s="253">
        <v>9</v>
      </c>
      <c r="B495" s="254" t="str">
        <f>VLOOKUP(Tabel10[[#This Row],[Code]],Ruimtegroepen[[Code]:[Ruimte omschrijving]],2,FALSE)</f>
        <v>Bibliotheek/OLC</v>
      </c>
      <c r="C495" s="255" t="s">
        <v>693</v>
      </c>
      <c r="D495" s="254" t="s">
        <v>0</v>
      </c>
      <c r="E495" s="255" t="s">
        <v>1312</v>
      </c>
      <c r="F495" s="255" t="s">
        <v>1352</v>
      </c>
      <c r="G495" s="260" t="s">
        <v>283</v>
      </c>
      <c r="H495" s="256" t="s">
        <v>283</v>
      </c>
      <c r="I495" s="256" t="s">
        <v>283</v>
      </c>
      <c r="J495" s="256" t="s">
        <v>16</v>
      </c>
      <c r="K495" s="256" t="s">
        <v>284</v>
      </c>
      <c r="L495" s="256" t="s">
        <v>283</v>
      </c>
      <c r="M495" s="256" t="s">
        <v>283</v>
      </c>
      <c r="N495" s="256" t="s">
        <v>283</v>
      </c>
      <c r="O495" s="257" t="s">
        <v>16</v>
      </c>
      <c r="P495" s="257" t="s">
        <v>16</v>
      </c>
      <c r="Q495" s="257" t="s">
        <v>16</v>
      </c>
      <c r="R495" s="257" t="s">
        <v>16</v>
      </c>
      <c r="S495" s="257" t="s">
        <v>16</v>
      </c>
      <c r="T495" s="257" t="s">
        <v>330</v>
      </c>
      <c r="U495" s="257" t="s">
        <v>250</v>
      </c>
      <c r="V495" s="257" t="s">
        <v>283</v>
      </c>
      <c r="W495" s="258" t="s">
        <v>283</v>
      </c>
      <c r="X495" s="258" t="s">
        <v>283</v>
      </c>
      <c r="Y495" s="259" t="s">
        <v>283</v>
      </c>
    </row>
    <row r="496" spans="1:25">
      <c r="A496" s="253">
        <v>9</v>
      </c>
      <c r="B496" s="254" t="str">
        <f>VLOOKUP(Tabel10[[#This Row],[Code]],Ruimtegroepen[[Code]:[Ruimte omschrijving]],2,FALSE)</f>
        <v>Bibliotheek/OLC</v>
      </c>
      <c r="C496" s="255" t="s">
        <v>698</v>
      </c>
      <c r="D496" s="254" t="s">
        <v>27</v>
      </c>
      <c r="E496" s="255" t="s">
        <v>100</v>
      </c>
      <c r="F496" s="255" t="s">
        <v>699</v>
      </c>
      <c r="G496" s="260" t="s">
        <v>283</v>
      </c>
      <c r="H496" s="256" t="s">
        <v>283</v>
      </c>
      <c r="I496" s="256" t="s">
        <v>15</v>
      </c>
      <c r="J496" s="256" t="s">
        <v>283</v>
      </c>
      <c r="K496" s="256" t="s">
        <v>283</v>
      </c>
      <c r="L496" s="256" t="s">
        <v>283</v>
      </c>
      <c r="M496" s="256" t="s">
        <v>283</v>
      </c>
      <c r="N496" s="256" t="s">
        <v>283</v>
      </c>
      <c r="O496" s="257" t="s">
        <v>15</v>
      </c>
      <c r="P496" s="257" t="s">
        <v>15</v>
      </c>
      <c r="Q496" s="257" t="s">
        <v>15</v>
      </c>
      <c r="R496" s="257" t="s">
        <v>283</v>
      </c>
      <c r="S496" s="257" t="s">
        <v>283</v>
      </c>
      <c r="T496" s="257" t="s">
        <v>283</v>
      </c>
      <c r="U496" s="257" t="s">
        <v>283</v>
      </c>
      <c r="V496" s="257" t="s">
        <v>283</v>
      </c>
      <c r="W496" s="258" t="s">
        <v>283</v>
      </c>
      <c r="X496" s="258" t="s">
        <v>283</v>
      </c>
      <c r="Y496" s="259" t="s">
        <v>283</v>
      </c>
    </row>
    <row r="497" spans="1:25">
      <c r="A497" s="253">
        <v>9</v>
      </c>
      <c r="B497" s="254" t="str">
        <f>VLOOKUP(Tabel10[[#This Row],[Code]],Ruimtegroepen[[Code]:[Ruimte omschrijving]],2,FALSE)</f>
        <v>Bibliotheek/OLC</v>
      </c>
      <c r="C497" s="255" t="s">
        <v>698</v>
      </c>
      <c r="D497" s="254" t="s">
        <v>27</v>
      </c>
      <c r="E497" s="255" t="s">
        <v>99</v>
      </c>
      <c r="F497" s="255" t="s">
        <v>700</v>
      </c>
      <c r="G497" s="260" t="s">
        <v>283</v>
      </c>
      <c r="H497" s="256" t="s">
        <v>15</v>
      </c>
      <c r="I497" s="256" t="s">
        <v>283</v>
      </c>
      <c r="J497" s="256" t="s">
        <v>283</v>
      </c>
      <c r="K497" s="256" t="s">
        <v>283</v>
      </c>
      <c r="L497" s="256" t="s">
        <v>283</v>
      </c>
      <c r="M497" s="256" t="s">
        <v>283</v>
      </c>
      <c r="N497" s="256" t="s">
        <v>283</v>
      </c>
      <c r="O497" s="257" t="s">
        <v>15</v>
      </c>
      <c r="P497" s="257" t="s">
        <v>15</v>
      </c>
      <c r="Q497" s="257" t="s">
        <v>15</v>
      </c>
      <c r="R497" s="257" t="s">
        <v>283</v>
      </c>
      <c r="S497" s="257" t="s">
        <v>283</v>
      </c>
      <c r="T497" s="257" t="s">
        <v>283</v>
      </c>
      <c r="U497" s="257" t="s">
        <v>283</v>
      </c>
      <c r="V497" s="257" t="s">
        <v>283</v>
      </c>
      <c r="W497" s="258" t="s">
        <v>283</v>
      </c>
      <c r="X497" s="258" t="s">
        <v>283</v>
      </c>
      <c r="Y497" s="259" t="s">
        <v>283</v>
      </c>
    </row>
    <row r="498" spans="1:25">
      <c r="A498" s="253">
        <v>9</v>
      </c>
      <c r="B498" s="254" t="str">
        <f>VLOOKUP(Tabel10[[#This Row],[Code]],Ruimtegroepen[[Code]:[Ruimte omschrijving]],2,FALSE)</f>
        <v>Bibliotheek/OLC</v>
      </c>
      <c r="C498" s="255" t="s">
        <v>698</v>
      </c>
      <c r="D498" s="254" t="s">
        <v>27</v>
      </c>
      <c r="E498" s="255" t="s">
        <v>101</v>
      </c>
      <c r="F498" s="255" t="s">
        <v>701</v>
      </c>
      <c r="G498" s="260" t="s">
        <v>283</v>
      </c>
      <c r="H498" s="256" t="s">
        <v>283</v>
      </c>
      <c r="I498" s="256" t="s">
        <v>15</v>
      </c>
      <c r="J498" s="256" t="s">
        <v>283</v>
      </c>
      <c r="K498" s="256" t="s">
        <v>283</v>
      </c>
      <c r="L498" s="256" t="s">
        <v>283</v>
      </c>
      <c r="M498" s="256" t="s">
        <v>283</v>
      </c>
      <c r="N498" s="256" t="s">
        <v>283</v>
      </c>
      <c r="O498" s="257" t="s">
        <v>15</v>
      </c>
      <c r="P498" s="257" t="s">
        <v>15</v>
      </c>
      <c r="Q498" s="257" t="s">
        <v>15</v>
      </c>
      <c r="R498" s="257" t="s">
        <v>283</v>
      </c>
      <c r="S498" s="257" t="s">
        <v>283</v>
      </c>
      <c r="T498" s="257" t="s">
        <v>283</v>
      </c>
      <c r="U498" s="257" t="s">
        <v>283</v>
      </c>
      <c r="V498" s="257" t="s">
        <v>283</v>
      </c>
      <c r="W498" s="258" t="s">
        <v>283</v>
      </c>
      <c r="X498" s="258" t="s">
        <v>283</v>
      </c>
      <c r="Y498" s="259" t="s">
        <v>283</v>
      </c>
    </row>
    <row r="499" spans="1:25">
      <c r="A499" s="253">
        <v>9</v>
      </c>
      <c r="B499" s="254" t="str">
        <f>VLOOKUP(Tabel10[[#This Row],[Code]],Ruimtegroepen[[Code]:[Ruimte omschrijving]],2,FALSE)</f>
        <v>Bibliotheek/OLC</v>
      </c>
      <c r="C499" s="255" t="s">
        <v>698</v>
      </c>
      <c r="D499" s="254" t="s">
        <v>27</v>
      </c>
      <c r="E499" s="255" t="s">
        <v>102</v>
      </c>
      <c r="F499" s="255" t="s">
        <v>702</v>
      </c>
      <c r="G499" s="260" t="s">
        <v>283</v>
      </c>
      <c r="H499" s="256" t="s">
        <v>283</v>
      </c>
      <c r="I499" s="256" t="s">
        <v>15</v>
      </c>
      <c r="J499" s="256" t="s">
        <v>283</v>
      </c>
      <c r="K499" s="256" t="s">
        <v>283</v>
      </c>
      <c r="L499" s="256" t="s">
        <v>283</v>
      </c>
      <c r="M499" s="256" t="s">
        <v>283</v>
      </c>
      <c r="N499" s="256" t="s">
        <v>283</v>
      </c>
      <c r="O499" s="257" t="s">
        <v>15</v>
      </c>
      <c r="P499" s="257" t="s">
        <v>15</v>
      </c>
      <c r="Q499" s="257" t="s">
        <v>15</v>
      </c>
      <c r="R499" s="257" t="s">
        <v>283</v>
      </c>
      <c r="S499" s="257" t="s">
        <v>283</v>
      </c>
      <c r="T499" s="257" t="s">
        <v>283</v>
      </c>
      <c r="U499" s="257" t="s">
        <v>283</v>
      </c>
      <c r="V499" s="257" t="s">
        <v>283</v>
      </c>
      <c r="W499" s="258" t="s">
        <v>283</v>
      </c>
      <c r="X499" s="258" t="s">
        <v>283</v>
      </c>
      <c r="Y499" s="259" t="s">
        <v>283</v>
      </c>
    </row>
    <row r="500" spans="1:25">
      <c r="A500" s="253">
        <v>9</v>
      </c>
      <c r="B500" s="254" t="str">
        <f>VLOOKUP(Tabel10[[#This Row],[Code]],Ruimtegroepen[[Code]:[Ruimte omschrijving]],2,FALSE)</f>
        <v>Bibliotheek/OLC</v>
      </c>
      <c r="C500" s="255" t="s">
        <v>698</v>
      </c>
      <c r="D500" s="254" t="s">
        <v>27</v>
      </c>
      <c r="E500" s="255" t="s">
        <v>99</v>
      </c>
      <c r="F500" s="255" t="s">
        <v>700</v>
      </c>
      <c r="G500" s="260" t="s">
        <v>283</v>
      </c>
      <c r="H500" s="256" t="s">
        <v>15</v>
      </c>
      <c r="I500" s="256" t="s">
        <v>283</v>
      </c>
      <c r="J500" s="256" t="s">
        <v>283</v>
      </c>
      <c r="K500" s="256" t="s">
        <v>283</v>
      </c>
      <c r="L500" s="256" t="s">
        <v>283</v>
      </c>
      <c r="M500" s="256" t="s">
        <v>283</v>
      </c>
      <c r="N500" s="256" t="s">
        <v>283</v>
      </c>
      <c r="O500" s="257" t="s">
        <v>15</v>
      </c>
      <c r="P500" s="257" t="s">
        <v>15</v>
      </c>
      <c r="Q500" s="257" t="s">
        <v>15</v>
      </c>
      <c r="R500" s="257" t="s">
        <v>283</v>
      </c>
      <c r="S500" s="257" t="s">
        <v>283</v>
      </c>
      <c r="T500" s="257" t="s">
        <v>283</v>
      </c>
      <c r="U500" s="257" t="s">
        <v>283</v>
      </c>
      <c r="V500" s="257" t="s">
        <v>283</v>
      </c>
      <c r="W500" s="258" t="s">
        <v>283</v>
      </c>
      <c r="X500" s="258" t="s">
        <v>283</v>
      </c>
      <c r="Y500" s="259" t="s">
        <v>283</v>
      </c>
    </row>
    <row r="501" spans="1:25">
      <c r="A501" s="253">
        <v>9</v>
      </c>
      <c r="B501" s="254" t="str">
        <f>VLOOKUP(Tabel10[[#This Row],[Code]],Ruimtegroepen[[Code]:[Ruimte omschrijving]],2,FALSE)</f>
        <v>Bibliotheek/OLC</v>
      </c>
      <c r="C501" s="255" t="s">
        <v>698</v>
      </c>
      <c r="D501" s="254" t="s">
        <v>27</v>
      </c>
      <c r="E501" s="255" t="s">
        <v>1312</v>
      </c>
      <c r="F501" s="255" t="s">
        <v>1385</v>
      </c>
      <c r="G501" s="260" t="s">
        <v>283</v>
      </c>
      <c r="H501" s="256" t="s">
        <v>283</v>
      </c>
      <c r="I501" s="256" t="s">
        <v>15</v>
      </c>
      <c r="J501" s="256" t="s">
        <v>283</v>
      </c>
      <c r="K501" s="256" t="s">
        <v>283</v>
      </c>
      <c r="L501" s="256" t="s">
        <v>283</v>
      </c>
      <c r="M501" s="256" t="s">
        <v>283</v>
      </c>
      <c r="N501" s="256" t="s">
        <v>283</v>
      </c>
      <c r="O501" s="257" t="s">
        <v>15</v>
      </c>
      <c r="P501" s="257" t="s">
        <v>15</v>
      </c>
      <c r="Q501" s="257" t="s">
        <v>15</v>
      </c>
      <c r="R501" s="257" t="s">
        <v>283</v>
      </c>
      <c r="S501" s="257" t="s">
        <v>283</v>
      </c>
      <c r="T501" s="257" t="s">
        <v>283</v>
      </c>
      <c r="U501" s="257" t="s">
        <v>283</v>
      </c>
      <c r="V501" s="257" t="s">
        <v>283</v>
      </c>
      <c r="W501" s="258" t="s">
        <v>283</v>
      </c>
      <c r="X501" s="258" t="s">
        <v>283</v>
      </c>
      <c r="Y501" s="259" t="s">
        <v>283</v>
      </c>
    </row>
    <row r="502" spans="1:25">
      <c r="A502" s="253">
        <v>9</v>
      </c>
      <c r="B502" s="254" t="str">
        <f>VLOOKUP(Tabel10[[#This Row],[Code]],Ruimtegroepen[[Code]:[Ruimte omschrijving]],2,FALSE)</f>
        <v>Bibliotheek/OLC</v>
      </c>
      <c r="C502" s="255" t="s">
        <v>703</v>
      </c>
      <c r="D502" s="254" t="s">
        <v>28</v>
      </c>
      <c r="E502" s="255" t="s">
        <v>100</v>
      </c>
      <c r="F502" s="255" t="s">
        <v>704</v>
      </c>
      <c r="G502" s="260" t="s">
        <v>283</v>
      </c>
      <c r="H502" s="256" t="s">
        <v>283</v>
      </c>
      <c r="I502" s="256" t="s">
        <v>17</v>
      </c>
      <c r="J502" s="256" t="s">
        <v>283</v>
      </c>
      <c r="K502" s="256" t="s">
        <v>283</v>
      </c>
      <c r="L502" s="256" t="s">
        <v>283</v>
      </c>
      <c r="M502" s="256" t="s">
        <v>283</v>
      </c>
      <c r="N502" s="256" t="s">
        <v>283</v>
      </c>
      <c r="O502" s="257" t="s">
        <v>17</v>
      </c>
      <c r="P502" s="257" t="s">
        <v>17</v>
      </c>
      <c r="Q502" s="257" t="s">
        <v>15</v>
      </c>
      <c r="R502" s="257" t="s">
        <v>283</v>
      </c>
      <c r="S502" s="257" t="s">
        <v>283</v>
      </c>
      <c r="T502" s="257" t="s">
        <v>283</v>
      </c>
      <c r="U502" s="257" t="s">
        <v>283</v>
      </c>
      <c r="V502" s="257" t="s">
        <v>283</v>
      </c>
      <c r="W502" s="258" t="s">
        <v>283</v>
      </c>
      <c r="X502" s="258" t="s">
        <v>283</v>
      </c>
      <c r="Y502" s="259" t="s">
        <v>283</v>
      </c>
    </row>
    <row r="503" spans="1:25">
      <c r="A503" s="253">
        <v>9</v>
      </c>
      <c r="B503" s="254" t="str">
        <f>VLOOKUP(Tabel10[[#This Row],[Code]],Ruimtegroepen[[Code]:[Ruimte omschrijving]],2,FALSE)</f>
        <v>Bibliotheek/OLC</v>
      </c>
      <c r="C503" s="255" t="s">
        <v>703</v>
      </c>
      <c r="D503" s="254" t="s">
        <v>28</v>
      </c>
      <c r="E503" s="255" t="s">
        <v>99</v>
      </c>
      <c r="F503" s="255" t="s">
        <v>705</v>
      </c>
      <c r="G503" s="260" t="s">
        <v>283</v>
      </c>
      <c r="H503" s="256" t="s">
        <v>17</v>
      </c>
      <c r="I503" s="256" t="s">
        <v>283</v>
      </c>
      <c r="J503" s="256" t="s">
        <v>283</v>
      </c>
      <c r="K503" s="256" t="s">
        <v>283</v>
      </c>
      <c r="L503" s="256" t="s">
        <v>283</v>
      </c>
      <c r="M503" s="256" t="s">
        <v>283</v>
      </c>
      <c r="N503" s="256" t="s">
        <v>283</v>
      </c>
      <c r="O503" s="257" t="s">
        <v>17</v>
      </c>
      <c r="P503" s="257" t="s">
        <v>17</v>
      </c>
      <c r="Q503" s="257" t="s">
        <v>15</v>
      </c>
      <c r="R503" s="257" t="s">
        <v>283</v>
      </c>
      <c r="S503" s="257" t="s">
        <v>283</v>
      </c>
      <c r="T503" s="257" t="s">
        <v>283</v>
      </c>
      <c r="U503" s="257" t="s">
        <v>283</v>
      </c>
      <c r="V503" s="257" t="s">
        <v>283</v>
      </c>
      <c r="W503" s="258" t="s">
        <v>283</v>
      </c>
      <c r="X503" s="258" t="s">
        <v>283</v>
      </c>
      <c r="Y503" s="259" t="s">
        <v>283</v>
      </c>
    </row>
    <row r="504" spans="1:25">
      <c r="A504" s="253">
        <v>9</v>
      </c>
      <c r="B504" s="254" t="str">
        <f>VLOOKUP(Tabel10[[#This Row],[Code]],Ruimtegroepen[[Code]:[Ruimte omschrijving]],2,FALSE)</f>
        <v>Bibliotheek/OLC</v>
      </c>
      <c r="C504" s="255" t="s">
        <v>703</v>
      </c>
      <c r="D504" s="254" t="s">
        <v>28</v>
      </c>
      <c r="E504" s="255" t="s">
        <v>101</v>
      </c>
      <c r="F504" s="255" t="s">
        <v>706</v>
      </c>
      <c r="G504" s="260" t="s">
        <v>283</v>
      </c>
      <c r="H504" s="256" t="s">
        <v>283</v>
      </c>
      <c r="I504" s="256" t="s">
        <v>17</v>
      </c>
      <c r="J504" s="256" t="s">
        <v>283</v>
      </c>
      <c r="K504" s="256" t="s">
        <v>283</v>
      </c>
      <c r="L504" s="256" t="s">
        <v>283</v>
      </c>
      <c r="M504" s="256" t="s">
        <v>283</v>
      </c>
      <c r="N504" s="256" t="s">
        <v>283</v>
      </c>
      <c r="O504" s="257" t="s">
        <v>17</v>
      </c>
      <c r="P504" s="257" t="s">
        <v>17</v>
      </c>
      <c r="Q504" s="257" t="s">
        <v>15</v>
      </c>
      <c r="R504" s="257" t="s">
        <v>283</v>
      </c>
      <c r="S504" s="257" t="s">
        <v>283</v>
      </c>
      <c r="T504" s="257" t="s">
        <v>283</v>
      </c>
      <c r="U504" s="257" t="s">
        <v>283</v>
      </c>
      <c r="V504" s="257" t="s">
        <v>283</v>
      </c>
      <c r="W504" s="258" t="s">
        <v>283</v>
      </c>
      <c r="X504" s="258" t="s">
        <v>283</v>
      </c>
      <c r="Y504" s="259" t="s">
        <v>283</v>
      </c>
    </row>
    <row r="505" spans="1:25">
      <c r="A505" s="253">
        <v>9</v>
      </c>
      <c r="B505" s="254" t="str">
        <f>VLOOKUP(Tabel10[[#This Row],[Code]],Ruimtegroepen[[Code]:[Ruimte omschrijving]],2,FALSE)</f>
        <v>Bibliotheek/OLC</v>
      </c>
      <c r="C505" s="255" t="s">
        <v>703</v>
      </c>
      <c r="D505" s="254" t="s">
        <v>28</v>
      </c>
      <c r="E505" s="255" t="s">
        <v>102</v>
      </c>
      <c r="F505" s="255" t="s">
        <v>707</v>
      </c>
      <c r="G505" s="260" t="s">
        <v>283</v>
      </c>
      <c r="H505" s="256" t="s">
        <v>283</v>
      </c>
      <c r="I505" s="256" t="s">
        <v>17</v>
      </c>
      <c r="J505" s="256" t="s">
        <v>283</v>
      </c>
      <c r="K505" s="256" t="s">
        <v>283</v>
      </c>
      <c r="L505" s="256" t="s">
        <v>283</v>
      </c>
      <c r="M505" s="256" t="s">
        <v>283</v>
      </c>
      <c r="N505" s="256" t="s">
        <v>283</v>
      </c>
      <c r="O505" s="257" t="s">
        <v>17</v>
      </c>
      <c r="P505" s="257" t="s">
        <v>17</v>
      </c>
      <c r="Q505" s="257" t="s">
        <v>15</v>
      </c>
      <c r="R505" s="257" t="s">
        <v>283</v>
      </c>
      <c r="S505" s="257" t="s">
        <v>283</v>
      </c>
      <c r="T505" s="257" t="s">
        <v>283</v>
      </c>
      <c r="U505" s="257" t="s">
        <v>283</v>
      </c>
      <c r="V505" s="257" t="s">
        <v>283</v>
      </c>
      <c r="W505" s="258" t="s">
        <v>283</v>
      </c>
      <c r="X505" s="258" t="s">
        <v>283</v>
      </c>
      <c r="Y505" s="259" t="s">
        <v>283</v>
      </c>
    </row>
    <row r="506" spans="1:25">
      <c r="A506" s="253">
        <v>9</v>
      </c>
      <c r="B506" s="254" t="str">
        <f>VLOOKUP(Tabel10[[#This Row],[Code]],Ruimtegroepen[[Code]:[Ruimte omschrijving]],2,FALSE)</f>
        <v>Bibliotheek/OLC</v>
      </c>
      <c r="C506" s="255" t="s">
        <v>703</v>
      </c>
      <c r="D506" s="254" t="s">
        <v>28</v>
      </c>
      <c r="E506" s="255" t="s">
        <v>99</v>
      </c>
      <c r="F506" s="255" t="s">
        <v>705</v>
      </c>
      <c r="G506" s="260" t="s">
        <v>283</v>
      </c>
      <c r="H506" s="256" t="s">
        <v>17</v>
      </c>
      <c r="I506" s="256" t="s">
        <v>283</v>
      </c>
      <c r="J506" s="256" t="s">
        <v>283</v>
      </c>
      <c r="K506" s="256" t="s">
        <v>283</v>
      </c>
      <c r="L506" s="256" t="s">
        <v>283</v>
      </c>
      <c r="M506" s="256" t="s">
        <v>283</v>
      </c>
      <c r="N506" s="256" t="s">
        <v>283</v>
      </c>
      <c r="O506" s="257" t="s">
        <v>17</v>
      </c>
      <c r="P506" s="257" t="s">
        <v>17</v>
      </c>
      <c r="Q506" s="257" t="s">
        <v>15</v>
      </c>
      <c r="R506" s="257" t="s">
        <v>283</v>
      </c>
      <c r="S506" s="257" t="s">
        <v>283</v>
      </c>
      <c r="T506" s="257" t="s">
        <v>283</v>
      </c>
      <c r="U506" s="257" t="s">
        <v>283</v>
      </c>
      <c r="V506" s="257" t="s">
        <v>283</v>
      </c>
      <c r="W506" s="258" t="s">
        <v>283</v>
      </c>
      <c r="X506" s="258" t="s">
        <v>283</v>
      </c>
      <c r="Y506" s="259" t="s">
        <v>283</v>
      </c>
    </row>
    <row r="507" spans="1:25">
      <c r="A507" s="253">
        <v>9</v>
      </c>
      <c r="B507" s="254" t="str">
        <f>VLOOKUP(Tabel10[[#This Row],[Code]],Ruimtegroepen[[Code]:[Ruimte omschrijving]],2,FALSE)</f>
        <v>Bibliotheek/OLC</v>
      </c>
      <c r="C507" s="255" t="s">
        <v>703</v>
      </c>
      <c r="D507" s="254" t="s">
        <v>28</v>
      </c>
      <c r="E507" s="255" t="s">
        <v>1312</v>
      </c>
      <c r="F507" s="255" t="s">
        <v>1418</v>
      </c>
      <c r="G507" s="260" t="s">
        <v>283</v>
      </c>
      <c r="H507" s="256" t="s">
        <v>283</v>
      </c>
      <c r="I507" s="256" t="s">
        <v>17</v>
      </c>
      <c r="J507" s="256" t="s">
        <v>283</v>
      </c>
      <c r="K507" s="256" t="s">
        <v>283</v>
      </c>
      <c r="L507" s="256" t="s">
        <v>283</v>
      </c>
      <c r="M507" s="256" t="s">
        <v>283</v>
      </c>
      <c r="N507" s="256" t="s">
        <v>283</v>
      </c>
      <c r="O507" s="257" t="s">
        <v>17</v>
      </c>
      <c r="P507" s="257" t="s">
        <v>17</v>
      </c>
      <c r="Q507" s="257" t="s">
        <v>15</v>
      </c>
      <c r="R507" s="257" t="s">
        <v>283</v>
      </c>
      <c r="S507" s="257" t="s">
        <v>283</v>
      </c>
      <c r="T507" s="257" t="s">
        <v>283</v>
      </c>
      <c r="U507" s="257" t="s">
        <v>283</v>
      </c>
      <c r="V507" s="257" t="s">
        <v>283</v>
      </c>
      <c r="W507" s="258" t="s">
        <v>283</v>
      </c>
      <c r="X507" s="258" t="s">
        <v>283</v>
      </c>
      <c r="Y507" s="259" t="s">
        <v>283</v>
      </c>
    </row>
    <row r="508" spans="1:25">
      <c r="A508" s="253">
        <v>10</v>
      </c>
      <c r="B508" s="254" t="str">
        <f>VLOOKUP(Tabel10[[#This Row],[Code]],Ruimtegroepen[[Code]:[Ruimte omschrijving]],2,FALSE)</f>
        <v>Trappenhuizen/lift</v>
      </c>
      <c r="C508" s="255" t="s">
        <v>708</v>
      </c>
      <c r="D508" s="254" t="s">
        <v>29</v>
      </c>
      <c r="E508" s="255" t="s">
        <v>100</v>
      </c>
      <c r="F508" s="255" t="s">
        <v>709</v>
      </c>
      <c r="G508" s="260" t="s">
        <v>283</v>
      </c>
      <c r="H508" s="256" t="s">
        <v>283</v>
      </c>
      <c r="I508" s="256" t="s">
        <v>20</v>
      </c>
      <c r="J508" s="256" t="s">
        <v>15</v>
      </c>
      <c r="K508" s="256" t="s">
        <v>283</v>
      </c>
      <c r="L508" s="256" t="s">
        <v>283</v>
      </c>
      <c r="M508" s="256" t="s">
        <v>283</v>
      </c>
      <c r="N508" s="256" t="s">
        <v>2</v>
      </c>
      <c r="O508" s="257" t="s">
        <v>2</v>
      </c>
      <c r="P508" s="257" t="s">
        <v>2</v>
      </c>
      <c r="Q508" s="257" t="s">
        <v>15</v>
      </c>
      <c r="R508" s="257" t="s">
        <v>15</v>
      </c>
      <c r="S508" s="257" t="s">
        <v>16</v>
      </c>
      <c r="T508" s="257" t="s">
        <v>330</v>
      </c>
      <c r="U508" s="257" t="s">
        <v>250</v>
      </c>
      <c r="V508" s="257" t="s">
        <v>2</v>
      </c>
      <c r="W508" s="258" t="s">
        <v>283</v>
      </c>
      <c r="X508" s="258" t="s">
        <v>283</v>
      </c>
      <c r="Y508" s="259" t="s">
        <v>283</v>
      </c>
    </row>
    <row r="509" spans="1:25">
      <c r="A509" s="253">
        <v>10</v>
      </c>
      <c r="B509" s="254" t="str">
        <f>VLOOKUP(Tabel10[[#This Row],[Code]],Ruimtegroepen[[Code]:[Ruimte omschrijving]],2,FALSE)</f>
        <v>Trappenhuizen/lift</v>
      </c>
      <c r="C509" s="255" t="s">
        <v>708</v>
      </c>
      <c r="D509" s="254" t="s">
        <v>29</v>
      </c>
      <c r="E509" s="255" t="s">
        <v>99</v>
      </c>
      <c r="F509" s="255" t="s">
        <v>710</v>
      </c>
      <c r="G509" s="260" t="s">
        <v>283</v>
      </c>
      <c r="H509" s="256" t="s">
        <v>2</v>
      </c>
      <c r="I509" s="256" t="s">
        <v>283</v>
      </c>
      <c r="J509" s="256" t="s">
        <v>283</v>
      </c>
      <c r="K509" s="256" t="s">
        <v>283</v>
      </c>
      <c r="L509" s="256" t="s">
        <v>283</v>
      </c>
      <c r="M509" s="256" t="s">
        <v>283</v>
      </c>
      <c r="N509" s="256" t="s">
        <v>2</v>
      </c>
      <c r="O509" s="257" t="s">
        <v>2</v>
      </c>
      <c r="P509" s="257" t="s">
        <v>2</v>
      </c>
      <c r="Q509" s="257" t="s">
        <v>15</v>
      </c>
      <c r="R509" s="257" t="s">
        <v>15</v>
      </c>
      <c r="S509" s="257" t="s">
        <v>16</v>
      </c>
      <c r="T509" s="257" t="s">
        <v>330</v>
      </c>
      <c r="U509" s="257" t="s">
        <v>250</v>
      </c>
      <c r="V509" s="257" t="s">
        <v>2</v>
      </c>
      <c r="W509" s="258" t="s">
        <v>283</v>
      </c>
      <c r="X509" s="258" t="s">
        <v>283</v>
      </c>
      <c r="Y509" s="259" t="s">
        <v>283</v>
      </c>
    </row>
    <row r="510" spans="1:25">
      <c r="A510" s="253">
        <v>10</v>
      </c>
      <c r="B510" s="254" t="str">
        <f>VLOOKUP(Tabel10[[#This Row],[Code]],Ruimtegroepen[[Code]:[Ruimte omschrijving]],2,FALSE)</f>
        <v>Trappenhuizen/lift</v>
      </c>
      <c r="C510" s="255" t="s">
        <v>708</v>
      </c>
      <c r="D510" s="254" t="s">
        <v>29</v>
      </c>
      <c r="E510" s="255" t="s">
        <v>101</v>
      </c>
      <c r="F510" s="255" t="s">
        <v>711</v>
      </c>
      <c r="G510" s="260" t="s">
        <v>283</v>
      </c>
      <c r="H510" s="256" t="s">
        <v>283</v>
      </c>
      <c r="I510" s="256" t="s">
        <v>20</v>
      </c>
      <c r="J510" s="256" t="s">
        <v>15</v>
      </c>
      <c r="K510" s="256" t="s">
        <v>284</v>
      </c>
      <c r="L510" s="256" t="s">
        <v>283</v>
      </c>
      <c r="M510" s="256" t="s">
        <v>283</v>
      </c>
      <c r="N510" s="256" t="s">
        <v>2</v>
      </c>
      <c r="O510" s="257" t="s">
        <v>2</v>
      </c>
      <c r="P510" s="257" t="s">
        <v>2</v>
      </c>
      <c r="Q510" s="257" t="s">
        <v>15</v>
      </c>
      <c r="R510" s="257" t="s">
        <v>15</v>
      </c>
      <c r="S510" s="257" t="s">
        <v>16</v>
      </c>
      <c r="T510" s="257" t="s">
        <v>330</v>
      </c>
      <c r="U510" s="257" t="s">
        <v>250</v>
      </c>
      <c r="V510" s="257" t="s">
        <v>2</v>
      </c>
      <c r="W510" s="258" t="s">
        <v>283</v>
      </c>
      <c r="X510" s="258" t="s">
        <v>283</v>
      </c>
      <c r="Y510" s="259" t="s">
        <v>283</v>
      </c>
    </row>
    <row r="511" spans="1:25">
      <c r="A511" s="253">
        <v>10</v>
      </c>
      <c r="B511" s="254" t="str">
        <f>VLOOKUP(Tabel10[[#This Row],[Code]],Ruimtegroepen[[Code]:[Ruimte omschrijving]],2,FALSE)</f>
        <v>Trappenhuizen/lift</v>
      </c>
      <c r="C511" s="255" t="s">
        <v>708</v>
      </c>
      <c r="D511" s="254" t="s">
        <v>29</v>
      </c>
      <c r="E511" s="255" t="s">
        <v>102</v>
      </c>
      <c r="F511" s="255" t="s">
        <v>712</v>
      </c>
      <c r="G511" s="260" t="s">
        <v>283</v>
      </c>
      <c r="H511" s="256" t="s">
        <v>283</v>
      </c>
      <c r="I511" s="256" t="s">
        <v>20</v>
      </c>
      <c r="J511" s="256" t="s">
        <v>15</v>
      </c>
      <c r="K511" s="256" t="s">
        <v>284</v>
      </c>
      <c r="L511" s="256" t="s">
        <v>283</v>
      </c>
      <c r="M511" s="256" t="s">
        <v>283</v>
      </c>
      <c r="N511" s="256" t="s">
        <v>2</v>
      </c>
      <c r="O511" s="257" t="s">
        <v>2</v>
      </c>
      <c r="P511" s="257" t="s">
        <v>2</v>
      </c>
      <c r="Q511" s="257" t="s">
        <v>15</v>
      </c>
      <c r="R511" s="257" t="s">
        <v>15</v>
      </c>
      <c r="S511" s="257" t="s">
        <v>16</v>
      </c>
      <c r="T511" s="257" t="s">
        <v>330</v>
      </c>
      <c r="U511" s="257" t="s">
        <v>250</v>
      </c>
      <c r="V511" s="257" t="s">
        <v>2</v>
      </c>
      <c r="W511" s="258" t="s">
        <v>283</v>
      </c>
      <c r="X511" s="258" t="s">
        <v>283</v>
      </c>
      <c r="Y511" s="259" t="s">
        <v>283</v>
      </c>
    </row>
    <row r="512" spans="1:25">
      <c r="A512" s="253">
        <v>10</v>
      </c>
      <c r="B512" s="254" t="str">
        <f>VLOOKUP(Tabel10[[#This Row],[Code]],Ruimtegroepen[[Code]:[Ruimte omschrijving]],2,FALSE)</f>
        <v>Trappenhuizen/lift</v>
      </c>
      <c r="C512" s="255" t="s">
        <v>708</v>
      </c>
      <c r="D512" s="254" t="s">
        <v>29</v>
      </c>
      <c r="E512" s="255" t="s">
        <v>99</v>
      </c>
      <c r="F512" s="255" t="s">
        <v>710</v>
      </c>
      <c r="G512" s="260" t="s">
        <v>283</v>
      </c>
      <c r="H512" s="256" t="s">
        <v>2</v>
      </c>
      <c r="I512" s="256" t="s">
        <v>283</v>
      </c>
      <c r="J512" s="256" t="s">
        <v>283</v>
      </c>
      <c r="K512" s="256" t="s">
        <v>283</v>
      </c>
      <c r="L512" s="256" t="s">
        <v>283</v>
      </c>
      <c r="M512" s="256" t="s">
        <v>283</v>
      </c>
      <c r="N512" s="256" t="s">
        <v>2</v>
      </c>
      <c r="O512" s="257" t="s">
        <v>2</v>
      </c>
      <c r="P512" s="257" t="s">
        <v>2</v>
      </c>
      <c r="Q512" s="257" t="s">
        <v>15</v>
      </c>
      <c r="R512" s="257" t="s">
        <v>15</v>
      </c>
      <c r="S512" s="257" t="s">
        <v>16</v>
      </c>
      <c r="T512" s="257" t="s">
        <v>330</v>
      </c>
      <c r="U512" s="257" t="s">
        <v>250</v>
      </c>
      <c r="V512" s="257" t="s">
        <v>2</v>
      </c>
      <c r="W512" s="258" t="s">
        <v>283</v>
      </c>
      <c r="X512" s="258" t="s">
        <v>283</v>
      </c>
      <c r="Y512" s="259" t="s">
        <v>283</v>
      </c>
    </row>
    <row r="513" spans="1:25">
      <c r="A513" s="253">
        <v>10</v>
      </c>
      <c r="B513" s="254" t="str">
        <f>VLOOKUP(Tabel10[[#This Row],[Code]],Ruimtegroepen[[Code]:[Ruimte omschrijving]],2,FALSE)</f>
        <v>Trappenhuizen/lift</v>
      </c>
      <c r="C513" s="255" t="s">
        <v>708</v>
      </c>
      <c r="D513" s="254" t="s">
        <v>29</v>
      </c>
      <c r="E513" s="255" t="s">
        <v>1312</v>
      </c>
      <c r="F513" s="255" t="s">
        <v>1486</v>
      </c>
      <c r="G513" s="260" t="s">
        <v>283</v>
      </c>
      <c r="H513" s="256" t="s">
        <v>283</v>
      </c>
      <c r="I513" s="256" t="s">
        <v>20</v>
      </c>
      <c r="J513" s="256" t="s">
        <v>15</v>
      </c>
      <c r="K513" s="256" t="s">
        <v>284</v>
      </c>
      <c r="L513" s="256" t="s">
        <v>283</v>
      </c>
      <c r="M513" s="256" t="s">
        <v>283</v>
      </c>
      <c r="N513" s="256" t="s">
        <v>2</v>
      </c>
      <c r="O513" s="257" t="s">
        <v>2</v>
      </c>
      <c r="P513" s="257" t="s">
        <v>2</v>
      </c>
      <c r="Q513" s="257" t="s">
        <v>15</v>
      </c>
      <c r="R513" s="257" t="s">
        <v>15</v>
      </c>
      <c r="S513" s="257" t="s">
        <v>16</v>
      </c>
      <c r="T513" s="257" t="s">
        <v>330</v>
      </c>
      <c r="U513" s="257" t="s">
        <v>250</v>
      </c>
      <c r="V513" s="257" t="s">
        <v>2</v>
      </c>
      <c r="W513" s="258" t="s">
        <v>283</v>
      </c>
      <c r="X513" s="258" t="s">
        <v>283</v>
      </c>
      <c r="Y513" s="259" t="s">
        <v>283</v>
      </c>
    </row>
    <row r="514" spans="1:25">
      <c r="A514" s="253">
        <v>10</v>
      </c>
      <c r="B514" s="254" t="str">
        <f>VLOOKUP(Tabel10[[#This Row],[Code]],Ruimtegroepen[[Code]:[Ruimte omschrijving]],2,FALSE)</f>
        <v>Trappenhuizen/lift</v>
      </c>
      <c r="C514" s="255" t="s">
        <v>713</v>
      </c>
      <c r="D514" s="254" t="s">
        <v>1</v>
      </c>
      <c r="E514" s="255" t="s">
        <v>100</v>
      </c>
      <c r="F514" s="255" t="s">
        <v>714</v>
      </c>
      <c r="G514" s="260" t="s">
        <v>283</v>
      </c>
      <c r="H514" s="256" t="s">
        <v>283</v>
      </c>
      <c r="I514" s="256" t="s">
        <v>20</v>
      </c>
      <c r="J514" s="256" t="s">
        <v>15</v>
      </c>
      <c r="K514" s="256" t="s">
        <v>283</v>
      </c>
      <c r="L514" s="256" t="s">
        <v>283</v>
      </c>
      <c r="M514" s="256" t="s">
        <v>283</v>
      </c>
      <c r="N514" s="256" t="s">
        <v>283</v>
      </c>
      <c r="O514" s="257" t="s">
        <v>2</v>
      </c>
      <c r="P514" s="257" t="s">
        <v>2</v>
      </c>
      <c r="Q514" s="257" t="s">
        <v>15</v>
      </c>
      <c r="R514" s="257" t="s">
        <v>15</v>
      </c>
      <c r="S514" s="257" t="s">
        <v>16</v>
      </c>
      <c r="T514" s="257" t="s">
        <v>330</v>
      </c>
      <c r="U514" s="257" t="s">
        <v>250</v>
      </c>
      <c r="V514" s="257" t="s">
        <v>283</v>
      </c>
      <c r="W514" s="258" t="s">
        <v>283</v>
      </c>
      <c r="X514" s="258" t="s">
        <v>283</v>
      </c>
      <c r="Y514" s="259" t="s">
        <v>283</v>
      </c>
    </row>
    <row r="515" spans="1:25">
      <c r="A515" s="253">
        <v>10</v>
      </c>
      <c r="B515" s="254" t="str">
        <f>VLOOKUP(Tabel10[[#This Row],[Code]],Ruimtegroepen[[Code]:[Ruimte omschrijving]],2,FALSE)</f>
        <v>Trappenhuizen/lift</v>
      </c>
      <c r="C515" s="255" t="s">
        <v>713</v>
      </c>
      <c r="D515" s="254" t="s">
        <v>1</v>
      </c>
      <c r="E515" s="255" t="s">
        <v>99</v>
      </c>
      <c r="F515" s="255" t="s">
        <v>715</v>
      </c>
      <c r="G515" s="260" t="s">
        <v>283</v>
      </c>
      <c r="H515" s="256" t="s">
        <v>2</v>
      </c>
      <c r="I515" s="256" t="s">
        <v>283</v>
      </c>
      <c r="J515" s="256" t="s">
        <v>283</v>
      </c>
      <c r="K515" s="256" t="s">
        <v>283</v>
      </c>
      <c r="L515" s="256" t="s">
        <v>283</v>
      </c>
      <c r="M515" s="256" t="s">
        <v>283</v>
      </c>
      <c r="N515" s="256" t="s">
        <v>283</v>
      </c>
      <c r="O515" s="257" t="s">
        <v>2</v>
      </c>
      <c r="P515" s="257" t="s">
        <v>2</v>
      </c>
      <c r="Q515" s="257" t="s">
        <v>15</v>
      </c>
      <c r="R515" s="257" t="s">
        <v>15</v>
      </c>
      <c r="S515" s="257" t="s">
        <v>16</v>
      </c>
      <c r="T515" s="257" t="s">
        <v>330</v>
      </c>
      <c r="U515" s="257" t="s">
        <v>250</v>
      </c>
      <c r="V515" s="257" t="s">
        <v>283</v>
      </c>
      <c r="W515" s="258" t="s">
        <v>283</v>
      </c>
      <c r="X515" s="258" t="s">
        <v>283</v>
      </c>
      <c r="Y515" s="259" t="s">
        <v>283</v>
      </c>
    </row>
    <row r="516" spans="1:25">
      <c r="A516" s="253">
        <v>10</v>
      </c>
      <c r="B516" s="254" t="str">
        <f>VLOOKUP(Tabel10[[#This Row],[Code]],Ruimtegroepen[[Code]:[Ruimte omschrijving]],2,FALSE)</f>
        <v>Trappenhuizen/lift</v>
      </c>
      <c r="C516" s="255" t="s">
        <v>713</v>
      </c>
      <c r="D516" s="254" t="s">
        <v>1</v>
      </c>
      <c r="E516" s="255" t="s">
        <v>101</v>
      </c>
      <c r="F516" s="255" t="s">
        <v>716</v>
      </c>
      <c r="G516" s="260" t="s">
        <v>283</v>
      </c>
      <c r="H516" s="256" t="s">
        <v>283</v>
      </c>
      <c r="I516" s="256" t="s">
        <v>20</v>
      </c>
      <c r="J516" s="256" t="s">
        <v>15</v>
      </c>
      <c r="K516" s="256" t="s">
        <v>284</v>
      </c>
      <c r="L516" s="256" t="s">
        <v>283</v>
      </c>
      <c r="M516" s="256" t="s">
        <v>283</v>
      </c>
      <c r="N516" s="256" t="s">
        <v>283</v>
      </c>
      <c r="O516" s="257" t="s">
        <v>2</v>
      </c>
      <c r="P516" s="257" t="s">
        <v>2</v>
      </c>
      <c r="Q516" s="257" t="s">
        <v>15</v>
      </c>
      <c r="R516" s="257" t="s">
        <v>15</v>
      </c>
      <c r="S516" s="257" t="s">
        <v>16</v>
      </c>
      <c r="T516" s="257" t="s">
        <v>330</v>
      </c>
      <c r="U516" s="257" t="s">
        <v>250</v>
      </c>
      <c r="V516" s="257" t="s">
        <v>283</v>
      </c>
      <c r="W516" s="258" t="s">
        <v>283</v>
      </c>
      <c r="X516" s="258" t="s">
        <v>283</v>
      </c>
      <c r="Y516" s="259" t="s">
        <v>283</v>
      </c>
    </row>
    <row r="517" spans="1:25">
      <c r="A517" s="253">
        <v>10</v>
      </c>
      <c r="B517" s="254" t="str">
        <f>VLOOKUP(Tabel10[[#This Row],[Code]],Ruimtegroepen[[Code]:[Ruimte omschrijving]],2,FALSE)</f>
        <v>Trappenhuizen/lift</v>
      </c>
      <c r="C517" s="255" t="s">
        <v>713</v>
      </c>
      <c r="D517" s="254" t="s">
        <v>1</v>
      </c>
      <c r="E517" s="255" t="s">
        <v>102</v>
      </c>
      <c r="F517" s="255" t="s">
        <v>717</v>
      </c>
      <c r="G517" s="260" t="s">
        <v>283</v>
      </c>
      <c r="H517" s="256" t="s">
        <v>283</v>
      </c>
      <c r="I517" s="256" t="s">
        <v>2</v>
      </c>
      <c r="J517" s="256" t="s">
        <v>283</v>
      </c>
      <c r="K517" s="256" t="s">
        <v>284</v>
      </c>
      <c r="L517" s="256" t="s">
        <v>283</v>
      </c>
      <c r="M517" s="256" t="s">
        <v>283</v>
      </c>
      <c r="N517" s="256" t="s">
        <v>283</v>
      </c>
      <c r="O517" s="257" t="s">
        <v>2</v>
      </c>
      <c r="P517" s="257" t="s">
        <v>2</v>
      </c>
      <c r="Q517" s="257" t="s">
        <v>15</v>
      </c>
      <c r="R517" s="257" t="s">
        <v>15</v>
      </c>
      <c r="S517" s="257" t="s">
        <v>16</v>
      </c>
      <c r="T517" s="257" t="s">
        <v>330</v>
      </c>
      <c r="U517" s="257" t="s">
        <v>250</v>
      </c>
      <c r="V517" s="257" t="s">
        <v>283</v>
      </c>
      <c r="W517" s="258" t="s">
        <v>283</v>
      </c>
      <c r="X517" s="258" t="s">
        <v>283</v>
      </c>
      <c r="Y517" s="259" t="s">
        <v>283</v>
      </c>
    </row>
    <row r="518" spans="1:25">
      <c r="A518" s="253">
        <v>10</v>
      </c>
      <c r="B518" s="254" t="str">
        <f>VLOOKUP(Tabel10[[#This Row],[Code]],Ruimtegroepen[[Code]:[Ruimte omschrijving]],2,FALSE)</f>
        <v>Trappenhuizen/lift</v>
      </c>
      <c r="C518" s="255" t="s">
        <v>713</v>
      </c>
      <c r="D518" s="254" t="s">
        <v>1</v>
      </c>
      <c r="E518" s="255" t="s">
        <v>99</v>
      </c>
      <c r="F518" s="255" t="s">
        <v>715</v>
      </c>
      <c r="G518" s="260" t="s">
        <v>283</v>
      </c>
      <c r="H518" s="256" t="s">
        <v>2</v>
      </c>
      <c r="I518" s="256" t="s">
        <v>283</v>
      </c>
      <c r="J518" s="256" t="s">
        <v>283</v>
      </c>
      <c r="K518" s="256" t="s">
        <v>283</v>
      </c>
      <c r="L518" s="256" t="s">
        <v>283</v>
      </c>
      <c r="M518" s="256" t="s">
        <v>283</v>
      </c>
      <c r="N518" s="256" t="s">
        <v>283</v>
      </c>
      <c r="O518" s="257" t="s">
        <v>2</v>
      </c>
      <c r="P518" s="257" t="s">
        <v>2</v>
      </c>
      <c r="Q518" s="257" t="s">
        <v>15</v>
      </c>
      <c r="R518" s="257" t="s">
        <v>15</v>
      </c>
      <c r="S518" s="257" t="s">
        <v>16</v>
      </c>
      <c r="T518" s="257" t="s">
        <v>330</v>
      </c>
      <c r="U518" s="257" t="s">
        <v>250</v>
      </c>
      <c r="V518" s="257" t="s">
        <v>283</v>
      </c>
      <c r="W518" s="258" t="s">
        <v>283</v>
      </c>
      <c r="X518" s="258" t="s">
        <v>283</v>
      </c>
      <c r="Y518" s="259" t="s">
        <v>283</v>
      </c>
    </row>
    <row r="519" spans="1:25">
      <c r="A519" s="253">
        <v>10</v>
      </c>
      <c r="B519" s="254" t="str">
        <f>VLOOKUP(Tabel10[[#This Row],[Code]],Ruimtegroepen[[Code]:[Ruimte omschrijving]],2,FALSE)</f>
        <v>Trappenhuizen/lift</v>
      </c>
      <c r="C519" s="255" t="s">
        <v>713</v>
      </c>
      <c r="D519" s="254" t="s">
        <v>1</v>
      </c>
      <c r="E519" s="255" t="s">
        <v>1312</v>
      </c>
      <c r="F519" s="255" t="s">
        <v>1470</v>
      </c>
      <c r="G519" s="260" t="s">
        <v>283</v>
      </c>
      <c r="H519" s="256" t="s">
        <v>283</v>
      </c>
      <c r="I519" s="256" t="s">
        <v>2</v>
      </c>
      <c r="J519" s="256" t="s">
        <v>283</v>
      </c>
      <c r="K519" s="256" t="s">
        <v>284</v>
      </c>
      <c r="L519" s="256" t="s">
        <v>283</v>
      </c>
      <c r="M519" s="256" t="s">
        <v>283</v>
      </c>
      <c r="N519" s="256" t="s">
        <v>283</v>
      </c>
      <c r="O519" s="257" t="s">
        <v>2</v>
      </c>
      <c r="P519" s="257" t="s">
        <v>2</v>
      </c>
      <c r="Q519" s="257" t="s">
        <v>15</v>
      </c>
      <c r="R519" s="257" t="s">
        <v>15</v>
      </c>
      <c r="S519" s="257" t="s">
        <v>16</v>
      </c>
      <c r="T519" s="257" t="s">
        <v>330</v>
      </c>
      <c r="U519" s="257" t="s">
        <v>250</v>
      </c>
      <c r="V519" s="257" t="s">
        <v>283</v>
      </c>
      <c r="W519" s="258" t="s">
        <v>283</v>
      </c>
      <c r="X519" s="258" t="s">
        <v>283</v>
      </c>
      <c r="Y519" s="259" t="s">
        <v>283</v>
      </c>
    </row>
    <row r="520" spans="1:25">
      <c r="A520" s="253">
        <v>10</v>
      </c>
      <c r="B520" s="254" t="str">
        <f>VLOOKUP(Tabel10[[#This Row],[Code]],Ruimtegroepen[[Code]:[Ruimte omschrijving]],2,FALSE)</f>
        <v>Trappenhuizen/lift</v>
      </c>
      <c r="C520" s="255" t="s">
        <v>718</v>
      </c>
      <c r="D520" s="254" t="s">
        <v>21</v>
      </c>
      <c r="E520" s="255" t="s">
        <v>100</v>
      </c>
      <c r="F520" s="255" t="s">
        <v>719</v>
      </c>
      <c r="G520" s="260" t="s">
        <v>283</v>
      </c>
      <c r="H520" s="256" t="s">
        <v>283</v>
      </c>
      <c r="I520" s="256" t="s">
        <v>18</v>
      </c>
      <c r="J520" s="256" t="s">
        <v>15</v>
      </c>
      <c r="K520" s="256" t="s">
        <v>283</v>
      </c>
      <c r="L520" s="256" t="s">
        <v>283</v>
      </c>
      <c r="M520" s="256" t="s">
        <v>283</v>
      </c>
      <c r="N520" s="256" t="s">
        <v>283</v>
      </c>
      <c r="O520" s="257" t="s">
        <v>20</v>
      </c>
      <c r="P520" s="257" t="s">
        <v>20</v>
      </c>
      <c r="Q520" s="257" t="s">
        <v>15</v>
      </c>
      <c r="R520" s="257" t="s">
        <v>15</v>
      </c>
      <c r="S520" s="257" t="s">
        <v>16</v>
      </c>
      <c r="T520" s="257" t="s">
        <v>330</v>
      </c>
      <c r="U520" s="257" t="s">
        <v>250</v>
      </c>
      <c r="V520" s="257" t="s">
        <v>283</v>
      </c>
      <c r="W520" s="258" t="s">
        <v>283</v>
      </c>
      <c r="X520" s="258" t="s">
        <v>283</v>
      </c>
      <c r="Y520" s="259" t="s">
        <v>283</v>
      </c>
    </row>
    <row r="521" spans="1:25">
      <c r="A521" s="253">
        <v>10</v>
      </c>
      <c r="B521" s="254" t="str">
        <f>VLOOKUP(Tabel10[[#This Row],[Code]],Ruimtegroepen[[Code]:[Ruimte omschrijving]],2,FALSE)</f>
        <v>Trappenhuizen/lift</v>
      </c>
      <c r="C521" s="255" t="s">
        <v>718</v>
      </c>
      <c r="D521" s="254" t="s">
        <v>21</v>
      </c>
      <c r="E521" s="255" t="s">
        <v>99</v>
      </c>
      <c r="F521" s="255" t="s">
        <v>720</v>
      </c>
      <c r="G521" s="260" t="s">
        <v>283</v>
      </c>
      <c r="H521" s="256" t="s">
        <v>20</v>
      </c>
      <c r="I521" s="256" t="s">
        <v>283</v>
      </c>
      <c r="J521" s="256" t="s">
        <v>283</v>
      </c>
      <c r="K521" s="256" t="s">
        <v>283</v>
      </c>
      <c r="L521" s="256" t="s">
        <v>283</v>
      </c>
      <c r="M521" s="256" t="s">
        <v>283</v>
      </c>
      <c r="N521" s="256" t="s">
        <v>283</v>
      </c>
      <c r="O521" s="257" t="s">
        <v>20</v>
      </c>
      <c r="P521" s="257" t="s">
        <v>20</v>
      </c>
      <c r="Q521" s="257" t="s">
        <v>15</v>
      </c>
      <c r="R521" s="257" t="s">
        <v>15</v>
      </c>
      <c r="S521" s="257" t="s">
        <v>16</v>
      </c>
      <c r="T521" s="257" t="s">
        <v>330</v>
      </c>
      <c r="U521" s="257" t="s">
        <v>250</v>
      </c>
      <c r="V521" s="257" t="s">
        <v>283</v>
      </c>
      <c r="W521" s="258" t="s">
        <v>283</v>
      </c>
      <c r="X521" s="258" t="s">
        <v>283</v>
      </c>
      <c r="Y521" s="259" t="s">
        <v>283</v>
      </c>
    </row>
    <row r="522" spans="1:25">
      <c r="A522" s="253">
        <v>10</v>
      </c>
      <c r="B522" s="254" t="str">
        <f>VLOOKUP(Tabel10[[#This Row],[Code]],Ruimtegroepen[[Code]:[Ruimte omschrijving]],2,FALSE)</f>
        <v>Trappenhuizen/lift</v>
      </c>
      <c r="C522" s="255" t="s">
        <v>718</v>
      </c>
      <c r="D522" s="254" t="s">
        <v>21</v>
      </c>
      <c r="E522" s="255" t="s">
        <v>101</v>
      </c>
      <c r="F522" s="255" t="s">
        <v>721</v>
      </c>
      <c r="G522" s="260" t="s">
        <v>283</v>
      </c>
      <c r="H522" s="256" t="s">
        <v>283</v>
      </c>
      <c r="I522" s="256" t="s">
        <v>18</v>
      </c>
      <c r="J522" s="256" t="s">
        <v>15</v>
      </c>
      <c r="K522" s="256" t="s">
        <v>284</v>
      </c>
      <c r="L522" s="256" t="s">
        <v>283</v>
      </c>
      <c r="M522" s="256" t="s">
        <v>283</v>
      </c>
      <c r="N522" s="256" t="s">
        <v>283</v>
      </c>
      <c r="O522" s="257" t="s">
        <v>20</v>
      </c>
      <c r="P522" s="257" t="s">
        <v>20</v>
      </c>
      <c r="Q522" s="257" t="s">
        <v>15</v>
      </c>
      <c r="R522" s="257" t="s">
        <v>15</v>
      </c>
      <c r="S522" s="257" t="s">
        <v>16</v>
      </c>
      <c r="T522" s="257" t="s">
        <v>330</v>
      </c>
      <c r="U522" s="257" t="s">
        <v>250</v>
      </c>
      <c r="V522" s="257" t="s">
        <v>283</v>
      </c>
      <c r="W522" s="258" t="s">
        <v>283</v>
      </c>
      <c r="X522" s="258" t="s">
        <v>283</v>
      </c>
      <c r="Y522" s="259" t="s">
        <v>283</v>
      </c>
    </row>
    <row r="523" spans="1:25">
      <c r="A523" s="253">
        <v>10</v>
      </c>
      <c r="B523" s="254" t="str">
        <f>VLOOKUP(Tabel10[[#This Row],[Code]],Ruimtegroepen[[Code]:[Ruimte omschrijving]],2,FALSE)</f>
        <v>Trappenhuizen/lift</v>
      </c>
      <c r="C523" s="255" t="s">
        <v>718</v>
      </c>
      <c r="D523" s="254" t="s">
        <v>21</v>
      </c>
      <c r="E523" s="255" t="s">
        <v>102</v>
      </c>
      <c r="F523" s="255" t="s">
        <v>722</v>
      </c>
      <c r="G523" s="260" t="s">
        <v>283</v>
      </c>
      <c r="H523" s="256" t="s">
        <v>283</v>
      </c>
      <c r="I523" s="256" t="s">
        <v>18</v>
      </c>
      <c r="J523" s="256" t="s">
        <v>15</v>
      </c>
      <c r="K523" s="256" t="s">
        <v>284</v>
      </c>
      <c r="L523" s="256" t="s">
        <v>283</v>
      </c>
      <c r="M523" s="256" t="s">
        <v>283</v>
      </c>
      <c r="N523" s="256" t="s">
        <v>283</v>
      </c>
      <c r="O523" s="257" t="s">
        <v>20</v>
      </c>
      <c r="P523" s="257" t="s">
        <v>20</v>
      </c>
      <c r="Q523" s="257" t="s">
        <v>15</v>
      </c>
      <c r="R523" s="257" t="s">
        <v>15</v>
      </c>
      <c r="S523" s="257" t="s">
        <v>16</v>
      </c>
      <c r="T523" s="257" t="s">
        <v>330</v>
      </c>
      <c r="U523" s="257" t="s">
        <v>250</v>
      </c>
      <c r="V523" s="257" t="s">
        <v>283</v>
      </c>
      <c r="W523" s="258" t="s">
        <v>283</v>
      </c>
      <c r="X523" s="258" t="s">
        <v>283</v>
      </c>
      <c r="Y523" s="259" t="s">
        <v>283</v>
      </c>
    </row>
    <row r="524" spans="1:25">
      <c r="A524" s="253">
        <v>10</v>
      </c>
      <c r="B524" s="254" t="str">
        <f>VLOOKUP(Tabel10[[#This Row],[Code]],Ruimtegroepen[[Code]:[Ruimte omschrijving]],2,FALSE)</f>
        <v>Trappenhuizen/lift</v>
      </c>
      <c r="C524" s="255" t="s">
        <v>718</v>
      </c>
      <c r="D524" s="254" t="s">
        <v>21</v>
      </c>
      <c r="E524" s="255" t="s">
        <v>99</v>
      </c>
      <c r="F524" s="255" t="s">
        <v>720</v>
      </c>
      <c r="G524" s="260" t="s">
        <v>283</v>
      </c>
      <c r="H524" s="256" t="s">
        <v>20</v>
      </c>
      <c r="I524" s="256" t="s">
        <v>283</v>
      </c>
      <c r="J524" s="256" t="s">
        <v>283</v>
      </c>
      <c r="K524" s="256" t="s">
        <v>283</v>
      </c>
      <c r="L524" s="256" t="s">
        <v>283</v>
      </c>
      <c r="M524" s="256" t="s">
        <v>283</v>
      </c>
      <c r="N524" s="256" t="s">
        <v>283</v>
      </c>
      <c r="O524" s="257" t="s">
        <v>20</v>
      </c>
      <c r="P524" s="257" t="s">
        <v>20</v>
      </c>
      <c r="Q524" s="257" t="s">
        <v>15</v>
      </c>
      <c r="R524" s="257" t="s">
        <v>15</v>
      </c>
      <c r="S524" s="257" t="s">
        <v>16</v>
      </c>
      <c r="T524" s="257" t="s">
        <v>330</v>
      </c>
      <c r="U524" s="257" t="s">
        <v>250</v>
      </c>
      <c r="V524" s="257" t="s">
        <v>283</v>
      </c>
      <c r="W524" s="258" t="s">
        <v>283</v>
      </c>
      <c r="X524" s="258" t="s">
        <v>283</v>
      </c>
      <c r="Y524" s="259" t="s">
        <v>283</v>
      </c>
    </row>
    <row r="525" spans="1:25">
      <c r="A525" s="253">
        <v>10</v>
      </c>
      <c r="B525" s="254" t="str">
        <f>VLOOKUP(Tabel10[[#This Row],[Code]],Ruimtegroepen[[Code]:[Ruimte omschrijving]],2,FALSE)</f>
        <v>Trappenhuizen/lift</v>
      </c>
      <c r="C525" s="255" t="s">
        <v>718</v>
      </c>
      <c r="D525" s="254" t="s">
        <v>21</v>
      </c>
      <c r="E525" s="255" t="s">
        <v>1312</v>
      </c>
      <c r="F525" s="255" t="s">
        <v>1453</v>
      </c>
      <c r="G525" s="260" t="s">
        <v>283</v>
      </c>
      <c r="H525" s="256" t="s">
        <v>283</v>
      </c>
      <c r="I525" s="256" t="s">
        <v>18</v>
      </c>
      <c r="J525" s="256" t="s">
        <v>15</v>
      </c>
      <c r="K525" s="256" t="s">
        <v>284</v>
      </c>
      <c r="L525" s="256" t="s">
        <v>283</v>
      </c>
      <c r="M525" s="256" t="s">
        <v>283</v>
      </c>
      <c r="N525" s="256" t="s">
        <v>283</v>
      </c>
      <c r="O525" s="257" t="s">
        <v>20</v>
      </c>
      <c r="P525" s="257" t="s">
        <v>20</v>
      </c>
      <c r="Q525" s="257" t="s">
        <v>15</v>
      </c>
      <c r="R525" s="257" t="s">
        <v>15</v>
      </c>
      <c r="S525" s="257" t="s">
        <v>16</v>
      </c>
      <c r="T525" s="257" t="s">
        <v>330</v>
      </c>
      <c r="U525" s="257" t="s">
        <v>250</v>
      </c>
      <c r="V525" s="257" t="s">
        <v>283</v>
      </c>
      <c r="W525" s="258" t="s">
        <v>283</v>
      </c>
      <c r="X525" s="258" t="s">
        <v>283</v>
      </c>
      <c r="Y525" s="259" t="s">
        <v>283</v>
      </c>
    </row>
    <row r="526" spans="1:25">
      <c r="A526" s="253">
        <v>10</v>
      </c>
      <c r="B526" s="254" t="str">
        <f>VLOOKUP(Tabel10[[#This Row],[Code]],Ruimtegroepen[[Code]:[Ruimte omschrijving]],2,FALSE)</f>
        <v>Trappenhuizen/lift</v>
      </c>
      <c r="C526" s="255" t="s">
        <v>723</v>
      </c>
      <c r="D526" s="254" t="s">
        <v>12</v>
      </c>
      <c r="E526" s="255" t="s">
        <v>100</v>
      </c>
      <c r="F526" s="255" t="s">
        <v>724</v>
      </c>
      <c r="G526" s="260" t="s">
        <v>283</v>
      </c>
      <c r="H526" s="256" t="s">
        <v>283</v>
      </c>
      <c r="I526" s="256" t="s">
        <v>17</v>
      </c>
      <c r="J526" s="256" t="s">
        <v>15</v>
      </c>
      <c r="K526" s="256" t="s">
        <v>283</v>
      </c>
      <c r="L526" s="256" t="s">
        <v>283</v>
      </c>
      <c r="M526" s="256" t="s">
        <v>283</v>
      </c>
      <c r="N526" s="256" t="s">
        <v>283</v>
      </c>
      <c r="O526" s="257" t="s">
        <v>18</v>
      </c>
      <c r="P526" s="257" t="s">
        <v>18</v>
      </c>
      <c r="Q526" s="257" t="s">
        <v>15</v>
      </c>
      <c r="R526" s="257" t="s">
        <v>15</v>
      </c>
      <c r="S526" s="257" t="s">
        <v>16</v>
      </c>
      <c r="T526" s="257" t="s">
        <v>330</v>
      </c>
      <c r="U526" s="257" t="s">
        <v>250</v>
      </c>
      <c r="V526" s="257" t="s">
        <v>283</v>
      </c>
      <c r="W526" s="258" t="s">
        <v>283</v>
      </c>
      <c r="X526" s="258" t="s">
        <v>283</v>
      </c>
      <c r="Y526" s="259" t="s">
        <v>283</v>
      </c>
    </row>
    <row r="527" spans="1:25">
      <c r="A527" s="253">
        <v>10</v>
      </c>
      <c r="B527" s="254" t="str">
        <f>VLOOKUP(Tabel10[[#This Row],[Code]],Ruimtegroepen[[Code]:[Ruimte omschrijving]],2,FALSE)</f>
        <v>Trappenhuizen/lift</v>
      </c>
      <c r="C527" s="255" t="s">
        <v>723</v>
      </c>
      <c r="D527" s="254" t="s">
        <v>12</v>
      </c>
      <c r="E527" s="255" t="s">
        <v>99</v>
      </c>
      <c r="F527" s="255" t="s">
        <v>725</v>
      </c>
      <c r="G527" s="260" t="s">
        <v>283</v>
      </c>
      <c r="H527" s="256" t="s">
        <v>18</v>
      </c>
      <c r="I527" s="256" t="s">
        <v>283</v>
      </c>
      <c r="J527" s="256" t="s">
        <v>283</v>
      </c>
      <c r="K527" s="256" t="s">
        <v>283</v>
      </c>
      <c r="L527" s="256" t="s">
        <v>283</v>
      </c>
      <c r="M527" s="256" t="s">
        <v>283</v>
      </c>
      <c r="N527" s="256" t="s">
        <v>283</v>
      </c>
      <c r="O527" s="257" t="s">
        <v>18</v>
      </c>
      <c r="P527" s="257" t="s">
        <v>18</v>
      </c>
      <c r="Q527" s="257" t="s">
        <v>15</v>
      </c>
      <c r="R527" s="257" t="s">
        <v>15</v>
      </c>
      <c r="S527" s="257" t="s">
        <v>16</v>
      </c>
      <c r="T527" s="257" t="s">
        <v>330</v>
      </c>
      <c r="U527" s="257" t="s">
        <v>250</v>
      </c>
      <c r="V527" s="257" t="s">
        <v>283</v>
      </c>
      <c r="W527" s="258" t="s">
        <v>283</v>
      </c>
      <c r="X527" s="258" t="s">
        <v>283</v>
      </c>
      <c r="Y527" s="259" t="s">
        <v>283</v>
      </c>
    </row>
    <row r="528" spans="1:25">
      <c r="A528" s="253">
        <v>10</v>
      </c>
      <c r="B528" s="254" t="str">
        <f>VLOOKUP(Tabel10[[#This Row],[Code]],Ruimtegroepen[[Code]:[Ruimte omschrijving]],2,FALSE)</f>
        <v>Trappenhuizen/lift</v>
      </c>
      <c r="C528" s="255" t="s">
        <v>723</v>
      </c>
      <c r="D528" s="254" t="s">
        <v>12</v>
      </c>
      <c r="E528" s="255" t="s">
        <v>101</v>
      </c>
      <c r="F528" s="255" t="s">
        <v>726</v>
      </c>
      <c r="G528" s="260" t="s">
        <v>283</v>
      </c>
      <c r="H528" s="256" t="s">
        <v>283</v>
      </c>
      <c r="I528" s="256" t="s">
        <v>17</v>
      </c>
      <c r="J528" s="256" t="s">
        <v>15</v>
      </c>
      <c r="K528" s="256" t="s">
        <v>284</v>
      </c>
      <c r="L528" s="256" t="s">
        <v>283</v>
      </c>
      <c r="M528" s="256" t="s">
        <v>283</v>
      </c>
      <c r="N528" s="256" t="s">
        <v>283</v>
      </c>
      <c r="O528" s="257" t="s">
        <v>18</v>
      </c>
      <c r="P528" s="257" t="s">
        <v>18</v>
      </c>
      <c r="Q528" s="257" t="s">
        <v>15</v>
      </c>
      <c r="R528" s="257" t="s">
        <v>15</v>
      </c>
      <c r="S528" s="257" t="s">
        <v>16</v>
      </c>
      <c r="T528" s="257" t="s">
        <v>330</v>
      </c>
      <c r="U528" s="257" t="s">
        <v>250</v>
      </c>
      <c r="V528" s="257" t="s">
        <v>283</v>
      </c>
      <c r="W528" s="258" t="s">
        <v>283</v>
      </c>
      <c r="X528" s="258" t="s">
        <v>283</v>
      </c>
      <c r="Y528" s="259" t="s">
        <v>283</v>
      </c>
    </row>
    <row r="529" spans="1:25">
      <c r="A529" s="253">
        <v>10</v>
      </c>
      <c r="B529" s="254" t="str">
        <f>VLOOKUP(Tabel10[[#This Row],[Code]],Ruimtegroepen[[Code]:[Ruimte omschrijving]],2,FALSE)</f>
        <v>Trappenhuizen/lift</v>
      </c>
      <c r="C529" s="255" t="s">
        <v>723</v>
      </c>
      <c r="D529" s="254" t="s">
        <v>12</v>
      </c>
      <c r="E529" s="255" t="s">
        <v>102</v>
      </c>
      <c r="F529" s="255" t="s">
        <v>727</v>
      </c>
      <c r="G529" s="260" t="s">
        <v>283</v>
      </c>
      <c r="H529" s="256" t="s">
        <v>283</v>
      </c>
      <c r="I529" s="256" t="s">
        <v>17</v>
      </c>
      <c r="J529" s="256" t="s">
        <v>15</v>
      </c>
      <c r="K529" s="256" t="s">
        <v>284</v>
      </c>
      <c r="L529" s="256" t="s">
        <v>283</v>
      </c>
      <c r="M529" s="256" t="s">
        <v>283</v>
      </c>
      <c r="N529" s="256" t="s">
        <v>283</v>
      </c>
      <c r="O529" s="257" t="s">
        <v>18</v>
      </c>
      <c r="P529" s="257" t="s">
        <v>18</v>
      </c>
      <c r="Q529" s="257" t="s">
        <v>15</v>
      </c>
      <c r="R529" s="257" t="s">
        <v>15</v>
      </c>
      <c r="S529" s="257" t="s">
        <v>16</v>
      </c>
      <c r="T529" s="257" t="s">
        <v>330</v>
      </c>
      <c r="U529" s="257" t="s">
        <v>250</v>
      </c>
      <c r="V529" s="257" t="s">
        <v>283</v>
      </c>
      <c r="W529" s="258" t="s">
        <v>283</v>
      </c>
      <c r="X529" s="258" t="s">
        <v>283</v>
      </c>
      <c r="Y529" s="259" t="s">
        <v>283</v>
      </c>
    </row>
    <row r="530" spans="1:25">
      <c r="A530" s="253">
        <v>10</v>
      </c>
      <c r="B530" s="254" t="str">
        <f>VLOOKUP(Tabel10[[#This Row],[Code]],Ruimtegroepen[[Code]:[Ruimte omschrijving]],2,FALSE)</f>
        <v>Trappenhuizen/lift</v>
      </c>
      <c r="C530" s="255" t="s">
        <v>723</v>
      </c>
      <c r="D530" s="254" t="s">
        <v>12</v>
      </c>
      <c r="E530" s="255" t="s">
        <v>99</v>
      </c>
      <c r="F530" s="255" t="s">
        <v>725</v>
      </c>
      <c r="G530" s="260" t="s">
        <v>283</v>
      </c>
      <c r="H530" s="256" t="s">
        <v>18</v>
      </c>
      <c r="I530" s="256" t="s">
        <v>283</v>
      </c>
      <c r="J530" s="256" t="s">
        <v>283</v>
      </c>
      <c r="K530" s="256" t="s">
        <v>283</v>
      </c>
      <c r="L530" s="256" t="s">
        <v>283</v>
      </c>
      <c r="M530" s="256" t="s">
        <v>283</v>
      </c>
      <c r="N530" s="256" t="s">
        <v>283</v>
      </c>
      <c r="O530" s="257" t="s">
        <v>18</v>
      </c>
      <c r="P530" s="257" t="s">
        <v>18</v>
      </c>
      <c r="Q530" s="257" t="s">
        <v>15</v>
      </c>
      <c r="R530" s="257" t="s">
        <v>15</v>
      </c>
      <c r="S530" s="257" t="s">
        <v>16</v>
      </c>
      <c r="T530" s="257" t="s">
        <v>330</v>
      </c>
      <c r="U530" s="257" t="s">
        <v>250</v>
      </c>
      <c r="V530" s="257" t="s">
        <v>283</v>
      </c>
      <c r="W530" s="258" t="s">
        <v>283</v>
      </c>
      <c r="X530" s="258" t="s">
        <v>283</v>
      </c>
      <c r="Y530" s="259" t="s">
        <v>283</v>
      </c>
    </row>
    <row r="531" spans="1:25">
      <c r="A531" s="253">
        <v>10</v>
      </c>
      <c r="B531" s="254" t="str">
        <f>VLOOKUP(Tabel10[[#This Row],[Code]],Ruimtegroepen[[Code]:[Ruimte omschrijving]],2,FALSE)</f>
        <v>Trappenhuizen/lift</v>
      </c>
      <c r="C531" s="255" t="s">
        <v>723</v>
      </c>
      <c r="D531" s="254" t="s">
        <v>12</v>
      </c>
      <c r="E531" s="255" t="s">
        <v>1312</v>
      </c>
      <c r="F531" s="255" t="s">
        <v>1435</v>
      </c>
      <c r="G531" s="260" t="s">
        <v>283</v>
      </c>
      <c r="H531" s="256" t="s">
        <v>283</v>
      </c>
      <c r="I531" s="256" t="s">
        <v>17</v>
      </c>
      <c r="J531" s="256" t="s">
        <v>15</v>
      </c>
      <c r="K531" s="256" t="s">
        <v>284</v>
      </c>
      <c r="L531" s="256" t="s">
        <v>283</v>
      </c>
      <c r="M531" s="256" t="s">
        <v>283</v>
      </c>
      <c r="N531" s="256" t="s">
        <v>283</v>
      </c>
      <c r="O531" s="257" t="s">
        <v>18</v>
      </c>
      <c r="P531" s="257" t="s">
        <v>18</v>
      </c>
      <c r="Q531" s="257" t="s">
        <v>15</v>
      </c>
      <c r="R531" s="257" t="s">
        <v>15</v>
      </c>
      <c r="S531" s="257" t="s">
        <v>16</v>
      </c>
      <c r="T531" s="257" t="s">
        <v>330</v>
      </c>
      <c r="U531" s="257" t="s">
        <v>250</v>
      </c>
      <c r="V531" s="257" t="s">
        <v>283</v>
      </c>
      <c r="W531" s="258" t="s">
        <v>283</v>
      </c>
      <c r="X531" s="258" t="s">
        <v>283</v>
      </c>
      <c r="Y531" s="259" t="s">
        <v>283</v>
      </c>
    </row>
    <row r="532" spans="1:25">
      <c r="A532" s="253">
        <v>10</v>
      </c>
      <c r="B532" s="254" t="str">
        <f>VLOOKUP(Tabel10[[#This Row],[Code]],Ruimtegroepen[[Code]:[Ruimte omschrijving]],2,FALSE)</f>
        <v>Trappenhuizen/lift</v>
      </c>
      <c r="C532" s="255" t="s">
        <v>728</v>
      </c>
      <c r="D532" s="254" t="s">
        <v>14</v>
      </c>
      <c r="E532" s="255" t="s">
        <v>100</v>
      </c>
      <c r="F532" s="255" t="s">
        <v>729</v>
      </c>
      <c r="G532" s="260" t="s">
        <v>283</v>
      </c>
      <c r="H532" s="256" t="s">
        <v>283</v>
      </c>
      <c r="I532" s="256" t="s">
        <v>15</v>
      </c>
      <c r="J532" s="256" t="s">
        <v>15</v>
      </c>
      <c r="K532" s="256" t="s">
        <v>283</v>
      </c>
      <c r="L532" s="256" t="s">
        <v>283</v>
      </c>
      <c r="M532" s="256" t="s">
        <v>283</v>
      </c>
      <c r="N532" s="256" t="s">
        <v>283</v>
      </c>
      <c r="O532" s="257" t="s">
        <v>17</v>
      </c>
      <c r="P532" s="257" t="s">
        <v>17</v>
      </c>
      <c r="Q532" s="257" t="s">
        <v>15</v>
      </c>
      <c r="R532" s="257" t="s">
        <v>15</v>
      </c>
      <c r="S532" s="257" t="s">
        <v>16</v>
      </c>
      <c r="T532" s="257" t="s">
        <v>330</v>
      </c>
      <c r="U532" s="257" t="s">
        <v>250</v>
      </c>
      <c r="V532" s="257" t="s">
        <v>283</v>
      </c>
      <c r="W532" s="258" t="s">
        <v>283</v>
      </c>
      <c r="X532" s="258" t="s">
        <v>283</v>
      </c>
      <c r="Y532" s="259" t="s">
        <v>283</v>
      </c>
    </row>
    <row r="533" spans="1:25">
      <c r="A533" s="253">
        <v>10</v>
      </c>
      <c r="B533" s="254" t="str">
        <f>VLOOKUP(Tabel10[[#This Row],[Code]],Ruimtegroepen[[Code]:[Ruimte omschrijving]],2,FALSE)</f>
        <v>Trappenhuizen/lift</v>
      </c>
      <c r="C533" s="255" t="s">
        <v>728</v>
      </c>
      <c r="D533" s="254" t="s">
        <v>14</v>
      </c>
      <c r="E533" s="255" t="s">
        <v>99</v>
      </c>
      <c r="F533" s="255" t="s">
        <v>730</v>
      </c>
      <c r="G533" s="260" t="s">
        <v>283</v>
      </c>
      <c r="H533" s="256" t="s">
        <v>17</v>
      </c>
      <c r="I533" s="256" t="s">
        <v>283</v>
      </c>
      <c r="J533" s="256" t="s">
        <v>283</v>
      </c>
      <c r="K533" s="256" t="s">
        <v>283</v>
      </c>
      <c r="L533" s="256" t="s">
        <v>283</v>
      </c>
      <c r="M533" s="256" t="s">
        <v>283</v>
      </c>
      <c r="N533" s="256" t="s">
        <v>283</v>
      </c>
      <c r="O533" s="257" t="s">
        <v>17</v>
      </c>
      <c r="P533" s="257" t="s">
        <v>17</v>
      </c>
      <c r="Q533" s="257" t="s">
        <v>15</v>
      </c>
      <c r="R533" s="257" t="s">
        <v>15</v>
      </c>
      <c r="S533" s="257" t="s">
        <v>16</v>
      </c>
      <c r="T533" s="257" t="s">
        <v>330</v>
      </c>
      <c r="U533" s="257" t="s">
        <v>250</v>
      </c>
      <c r="V533" s="257" t="s">
        <v>283</v>
      </c>
      <c r="W533" s="258" t="s">
        <v>283</v>
      </c>
      <c r="X533" s="258" t="s">
        <v>283</v>
      </c>
      <c r="Y533" s="259" t="s">
        <v>283</v>
      </c>
    </row>
    <row r="534" spans="1:25">
      <c r="A534" s="253">
        <v>10</v>
      </c>
      <c r="B534" s="254" t="str">
        <f>VLOOKUP(Tabel10[[#This Row],[Code]],Ruimtegroepen[[Code]:[Ruimte omschrijving]],2,FALSE)</f>
        <v>Trappenhuizen/lift</v>
      </c>
      <c r="C534" s="255" t="s">
        <v>728</v>
      </c>
      <c r="D534" s="254" t="s">
        <v>14</v>
      </c>
      <c r="E534" s="255" t="s">
        <v>101</v>
      </c>
      <c r="F534" s="255" t="s">
        <v>731</v>
      </c>
      <c r="G534" s="260" t="s">
        <v>283</v>
      </c>
      <c r="H534" s="256" t="s">
        <v>283</v>
      </c>
      <c r="I534" s="256" t="s">
        <v>15</v>
      </c>
      <c r="J534" s="256" t="s">
        <v>15</v>
      </c>
      <c r="K534" s="256" t="s">
        <v>284</v>
      </c>
      <c r="L534" s="256" t="s">
        <v>283</v>
      </c>
      <c r="M534" s="256" t="s">
        <v>283</v>
      </c>
      <c r="N534" s="256" t="s">
        <v>283</v>
      </c>
      <c r="O534" s="257" t="s">
        <v>17</v>
      </c>
      <c r="P534" s="257" t="s">
        <v>17</v>
      </c>
      <c r="Q534" s="257" t="s">
        <v>15</v>
      </c>
      <c r="R534" s="257" t="s">
        <v>15</v>
      </c>
      <c r="S534" s="257" t="s">
        <v>16</v>
      </c>
      <c r="T534" s="257" t="s">
        <v>330</v>
      </c>
      <c r="U534" s="257" t="s">
        <v>250</v>
      </c>
      <c r="V534" s="257" t="s">
        <v>283</v>
      </c>
      <c r="W534" s="258" t="s">
        <v>283</v>
      </c>
      <c r="X534" s="258" t="s">
        <v>283</v>
      </c>
      <c r="Y534" s="259" t="s">
        <v>283</v>
      </c>
    </row>
    <row r="535" spans="1:25">
      <c r="A535" s="253">
        <v>10</v>
      </c>
      <c r="B535" s="254" t="str">
        <f>VLOOKUP(Tabel10[[#This Row],[Code]],Ruimtegroepen[[Code]:[Ruimte omschrijving]],2,FALSE)</f>
        <v>Trappenhuizen/lift</v>
      </c>
      <c r="C535" s="255" t="s">
        <v>728</v>
      </c>
      <c r="D535" s="254" t="s">
        <v>14</v>
      </c>
      <c r="E535" s="255" t="s">
        <v>102</v>
      </c>
      <c r="F535" s="255" t="s">
        <v>732</v>
      </c>
      <c r="G535" s="260" t="s">
        <v>283</v>
      </c>
      <c r="H535" s="256" t="s">
        <v>283</v>
      </c>
      <c r="I535" s="256" t="s">
        <v>15</v>
      </c>
      <c r="J535" s="256" t="s">
        <v>15</v>
      </c>
      <c r="K535" s="256" t="s">
        <v>284</v>
      </c>
      <c r="L535" s="256" t="s">
        <v>283</v>
      </c>
      <c r="M535" s="256" t="s">
        <v>283</v>
      </c>
      <c r="N535" s="256" t="s">
        <v>283</v>
      </c>
      <c r="O535" s="257" t="s">
        <v>17</v>
      </c>
      <c r="P535" s="257" t="s">
        <v>17</v>
      </c>
      <c r="Q535" s="257" t="s">
        <v>15</v>
      </c>
      <c r="R535" s="257" t="s">
        <v>15</v>
      </c>
      <c r="S535" s="257" t="s">
        <v>16</v>
      </c>
      <c r="T535" s="257" t="s">
        <v>330</v>
      </c>
      <c r="U535" s="257" t="s">
        <v>250</v>
      </c>
      <c r="V535" s="257" t="s">
        <v>283</v>
      </c>
      <c r="W535" s="258" t="s">
        <v>283</v>
      </c>
      <c r="X535" s="258" t="s">
        <v>283</v>
      </c>
      <c r="Y535" s="259" t="s">
        <v>283</v>
      </c>
    </row>
    <row r="536" spans="1:25">
      <c r="A536" s="253">
        <v>10</v>
      </c>
      <c r="B536" s="254" t="str">
        <f>VLOOKUP(Tabel10[[#This Row],[Code]],Ruimtegroepen[[Code]:[Ruimte omschrijving]],2,FALSE)</f>
        <v>Trappenhuizen/lift</v>
      </c>
      <c r="C536" s="255" t="s">
        <v>728</v>
      </c>
      <c r="D536" s="254" t="s">
        <v>14</v>
      </c>
      <c r="E536" s="255" t="s">
        <v>99</v>
      </c>
      <c r="F536" s="255" t="s">
        <v>730</v>
      </c>
      <c r="G536" s="260" t="s">
        <v>283</v>
      </c>
      <c r="H536" s="256" t="s">
        <v>17</v>
      </c>
      <c r="I536" s="256" t="s">
        <v>283</v>
      </c>
      <c r="J536" s="256" t="s">
        <v>283</v>
      </c>
      <c r="K536" s="256" t="s">
        <v>283</v>
      </c>
      <c r="L536" s="256" t="s">
        <v>283</v>
      </c>
      <c r="M536" s="256" t="s">
        <v>283</v>
      </c>
      <c r="N536" s="256" t="s">
        <v>283</v>
      </c>
      <c r="O536" s="257" t="s">
        <v>17</v>
      </c>
      <c r="P536" s="257" t="s">
        <v>17</v>
      </c>
      <c r="Q536" s="257" t="s">
        <v>15</v>
      </c>
      <c r="R536" s="257" t="s">
        <v>15</v>
      </c>
      <c r="S536" s="257" t="s">
        <v>16</v>
      </c>
      <c r="T536" s="257" t="s">
        <v>330</v>
      </c>
      <c r="U536" s="257" t="s">
        <v>250</v>
      </c>
      <c r="V536" s="257" t="s">
        <v>283</v>
      </c>
      <c r="W536" s="258" t="s">
        <v>283</v>
      </c>
      <c r="X536" s="258" t="s">
        <v>283</v>
      </c>
      <c r="Y536" s="259" t="s">
        <v>283</v>
      </c>
    </row>
    <row r="537" spans="1:25">
      <c r="A537" s="253">
        <v>10</v>
      </c>
      <c r="B537" s="254" t="str">
        <f>VLOOKUP(Tabel10[[#This Row],[Code]],Ruimtegroepen[[Code]:[Ruimte omschrijving]],2,FALSE)</f>
        <v>Trappenhuizen/lift</v>
      </c>
      <c r="C537" s="255" t="s">
        <v>728</v>
      </c>
      <c r="D537" s="254" t="s">
        <v>14</v>
      </c>
      <c r="E537" s="255" t="s">
        <v>1312</v>
      </c>
      <c r="F537" s="255" t="s">
        <v>1402</v>
      </c>
      <c r="G537" s="260" t="s">
        <v>283</v>
      </c>
      <c r="H537" s="256" t="s">
        <v>283</v>
      </c>
      <c r="I537" s="256" t="s">
        <v>15</v>
      </c>
      <c r="J537" s="256" t="s">
        <v>15</v>
      </c>
      <c r="K537" s="256" t="s">
        <v>284</v>
      </c>
      <c r="L537" s="256" t="s">
        <v>283</v>
      </c>
      <c r="M537" s="256" t="s">
        <v>283</v>
      </c>
      <c r="N537" s="256" t="s">
        <v>283</v>
      </c>
      <c r="O537" s="257" t="s">
        <v>17</v>
      </c>
      <c r="P537" s="257" t="s">
        <v>17</v>
      </c>
      <c r="Q537" s="257" t="s">
        <v>15</v>
      </c>
      <c r="R537" s="257" t="s">
        <v>15</v>
      </c>
      <c r="S537" s="257" t="s">
        <v>16</v>
      </c>
      <c r="T537" s="257" t="s">
        <v>330</v>
      </c>
      <c r="U537" s="257" t="s">
        <v>250</v>
      </c>
      <c r="V537" s="257" t="s">
        <v>283</v>
      </c>
      <c r="W537" s="258" t="s">
        <v>283</v>
      </c>
      <c r="X537" s="258" t="s">
        <v>283</v>
      </c>
      <c r="Y537" s="259" t="s">
        <v>283</v>
      </c>
    </row>
    <row r="538" spans="1:25">
      <c r="A538" s="253">
        <v>10</v>
      </c>
      <c r="B538" s="254" t="str">
        <f>VLOOKUP(Tabel10[[#This Row],[Code]],Ruimtegroepen[[Code]:[Ruimte omschrijving]],2,FALSE)</f>
        <v>Trappenhuizen/lift</v>
      </c>
      <c r="C538" s="255" t="s">
        <v>733</v>
      </c>
      <c r="D538" s="254" t="s">
        <v>13</v>
      </c>
      <c r="E538" s="255" t="s">
        <v>100</v>
      </c>
      <c r="F538" s="255" t="s">
        <v>734</v>
      </c>
      <c r="G538" s="260" t="s">
        <v>283</v>
      </c>
      <c r="H538" s="256" t="s">
        <v>283</v>
      </c>
      <c r="I538" s="256" t="s">
        <v>283</v>
      </c>
      <c r="J538" s="256" t="s">
        <v>15</v>
      </c>
      <c r="K538" s="256" t="s">
        <v>283</v>
      </c>
      <c r="L538" s="256" t="s">
        <v>283</v>
      </c>
      <c r="M538" s="256" t="s">
        <v>283</v>
      </c>
      <c r="N538" s="256" t="s">
        <v>283</v>
      </c>
      <c r="O538" s="257" t="s">
        <v>15</v>
      </c>
      <c r="P538" s="257" t="s">
        <v>15</v>
      </c>
      <c r="Q538" s="257" t="s">
        <v>15</v>
      </c>
      <c r="R538" s="257" t="s">
        <v>15</v>
      </c>
      <c r="S538" s="257" t="s">
        <v>16</v>
      </c>
      <c r="T538" s="257" t="s">
        <v>330</v>
      </c>
      <c r="U538" s="257" t="s">
        <v>250</v>
      </c>
      <c r="V538" s="257" t="s">
        <v>283</v>
      </c>
      <c r="W538" s="258" t="s">
        <v>283</v>
      </c>
      <c r="X538" s="258" t="s">
        <v>283</v>
      </c>
      <c r="Y538" s="259" t="s">
        <v>283</v>
      </c>
    </row>
    <row r="539" spans="1:25">
      <c r="A539" s="253">
        <v>10</v>
      </c>
      <c r="B539" s="254" t="str">
        <f>VLOOKUP(Tabel10[[#This Row],[Code]],Ruimtegroepen[[Code]:[Ruimte omschrijving]],2,FALSE)</f>
        <v>Trappenhuizen/lift</v>
      </c>
      <c r="C539" s="255" t="s">
        <v>733</v>
      </c>
      <c r="D539" s="254" t="s">
        <v>13</v>
      </c>
      <c r="E539" s="255" t="s">
        <v>99</v>
      </c>
      <c r="F539" s="255" t="s">
        <v>735</v>
      </c>
      <c r="G539" s="260" t="s">
        <v>283</v>
      </c>
      <c r="H539" s="256" t="s">
        <v>15</v>
      </c>
      <c r="I539" s="256" t="s">
        <v>283</v>
      </c>
      <c r="J539" s="256" t="s">
        <v>283</v>
      </c>
      <c r="K539" s="256" t="s">
        <v>283</v>
      </c>
      <c r="L539" s="256" t="s">
        <v>283</v>
      </c>
      <c r="M539" s="256" t="s">
        <v>283</v>
      </c>
      <c r="N539" s="256" t="s">
        <v>283</v>
      </c>
      <c r="O539" s="257" t="s">
        <v>15</v>
      </c>
      <c r="P539" s="257" t="s">
        <v>15</v>
      </c>
      <c r="Q539" s="257" t="s">
        <v>15</v>
      </c>
      <c r="R539" s="257" t="s">
        <v>15</v>
      </c>
      <c r="S539" s="257" t="s">
        <v>16</v>
      </c>
      <c r="T539" s="257" t="s">
        <v>330</v>
      </c>
      <c r="U539" s="257" t="s">
        <v>250</v>
      </c>
      <c r="V539" s="257" t="s">
        <v>283</v>
      </c>
      <c r="W539" s="258" t="s">
        <v>283</v>
      </c>
      <c r="X539" s="258" t="s">
        <v>283</v>
      </c>
      <c r="Y539" s="259" t="s">
        <v>283</v>
      </c>
    </row>
    <row r="540" spans="1:25">
      <c r="A540" s="253">
        <v>10</v>
      </c>
      <c r="B540" s="254" t="str">
        <f>VLOOKUP(Tabel10[[#This Row],[Code]],Ruimtegroepen[[Code]:[Ruimte omschrijving]],2,FALSE)</f>
        <v>Trappenhuizen/lift</v>
      </c>
      <c r="C540" s="255" t="s">
        <v>733</v>
      </c>
      <c r="D540" s="254" t="s">
        <v>13</v>
      </c>
      <c r="E540" s="255" t="s">
        <v>101</v>
      </c>
      <c r="F540" s="255" t="s">
        <v>736</v>
      </c>
      <c r="G540" s="260" t="s">
        <v>283</v>
      </c>
      <c r="H540" s="256" t="s">
        <v>283</v>
      </c>
      <c r="I540" s="256" t="s">
        <v>283</v>
      </c>
      <c r="J540" s="256" t="s">
        <v>15</v>
      </c>
      <c r="K540" s="256" t="s">
        <v>284</v>
      </c>
      <c r="L540" s="256" t="s">
        <v>283</v>
      </c>
      <c r="M540" s="256" t="s">
        <v>283</v>
      </c>
      <c r="N540" s="256" t="s">
        <v>283</v>
      </c>
      <c r="O540" s="257" t="s">
        <v>15</v>
      </c>
      <c r="P540" s="257" t="s">
        <v>15</v>
      </c>
      <c r="Q540" s="257" t="s">
        <v>15</v>
      </c>
      <c r="R540" s="257" t="s">
        <v>15</v>
      </c>
      <c r="S540" s="257" t="s">
        <v>16</v>
      </c>
      <c r="T540" s="257" t="s">
        <v>330</v>
      </c>
      <c r="U540" s="257" t="s">
        <v>250</v>
      </c>
      <c r="V540" s="257" t="s">
        <v>283</v>
      </c>
      <c r="W540" s="258" t="s">
        <v>283</v>
      </c>
      <c r="X540" s="258" t="s">
        <v>283</v>
      </c>
      <c r="Y540" s="259" t="s">
        <v>283</v>
      </c>
    </row>
    <row r="541" spans="1:25">
      <c r="A541" s="253">
        <v>10</v>
      </c>
      <c r="B541" s="254" t="str">
        <f>VLOOKUP(Tabel10[[#This Row],[Code]],Ruimtegroepen[[Code]:[Ruimte omschrijving]],2,FALSE)</f>
        <v>Trappenhuizen/lift</v>
      </c>
      <c r="C541" s="255" t="s">
        <v>733</v>
      </c>
      <c r="D541" s="254" t="s">
        <v>13</v>
      </c>
      <c r="E541" s="255" t="s">
        <v>102</v>
      </c>
      <c r="F541" s="255" t="s">
        <v>737</v>
      </c>
      <c r="G541" s="260" t="s">
        <v>283</v>
      </c>
      <c r="H541" s="256" t="s">
        <v>283</v>
      </c>
      <c r="I541" s="256" t="s">
        <v>283</v>
      </c>
      <c r="J541" s="256" t="s">
        <v>15</v>
      </c>
      <c r="K541" s="256" t="s">
        <v>284</v>
      </c>
      <c r="L541" s="256" t="s">
        <v>283</v>
      </c>
      <c r="M541" s="256" t="s">
        <v>283</v>
      </c>
      <c r="N541" s="256" t="s">
        <v>283</v>
      </c>
      <c r="O541" s="257" t="s">
        <v>15</v>
      </c>
      <c r="P541" s="257" t="s">
        <v>15</v>
      </c>
      <c r="Q541" s="257" t="s">
        <v>15</v>
      </c>
      <c r="R541" s="257" t="s">
        <v>15</v>
      </c>
      <c r="S541" s="257" t="s">
        <v>16</v>
      </c>
      <c r="T541" s="257" t="s">
        <v>330</v>
      </c>
      <c r="U541" s="257" t="s">
        <v>250</v>
      </c>
      <c r="V541" s="257" t="s">
        <v>283</v>
      </c>
      <c r="W541" s="258" t="s">
        <v>283</v>
      </c>
      <c r="X541" s="258" t="s">
        <v>283</v>
      </c>
      <c r="Y541" s="259" t="s">
        <v>283</v>
      </c>
    </row>
    <row r="542" spans="1:25">
      <c r="A542" s="253">
        <v>10</v>
      </c>
      <c r="B542" s="254" t="str">
        <f>VLOOKUP(Tabel10[[#This Row],[Code]],Ruimtegroepen[[Code]:[Ruimte omschrijving]],2,FALSE)</f>
        <v>Trappenhuizen/lift</v>
      </c>
      <c r="C542" s="255" t="s">
        <v>733</v>
      </c>
      <c r="D542" s="254" t="s">
        <v>13</v>
      </c>
      <c r="E542" s="255" t="s">
        <v>99</v>
      </c>
      <c r="F542" s="255" t="s">
        <v>735</v>
      </c>
      <c r="G542" s="260" t="s">
        <v>283</v>
      </c>
      <c r="H542" s="256" t="s">
        <v>15</v>
      </c>
      <c r="I542" s="256" t="s">
        <v>283</v>
      </c>
      <c r="J542" s="256" t="s">
        <v>283</v>
      </c>
      <c r="K542" s="256" t="s">
        <v>283</v>
      </c>
      <c r="L542" s="256" t="s">
        <v>283</v>
      </c>
      <c r="M542" s="256" t="s">
        <v>283</v>
      </c>
      <c r="N542" s="256" t="s">
        <v>283</v>
      </c>
      <c r="O542" s="257" t="s">
        <v>15</v>
      </c>
      <c r="P542" s="257" t="s">
        <v>15</v>
      </c>
      <c r="Q542" s="257" t="s">
        <v>15</v>
      </c>
      <c r="R542" s="257" t="s">
        <v>15</v>
      </c>
      <c r="S542" s="257" t="s">
        <v>16</v>
      </c>
      <c r="T542" s="257" t="s">
        <v>330</v>
      </c>
      <c r="U542" s="257" t="s">
        <v>250</v>
      </c>
      <c r="V542" s="257" t="s">
        <v>283</v>
      </c>
      <c r="W542" s="258" t="s">
        <v>283</v>
      </c>
      <c r="X542" s="258" t="s">
        <v>283</v>
      </c>
      <c r="Y542" s="259" t="s">
        <v>283</v>
      </c>
    </row>
    <row r="543" spans="1:25">
      <c r="A543" s="253">
        <v>10</v>
      </c>
      <c r="B543" s="254" t="str">
        <f>VLOOKUP(Tabel10[[#This Row],[Code]],Ruimtegroepen[[Code]:[Ruimte omschrijving]],2,FALSE)</f>
        <v>Trappenhuizen/lift</v>
      </c>
      <c r="C543" s="255" t="s">
        <v>733</v>
      </c>
      <c r="D543" s="254" t="s">
        <v>13</v>
      </c>
      <c r="E543" s="255" t="s">
        <v>1312</v>
      </c>
      <c r="F543" s="255" t="s">
        <v>1369</v>
      </c>
      <c r="G543" s="260" t="s">
        <v>283</v>
      </c>
      <c r="H543" s="256" t="s">
        <v>283</v>
      </c>
      <c r="I543" s="256" t="s">
        <v>283</v>
      </c>
      <c r="J543" s="256" t="s">
        <v>15</v>
      </c>
      <c r="K543" s="256" t="s">
        <v>284</v>
      </c>
      <c r="L543" s="256" t="s">
        <v>283</v>
      </c>
      <c r="M543" s="256" t="s">
        <v>283</v>
      </c>
      <c r="N543" s="256" t="s">
        <v>283</v>
      </c>
      <c r="O543" s="257" t="s">
        <v>15</v>
      </c>
      <c r="P543" s="257" t="s">
        <v>15</v>
      </c>
      <c r="Q543" s="257" t="s">
        <v>15</v>
      </c>
      <c r="R543" s="257" t="s">
        <v>15</v>
      </c>
      <c r="S543" s="257" t="s">
        <v>16</v>
      </c>
      <c r="T543" s="257" t="s">
        <v>330</v>
      </c>
      <c r="U543" s="257" t="s">
        <v>250</v>
      </c>
      <c r="V543" s="257" t="s">
        <v>283</v>
      </c>
      <c r="W543" s="258" t="s">
        <v>283</v>
      </c>
      <c r="X543" s="258" t="s">
        <v>283</v>
      </c>
      <c r="Y543" s="259" t="s">
        <v>283</v>
      </c>
    </row>
    <row r="544" spans="1:25">
      <c r="A544" s="253">
        <v>10</v>
      </c>
      <c r="B544" s="254" t="str">
        <f>VLOOKUP(Tabel10[[#This Row],[Code]],Ruimtegroepen[[Code]:[Ruimte omschrijving]],2,FALSE)</f>
        <v>Trappenhuizen/lift</v>
      </c>
      <c r="C544" s="255" t="s">
        <v>738</v>
      </c>
      <c r="D544" s="254" t="s">
        <v>0</v>
      </c>
      <c r="E544" s="255" t="s">
        <v>100</v>
      </c>
      <c r="F544" s="255" t="s">
        <v>739</v>
      </c>
      <c r="G544" s="260" t="s">
        <v>283</v>
      </c>
      <c r="H544" s="256" t="s">
        <v>283</v>
      </c>
      <c r="I544" s="256" t="s">
        <v>283</v>
      </c>
      <c r="J544" s="256" t="s">
        <v>16</v>
      </c>
      <c r="K544" s="256" t="s">
        <v>283</v>
      </c>
      <c r="L544" s="256" t="s">
        <v>283</v>
      </c>
      <c r="M544" s="256" t="s">
        <v>283</v>
      </c>
      <c r="N544" s="256" t="s">
        <v>283</v>
      </c>
      <c r="O544" s="257" t="s">
        <v>16</v>
      </c>
      <c r="P544" s="257" t="s">
        <v>16</v>
      </c>
      <c r="Q544" s="257" t="s">
        <v>16</v>
      </c>
      <c r="R544" s="257" t="s">
        <v>16</v>
      </c>
      <c r="S544" s="257" t="s">
        <v>16</v>
      </c>
      <c r="T544" s="257" t="s">
        <v>330</v>
      </c>
      <c r="U544" s="257" t="s">
        <v>250</v>
      </c>
      <c r="V544" s="257" t="s">
        <v>283</v>
      </c>
      <c r="W544" s="258" t="s">
        <v>283</v>
      </c>
      <c r="X544" s="258" t="s">
        <v>283</v>
      </c>
      <c r="Y544" s="259" t="s">
        <v>283</v>
      </c>
    </row>
    <row r="545" spans="1:25">
      <c r="A545" s="253">
        <v>10</v>
      </c>
      <c r="B545" s="254" t="str">
        <f>VLOOKUP(Tabel10[[#This Row],[Code]],Ruimtegroepen[[Code]:[Ruimte omschrijving]],2,FALSE)</f>
        <v>Trappenhuizen/lift</v>
      </c>
      <c r="C545" s="255" t="s">
        <v>738</v>
      </c>
      <c r="D545" s="254" t="s">
        <v>0</v>
      </c>
      <c r="E545" s="255" t="s">
        <v>99</v>
      </c>
      <c r="F545" s="255" t="s">
        <v>740</v>
      </c>
      <c r="G545" s="260" t="s">
        <v>283</v>
      </c>
      <c r="H545" s="256" t="s">
        <v>16</v>
      </c>
      <c r="I545" s="256" t="s">
        <v>283</v>
      </c>
      <c r="J545" s="256" t="s">
        <v>283</v>
      </c>
      <c r="K545" s="256" t="s">
        <v>283</v>
      </c>
      <c r="L545" s="256" t="s">
        <v>283</v>
      </c>
      <c r="M545" s="256" t="s">
        <v>283</v>
      </c>
      <c r="N545" s="256" t="s">
        <v>283</v>
      </c>
      <c r="O545" s="257" t="s">
        <v>16</v>
      </c>
      <c r="P545" s="257" t="s">
        <v>16</v>
      </c>
      <c r="Q545" s="257" t="s">
        <v>16</v>
      </c>
      <c r="R545" s="257" t="s">
        <v>16</v>
      </c>
      <c r="S545" s="257" t="s">
        <v>16</v>
      </c>
      <c r="T545" s="257" t="s">
        <v>330</v>
      </c>
      <c r="U545" s="257" t="s">
        <v>250</v>
      </c>
      <c r="V545" s="257" t="s">
        <v>283</v>
      </c>
      <c r="W545" s="258" t="s">
        <v>283</v>
      </c>
      <c r="X545" s="258" t="s">
        <v>283</v>
      </c>
      <c r="Y545" s="259" t="s">
        <v>283</v>
      </c>
    </row>
    <row r="546" spans="1:25">
      <c r="A546" s="253">
        <v>10</v>
      </c>
      <c r="B546" s="254" t="str">
        <f>VLOOKUP(Tabel10[[#This Row],[Code]],Ruimtegroepen[[Code]:[Ruimte omschrijving]],2,FALSE)</f>
        <v>Trappenhuizen/lift</v>
      </c>
      <c r="C546" s="255" t="s">
        <v>738</v>
      </c>
      <c r="D546" s="254" t="s">
        <v>0</v>
      </c>
      <c r="E546" s="255" t="s">
        <v>101</v>
      </c>
      <c r="F546" s="255" t="s">
        <v>741</v>
      </c>
      <c r="G546" s="260" t="s">
        <v>283</v>
      </c>
      <c r="H546" s="256" t="s">
        <v>283</v>
      </c>
      <c r="I546" s="256" t="s">
        <v>283</v>
      </c>
      <c r="J546" s="256" t="s">
        <v>16</v>
      </c>
      <c r="K546" s="256" t="s">
        <v>284</v>
      </c>
      <c r="L546" s="256" t="s">
        <v>283</v>
      </c>
      <c r="M546" s="256" t="s">
        <v>283</v>
      </c>
      <c r="N546" s="256" t="s">
        <v>283</v>
      </c>
      <c r="O546" s="257" t="s">
        <v>16</v>
      </c>
      <c r="P546" s="257" t="s">
        <v>16</v>
      </c>
      <c r="Q546" s="257" t="s">
        <v>16</v>
      </c>
      <c r="R546" s="257" t="s">
        <v>16</v>
      </c>
      <c r="S546" s="257" t="s">
        <v>16</v>
      </c>
      <c r="T546" s="257" t="s">
        <v>330</v>
      </c>
      <c r="U546" s="257" t="s">
        <v>250</v>
      </c>
      <c r="V546" s="257" t="s">
        <v>283</v>
      </c>
      <c r="W546" s="258" t="s">
        <v>283</v>
      </c>
      <c r="X546" s="258" t="s">
        <v>283</v>
      </c>
      <c r="Y546" s="259" t="s">
        <v>283</v>
      </c>
    </row>
    <row r="547" spans="1:25">
      <c r="A547" s="253">
        <v>10</v>
      </c>
      <c r="B547" s="254" t="str">
        <f>VLOOKUP(Tabel10[[#This Row],[Code]],Ruimtegroepen[[Code]:[Ruimte omschrijving]],2,FALSE)</f>
        <v>Trappenhuizen/lift</v>
      </c>
      <c r="C547" s="255" t="s">
        <v>738</v>
      </c>
      <c r="D547" s="254" t="s">
        <v>0</v>
      </c>
      <c r="E547" s="255" t="s">
        <v>102</v>
      </c>
      <c r="F547" s="255" t="s">
        <v>742</v>
      </c>
      <c r="G547" s="260" t="s">
        <v>283</v>
      </c>
      <c r="H547" s="256" t="s">
        <v>283</v>
      </c>
      <c r="I547" s="256" t="s">
        <v>283</v>
      </c>
      <c r="J547" s="256" t="s">
        <v>16</v>
      </c>
      <c r="K547" s="256" t="s">
        <v>284</v>
      </c>
      <c r="L547" s="256" t="s">
        <v>283</v>
      </c>
      <c r="M547" s="256" t="s">
        <v>283</v>
      </c>
      <c r="N547" s="256" t="s">
        <v>283</v>
      </c>
      <c r="O547" s="257" t="s">
        <v>16</v>
      </c>
      <c r="P547" s="257" t="s">
        <v>16</v>
      </c>
      <c r="Q547" s="257" t="s">
        <v>16</v>
      </c>
      <c r="R547" s="257" t="s">
        <v>16</v>
      </c>
      <c r="S547" s="257" t="s">
        <v>16</v>
      </c>
      <c r="T547" s="257" t="s">
        <v>330</v>
      </c>
      <c r="U547" s="257" t="s">
        <v>250</v>
      </c>
      <c r="V547" s="257" t="s">
        <v>283</v>
      </c>
      <c r="W547" s="258" t="s">
        <v>283</v>
      </c>
      <c r="X547" s="258" t="s">
        <v>283</v>
      </c>
      <c r="Y547" s="259" t="s">
        <v>283</v>
      </c>
    </row>
    <row r="548" spans="1:25">
      <c r="A548" s="253">
        <v>10</v>
      </c>
      <c r="B548" s="254" t="str">
        <f>VLOOKUP(Tabel10[[#This Row],[Code]],Ruimtegroepen[[Code]:[Ruimte omschrijving]],2,FALSE)</f>
        <v>Trappenhuizen/lift</v>
      </c>
      <c r="C548" s="255" t="s">
        <v>738</v>
      </c>
      <c r="D548" s="254" t="s">
        <v>0</v>
      </c>
      <c r="E548" s="255" t="s">
        <v>99</v>
      </c>
      <c r="F548" s="255" t="s">
        <v>740</v>
      </c>
      <c r="G548" s="260" t="s">
        <v>283</v>
      </c>
      <c r="H548" s="256" t="s">
        <v>16</v>
      </c>
      <c r="I548" s="256" t="s">
        <v>283</v>
      </c>
      <c r="J548" s="256" t="s">
        <v>283</v>
      </c>
      <c r="K548" s="256" t="s">
        <v>283</v>
      </c>
      <c r="L548" s="256" t="s">
        <v>283</v>
      </c>
      <c r="M548" s="256" t="s">
        <v>283</v>
      </c>
      <c r="N548" s="256" t="s">
        <v>283</v>
      </c>
      <c r="O548" s="257" t="s">
        <v>16</v>
      </c>
      <c r="P548" s="257" t="s">
        <v>16</v>
      </c>
      <c r="Q548" s="257" t="s">
        <v>16</v>
      </c>
      <c r="R548" s="257" t="s">
        <v>16</v>
      </c>
      <c r="S548" s="257" t="s">
        <v>16</v>
      </c>
      <c r="T548" s="257" t="s">
        <v>330</v>
      </c>
      <c r="U548" s="257" t="s">
        <v>250</v>
      </c>
      <c r="V548" s="257" t="s">
        <v>283</v>
      </c>
      <c r="W548" s="258" t="s">
        <v>283</v>
      </c>
      <c r="X548" s="258" t="s">
        <v>283</v>
      </c>
      <c r="Y548" s="259" t="s">
        <v>283</v>
      </c>
    </row>
    <row r="549" spans="1:25">
      <c r="A549" s="253">
        <v>10</v>
      </c>
      <c r="B549" s="254" t="str">
        <f>VLOOKUP(Tabel10[[#This Row],[Code]],Ruimtegroepen[[Code]:[Ruimte omschrijving]],2,FALSE)</f>
        <v>Trappenhuizen/lift</v>
      </c>
      <c r="C549" s="255" t="s">
        <v>738</v>
      </c>
      <c r="D549" s="254" t="s">
        <v>0</v>
      </c>
      <c r="E549" s="255" t="s">
        <v>1312</v>
      </c>
      <c r="F549" s="255" t="s">
        <v>1353</v>
      </c>
      <c r="G549" s="260" t="s">
        <v>283</v>
      </c>
      <c r="H549" s="256" t="s">
        <v>283</v>
      </c>
      <c r="I549" s="256" t="s">
        <v>283</v>
      </c>
      <c r="J549" s="256" t="s">
        <v>16</v>
      </c>
      <c r="K549" s="256" t="s">
        <v>284</v>
      </c>
      <c r="L549" s="256" t="s">
        <v>283</v>
      </c>
      <c r="M549" s="256" t="s">
        <v>283</v>
      </c>
      <c r="N549" s="256" t="s">
        <v>283</v>
      </c>
      <c r="O549" s="257" t="s">
        <v>16</v>
      </c>
      <c r="P549" s="257" t="s">
        <v>16</v>
      </c>
      <c r="Q549" s="257" t="s">
        <v>16</v>
      </c>
      <c r="R549" s="257" t="s">
        <v>16</v>
      </c>
      <c r="S549" s="257" t="s">
        <v>16</v>
      </c>
      <c r="T549" s="257" t="s">
        <v>330</v>
      </c>
      <c r="U549" s="257" t="s">
        <v>250</v>
      </c>
      <c r="V549" s="257" t="s">
        <v>283</v>
      </c>
      <c r="W549" s="258" t="s">
        <v>283</v>
      </c>
      <c r="X549" s="258" t="s">
        <v>283</v>
      </c>
      <c r="Y549" s="259" t="s">
        <v>283</v>
      </c>
    </row>
    <row r="550" spans="1:25">
      <c r="A550" s="253">
        <v>10</v>
      </c>
      <c r="B550" s="254" t="str">
        <f>VLOOKUP(Tabel10[[#This Row],[Code]],Ruimtegroepen[[Code]:[Ruimte omschrijving]],2,FALSE)</f>
        <v>Trappenhuizen/lift</v>
      </c>
      <c r="C550" s="255" t="s">
        <v>743</v>
      </c>
      <c r="D550" s="254" t="s">
        <v>27</v>
      </c>
      <c r="E550" s="255" t="s">
        <v>100</v>
      </c>
      <c r="F550" s="255" t="s">
        <v>744</v>
      </c>
      <c r="G550" s="260" t="s">
        <v>283</v>
      </c>
      <c r="H550" s="256" t="s">
        <v>283</v>
      </c>
      <c r="I550" s="256" t="s">
        <v>15</v>
      </c>
      <c r="J550" s="256" t="s">
        <v>283</v>
      </c>
      <c r="K550" s="256" t="s">
        <v>283</v>
      </c>
      <c r="L550" s="256" t="s">
        <v>283</v>
      </c>
      <c r="M550" s="256" t="s">
        <v>283</v>
      </c>
      <c r="N550" s="256" t="s">
        <v>283</v>
      </c>
      <c r="O550" s="257" t="s">
        <v>15</v>
      </c>
      <c r="P550" s="257" t="s">
        <v>15</v>
      </c>
      <c r="Q550" s="257" t="s">
        <v>15</v>
      </c>
      <c r="R550" s="257" t="s">
        <v>283</v>
      </c>
      <c r="S550" s="257" t="s">
        <v>283</v>
      </c>
      <c r="T550" s="257" t="s">
        <v>283</v>
      </c>
      <c r="U550" s="257" t="s">
        <v>283</v>
      </c>
      <c r="V550" s="257" t="s">
        <v>283</v>
      </c>
      <c r="W550" s="258" t="s">
        <v>283</v>
      </c>
      <c r="X550" s="258" t="s">
        <v>283</v>
      </c>
      <c r="Y550" s="259" t="s">
        <v>283</v>
      </c>
    </row>
    <row r="551" spans="1:25">
      <c r="A551" s="253">
        <v>10</v>
      </c>
      <c r="B551" s="254" t="str">
        <f>VLOOKUP(Tabel10[[#This Row],[Code]],Ruimtegroepen[[Code]:[Ruimte omschrijving]],2,FALSE)</f>
        <v>Trappenhuizen/lift</v>
      </c>
      <c r="C551" s="255" t="s">
        <v>743</v>
      </c>
      <c r="D551" s="254" t="s">
        <v>27</v>
      </c>
      <c r="E551" s="255" t="s">
        <v>99</v>
      </c>
      <c r="F551" s="255" t="s">
        <v>745</v>
      </c>
      <c r="G551" s="260" t="s">
        <v>283</v>
      </c>
      <c r="H551" s="256" t="s">
        <v>15</v>
      </c>
      <c r="I551" s="256" t="s">
        <v>283</v>
      </c>
      <c r="J551" s="256" t="s">
        <v>283</v>
      </c>
      <c r="K551" s="256" t="s">
        <v>283</v>
      </c>
      <c r="L551" s="256" t="s">
        <v>283</v>
      </c>
      <c r="M551" s="256" t="s">
        <v>283</v>
      </c>
      <c r="N551" s="256" t="s">
        <v>283</v>
      </c>
      <c r="O551" s="257" t="s">
        <v>15</v>
      </c>
      <c r="P551" s="257" t="s">
        <v>15</v>
      </c>
      <c r="Q551" s="257" t="s">
        <v>15</v>
      </c>
      <c r="R551" s="257" t="s">
        <v>283</v>
      </c>
      <c r="S551" s="257" t="s">
        <v>283</v>
      </c>
      <c r="T551" s="257" t="s">
        <v>283</v>
      </c>
      <c r="U551" s="257" t="s">
        <v>283</v>
      </c>
      <c r="V551" s="257" t="s">
        <v>283</v>
      </c>
      <c r="W551" s="258" t="s">
        <v>283</v>
      </c>
      <c r="X551" s="258" t="s">
        <v>283</v>
      </c>
      <c r="Y551" s="259" t="s">
        <v>283</v>
      </c>
    </row>
    <row r="552" spans="1:25">
      <c r="A552" s="253">
        <v>10</v>
      </c>
      <c r="B552" s="254" t="str">
        <f>VLOOKUP(Tabel10[[#This Row],[Code]],Ruimtegroepen[[Code]:[Ruimte omschrijving]],2,FALSE)</f>
        <v>Trappenhuizen/lift</v>
      </c>
      <c r="C552" s="255" t="s">
        <v>743</v>
      </c>
      <c r="D552" s="254" t="s">
        <v>27</v>
      </c>
      <c r="E552" s="255" t="s">
        <v>101</v>
      </c>
      <c r="F552" s="255" t="s">
        <v>746</v>
      </c>
      <c r="G552" s="260" t="s">
        <v>283</v>
      </c>
      <c r="H552" s="256" t="s">
        <v>283</v>
      </c>
      <c r="I552" s="256" t="s">
        <v>15</v>
      </c>
      <c r="J552" s="256" t="s">
        <v>283</v>
      </c>
      <c r="K552" s="256" t="s">
        <v>283</v>
      </c>
      <c r="L552" s="256" t="s">
        <v>283</v>
      </c>
      <c r="M552" s="256" t="s">
        <v>283</v>
      </c>
      <c r="N552" s="256" t="s">
        <v>283</v>
      </c>
      <c r="O552" s="257" t="s">
        <v>15</v>
      </c>
      <c r="P552" s="257" t="s">
        <v>15</v>
      </c>
      <c r="Q552" s="257" t="s">
        <v>15</v>
      </c>
      <c r="R552" s="257" t="s">
        <v>283</v>
      </c>
      <c r="S552" s="257" t="s">
        <v>283</v>
      </c>
      <c r="T552" s="257" t="s">
        <v>283</v>
      </c>
      <c r="U552" s="257" t="s">
        <v>283</v>
      </c>
      <c r="V552" s="257" t="s">
        <v>283</v>
      </c>
      <c r="W552" s="258" t="s">
        <v>283</v>
      </c>
      <c r="X552" s="258" t="s">
        <v>283</v>
      </c>
      <c r="Y552" s="259" t="s">
        <v>283</v>
      </c>
    </row>
    <row r="553" spans="1:25">
      <c r="A553" s="253">
        <v>10</v>
      </c>
      <c r="B553" s="254" t="str">
        <f>VLOOKUP(Tabel10[[#This Row],[Code]],Ruimtegroepen[[Code]:[Ruimte omschrijving]],2,FALSE)</f>
        <v>Trappenhuizen/lift</v>
      </c>
      <c r="C553" s="255" t="s">
        <v>743</v>
      </c>
      <c r="D553" s="254" t="s">
        <v>27</v>
      </c>
      <c r="E553" s="255" t="s">
        <v>102</v>
      </c>
      <c r="F553" s="255" t="s">
        <v>747</v>
      </c>
      <c r="G553" s="260" t="s">
        <v>283</v>
      </c>
      <c r="H553" s="256" t="s">
        <v>283</v>
      </c>
      <c r="I553" s="256" t="s">
        <v>15</v>
      </c>
      <c r="J553" s="256" t="s">
        <v>283</v>
      </c>
      <c r="K553" s="256" t="s">
        <v>283</v>
      </c>
      <c r="L553" s="256" t="s">
        <v>283</v>
      </c>
      <c r="M553" s="256" t="s">
        <v>283</v>
      </c>
      <c r="N553" s="256" t="s">
        <v>283</v>
      </c>
      <c r="O553" s="257" t="s">
        <v>15</v>
      </c>
      <c r="P553" s="257" t="s">
        <v>15</v>
      </c>
      <c r="Q553" s="257" t="s">
        <v>15</v>
      </c>
      <c r="R553" s="257" t="s">
        <v>283</v>
      </c>
      <c r="S553" s="257" t="s">
        <v>283</v>
      </c>
      <c r="T553" s="257" t="s">
        <v>283</v>
      </c>
      <c r="U553" s="257" t="s">
        <v>283</v>
      </c>
      <c r="V553" s="257" t="s">
        <v>283</v>
      </c>
      <c r="W553" s="258" t="s">
        <v>283</v>
      </c>
      <c r="X553" s="258" t="s">
        <v>283</v>
      </c>
      <c r="Y553" s="259" t="s">
        <v>283</v>
      </c>
    </row>
    <row r="554" spans="1:25">
      <c r="A554" s="253">
        <v>10</v>
      </c>
      <c r="B554" s="254" t="str">
        <f>VLOOKUP(Tabel10[[#This Row],[Code]],Ruimtegroepen[[Code]:[Ruimte omschrijving]],2,FALSE)</f>
        <v>Trappenhuizen/lift</v>
      </c>
      <c r="C554" s="255" t="s">
        <v>743</v>
      </c>
      <c r="D554" s="254" t="s">
        <v>27</v>
      </c>
      <c r="E554" s="255" t="s">
        <v>99</v>
      </c>
      <c r="F554" s="255" t="s">
        <v>745</v>
      </c>
      <c r="G554" s="260" t="s">
        <v>283</v>
      </c>
      <c r="H554" s="256" t="s">
        <v>15</v>
      </c>
      <c r="I554" s="256" t="s">
        <v>283</v>
      </c>
      <c r="J554" s="256" t="s">
        <v>283</v>
      </c>
      <c r="K554" s="256" t="s">
        <v>283</v>
      </c>
      <c r="L554" s="256" t="s">
        <v>283</v>
      </c>
      <c r="M554" s="256" t="s">
        <v>283</v>
      </c>
      <c r="N554" s="256" t="s">
        <v>283</v>
      </c>
      <c r="O554" s="257" t="s">
        <v>15</v>
      </c>
      <c r="P554" s="257" t="s">
        <v>15</v>
      </c>
      <c r="Q554" s="257" t="s">
        <v>15</v>
      </c>
      <c r="R554" s="257" t="s">
        <v>283</v>
      </c>
      <c r="S554" s="257" t="s">
        <v>283</v>
      </c>
      <c r="T554" s="257" t="s">
        <v>283</v>
      </c>
      <c r="U554" s="257" t="s">
        <v>283</v>
      </c>
      <c r="V554" s="257" t="s">
        <v>283</v>
      </c>
      <c r="W554" s="258" t="s">
        <v>283</v>
      </c>
      <c r="X554" s="258" t="s">
        <v>283</v>
      </c>
      <c r="Y554" s="259" t="s">
        <v>283</v>
      </c>
    </row>
    <row r="555" spans="1:25">
      <c r="A555" s="253">
        <v>10</v>
      </c>
      <c r="B555" s="254" t="str">
        <f>VLOOKUP(Tabel10[[#This Row],[Code]],Ruimtegroepen[[Code]:[Ruimte omschrijving]],2,FALSE)</f>
        <v>Trappenhuizen/lift</v>
      </c>
      <c r="C555" s="255" t="s">
        <v>743</v>
      </c>
      <c r="D555" s="254" t="s">
        <v>27</v>
      </c>
      <c r="E555" s="255" t="s">
        <v>1312</v>
      </c>
      <c r="F555" s="255" t="s">
        <v>1386</v>
      </c>
      <c r="G555" s="260" t="s">
        <v>283</v>
      </c>
      <c r="H555" s="256" t="s">
        <v>283</v>
      </c>
      <c r="I555" s="256" t="s">
        <v>15</v>
      </c>
      <c r="J555" s="256" t="s">
        <v>283</v>
      </c>
      <c r="K555" s="256" t="s">
        <v>283</v>
      </c>
      <c r="L555" s="256" t="s">
        <v>283</v>
      </c>
      <c r="M555" s="256" t="s">
        <v>283</v>
      </c>
      <c r="N555" s="256" t="s">
        <v>283</v>
      </c>
      <c r="O555" s="257" t="s">
        <v>15</v>
      </c>
      <c r="P555" s="257" t="s">
        <v>15</v>
      </c>
      <c r="Q555" s="257" t="s">
        <v>15</v>
      </c>
      <c r="R555" s="257" t="s">
        <v>283</v>
      </c>
      <c r="S555" s="257" t="s">
        <v>283</v>
      </c>
      <c r="T555" s="257" t="s">
        <v>283</v>
      </c>
      <c r="U555" s="257" t="s">
        <v>283</v>
      </c>
      <c r="V555" s="257" t="s">
        <v>283</v>
      </c>
      <c r="W555" s="258" t="s">
        <v>283</v>
      </c>
      <c r="X555" s="258" t="s">
        <v>283</v>
      </c>
      <c r="Y555" s="259" t="s">
        <v>283</v>
      </c>
    </row>
    <row r="556" spans="1:25">
      <c r="A556" s="253">
        <v>10</v>
      </c>
      <c r="B556" s="254" t="str">
        <f>VLOOKUP(Tabel10[[#This Row],[Code]],Ruimtegroepen[[Code]:[Ruimte omschrijving]],2,FALSE)</f>
        <v>Trappenhuizen/lift</v>
      </c>
      <c r="C556" s="255" t="s">
        <v>748</v>
      </c>
      <c r="D556" s="254" t="s">
        <v>28</v>
      </c>
      <c r="E556" s="255" t="s">
        <v>100</v>
      </c>
      <c r="F556" s="255" t="s">
        <v>749</v>
      </c>
      <c r="G556" s="260" t="s">
        <v>283</v>
      </c>
      <c r="H556" s="256" t="s">
        <v>283</v>
      </c>
      <c r="I556" s="256" t="s">
        <v>17</v>
      </c>
      <c r="J556" s="256" t="s">
        <v>283</v>
      </c>
      <c r="K556" s="256" t="s">
        <v>283</v>
      </c>
      <c r="L556" s="256" t="s">
        <v>283</v>
      </c>
      <c r="M556" s="256" t="s">
        <v>283</v>
      </c>
      <c r="N556" s="256" t="s">
        <v>283</v>
      </c>
      <c r="O556" s="257" t="s">
        <v>17</v>
      </c>
      <c r="P556" s="257" t="s">
        <v>17</v>
      </c>
      <c r="Q556" s="257" t="s">
        <v>15</v>
      </c>
      <c r="R556" s="257" t="s">
        <v>283</v>
      </c>
      <c r="S556" s="257" t="s">
        <v>283</v>
      </c>
      <c r="T556" s="257" t="s">
        <v>283</v>
      </c>
      <c r="U556" s="257" t="s">
        <v>283</v>
      </c>
      <c r="V556" s="257" t="s">
        <v>283</v>
      </c>
      <c r="W556" s="258" t="s">
        <v>283</v>
      </c>
      <c r="X556" s="258" t="s">
        <v>283</v>
      </c>
      <c r="Y556" s="259" t="s">
        <v>283</v>
      </c>
    </row>
    <row r="557" spans="1:25">
      <c r="A557" s="253">
        <v>10</v>
      </c>
      <c r="B557" s="254" t="str">
        <f>VLOOKUP(Tabel10[[#This Row],[Code]],Ruimtegroepen[[Code]:[Ruimte omschrijving]],2,FALSE)</f>
        <v>Trappenhuizen/lift</v>
      </c>
      <c r="C557" s="255" t="s">
        <v>748</v>
      </c>
      <c r="D557" s="254" t="s">
        <v>28</v>
      </c>
      <c r="E557" s="255" t="s">
        <v>99</v>
      </c>
      <c r="F557" s="255" t="s">
        <v>750</v>
      </c>
      <c r="G557" s="260" t="s">
        <v>283</v>
      </c>
      <c r="H557" s="256" t="s">
        <v>17</v>
      </c>
      <c r="I557" s="256" t="s">
        <v>283</v>
      </c>
      <c r="J557" s="256" t="s">
        <v>283</v>
      </c>
      <c r="K557" s="256" t="s">
        <v>283</v>
      </c>
      <c r="L557" s="256" t="s">
        <v>283</v>
      </c>
      <c r="M557" s="256" t="s">
        <v>283</v>
      </c>
      <c r="N557" s="256" t="s">
        <v>283</v>
      </c>
      <c r="O557" s="257" t="s">
        <v>17</v>
      </c>
      <c r="P557" s="257" t="s">
        <v>17</v>
      </c>
      <c r="Q557" s="257" t="s">
        <v>15</v>
      </c>
      <c r="R557" s="257" t="s">
        <v>283</v>
      </c>
      <c r="S557" s="257" t="s">
        <v>283</v>
      </c>
      <c r="T557" s="257" t="s">
        <v>283</v>
      </c>
      <c r="U557" s="257" t="s">
        <v>283</v>
      </c>
      <c r="V557" s="257" t="s">
        <v>283</v>
      </c>
      <c r="W557" s="258" t="s">
        <v>283</v>
      </c>
      <c r="X557" s="258" t="s">
        <v>283</v>
      </c>
      <c r="Y557" s="259" t="s">
        <v>283</v>
      </c>
    </row>
    <row r="558" spans="1:25">
      <c r="A558" s="253">
        <v>10</v>
      </c>
      <c r="B558" s="254" t="str">
        <f>VLOOKUP(Tabel10[[#This Row],[Code]],Ruimtegroepen[[Code]:[Ruimte omschrijving]],2,FALSE)</f>
        <v>Trappenhuizen/lift</v>
      </c>
      <c r="C558" s="255" t="s">
        <v>748</v>
      </c>
      <c r="D558" s="254" t="s">
        <v>28</v>
      </c>
      <c r="E558" s="255" t="s">
        <v>101</v>
      </c>
      <c r="F558" s="255" t="s">
        <v>751</v>
      </c>
      <c r="G558" s="260" t="s">
        <v>283</v>
      </c>
      <c r="H558" s="256" t="s">
        <v>283</v>
      </c>
      <c r="I558" s="256" t="s">
        <v>17</v>
      </c>
      <c r="J558" s="256" t="s">
        <v>283</v>
      </c>
      <c r="K558" s="256" t="s">
        <v>283</v>
      </c>
      <c r="L558" s="256" t="s">
        <v>283</v>
      </c>
      <c r="M558" s="256" t="s">
        <v>283</v>
      </c>
      <c r="N558" s="256" t="s">
        <v>283</v>
      </c>
      <c r="O558" s="257" t="s">
        <v>17</v>
      </c>
      <c r="P558" s="257" t="s">
        <v>17</v>
      </c>
      <c r="Q558" s="257" t="s">
        <v>15</v>
      </c>
      <c r="R558" s="257" t="s">
        <v>283</v>
      </c>
      <c r="S558" s="257" t="s">
        <v>283</v>
      </c>
      <c r="T558" s="257" t="s">
        <v>283</v>
      </c>
      <c r="U558" s="257" t="s">
        <v>283</v>
      </c>
      <c r="V558" s="257" t="s">
        <v>283</v>
      </c>
      <c r="W558" s="258" t="s">
        <v>283</v>
      </c>
      <c r="X558" s="258" t="s">
        <v>283</v>
      </c>
      <c r="Y558" s="259" t="s">
        <v>283</v>
      </c>
    </row>
    <row r="559" spans="1:25">
      <c r="A559" s="253">
        <v>10</v>
      </c>
      <c r="B559" s="254" t="str">
        <f>VLOOKUP(Tabel10[[#This Row],[Code]],Ruimtegroepen[[Code]:[Ruimte omschrijving]],2,FALSE)</f>
        <v>Trappenhuizen/lift</v>
      </c>
      <c r="C559" s="255" t="s">
        <v>748</v>
      </c>
      <c r="D559" s="254" t="s">
        <v>28</v>
      </c>
      <c r="E559" s="255" t="s">
        <v>102</v>
      </c>
      <c r="F559" s="255" t="s">
        <v>752</v>
      </c>
      <c r="G559" s="260" t="s">
        <v>283</v>
      </c>
      <c r="H559" s="256" t="s">
        <v>283</v>
      </c>
      <c r="I559" s="256" t="s">
        <v>17</v>
      </c>
      <c r="J559" s="256" t="s">
        <v>283</v>
      </c>
      <c r="K559" s="256" t="s">
        <v>283</v>
      </c>
      <c r="L559" s="256" t="s">
        <v>283</v>
      </c>
      <c r="M559" s="256" t="s">
        <v>283</v>
      </c>
      <c r="N559" s="256" t="s">
        <v>283</v>
      </c>
      <c r="O559" s="257" t="s">
        <v>17</v>
      </c>
      <c r="P559" s="257" t="s">
        <v>17</v>
      </c>
      <c r="Q559" s="257" t="s">
        <v>15</v>
      </c>
      <c r="R559" s="257" t="s">
        <v>283</v>
      </c>
      <c r="S559" s="257" t="s">
        <v>283</v>
      </c>
      <c r="T559" s="257" t="s">
        <v>283</v>
      </c>
      <c r="U559" s="257" t="s">
        <v>283</v>
      </c>
      <c r="V559" s="257" t="s">
        <v>283</v>
      </c>
      <c r="W559" s="258" t="s">
        <v>283</v>
      </c>
      <c r="X559" s="258" t="s">
        <v>283</v>
      </c>
      <c r="Y559" s="259" t="s">
        <v>283</v>
      </c>
    </row>
    <row r="560" spans="1:25">
      <c r="A560" s="253">
        <v>10</v>
      </c>
      <c r="B560" s="254" t="str">
        <f>VLOOKUP(Tabel10[[#This Row],[Code]],Ruimtegroepen[[Code]:[Ruimte omschrijving]],2,FALSE)</f>
        <v>Trappenhuizen/lift</v>
      </c>
      <c r="C560" s="255" t="s">
        <v>748</v>
      </c>
      <c r="D560" s="254" t="s">
        <v>28</v>
      </c>
      <c r="E560" s="255" t="s">
        <v>99</v>
      </c>
      <c r="F560" s="255" t="s">
        <v>750</v>
      </c>
      <c r="G560" s="260" t="s">
        <v>283</v>
      </c>
      <c r="H560" s="256" t="s">
        <v>17</v>
      </c>
      <c r="I560" s="256" t="s">
        <v>283</v>
      </c>
      <c r="J560" s="256" t="s">
        <v>283</v>
      </c>
      <c r="K560" s="256" t="s">
        <v>283</v>
      </c>
      <c r="L560" s="256" t="s">
        <v>283</v>
      </c>
      <c r="M560" s="256" t="s">
        <v>283</v>
      </c>
      <c r="N560" s="256" t="s">
        <v>283</v>
      </c>
      <c r="O560" s="257" t="s">
        <v>17</v>
      </c>
      <c r="P560" s="257" t="s">
        <v>17</v>
      </c>
      <c r="Q560" s="257" t="s">
        <v>15</v>
      </c>
      <c r="R560" s="257" t="s">
        <v>283</v>
      </c>
      <c r="S560" s="257" t="s">
        <v>283</v>
      </c>
      <c r="T560" s="257" t="s">
        <v>283</v>
      </c>
      <c r="U560" s="257" t="s">
        <v>283</v>
      </c>
      <c r="V560" s="257" t="s">
        <v>283</v>
      </c>
      <c r="W560" s="258" t="s">
        <v>283</v>
      </c>
      <c r="X560" s="258" t="s">
        <v>283</v>
      </c>
      <c r="Y560" s="259" t="s">
        <v>283</v>
      </c>
    </row>
    <row r="561" spans="1:25">
      <c r="A561" s="253">
        <v>10</v>
      </c>
      <c r="B561" s="254" t="str">
        <f>VLOOKUP(Tabel10[[#This Row],[Code]],Ruimtegroepen[[Code]:[Ruimte omschrijving]],2,FALSE)</f>
        <v>Trappenhuizen/lift</v>
      </c>
      <c r="C561" s="255" t="s">
        <v>748</v>
      </c>
      <c r="D561" s="254" t="s">
        <v>28</v>
      </c>
      <c r="E561" s="255" t="s">
        <v>1312</v>
      </c>
      <c r="F561" s="255" t="s">
        <v>1419</v>
      </c>
      <c r="G561" s="260" t="s">
        <v>283</v>
      </c>
      <c r="H561" s="256" t="s">
        <v>283</v>
      </c>
      <c r="I561" s="256" t="s">
        <v>17</v>
      </c>
      <c r="J561" s="256" t="s">
        <v>283</v>
      </c>
      <c r="K561" s="256" t="s">
        <v>283</v>
      </c>
      <c r="L561" s="256" t="s">
        <v>283</v>
      </c>
      <c r="M561" s="256" t="s">
        <v>283</v>
      </c>
      <c r="N561" s="256" t="s">
        <v>283</v>
      </c>
      <c r="O561" s="257" t="s">
        <v>17</v>
      </c>
      <c r="P561" s="257" t="s">
        <v>17</v>
      </c>
      <c r="Q561" s="257" t="s">
        <v>15</v>
      </c>
      <c r="R561" s="257" t="s">
        <v>283</v>
      </c>
      <c r="S561" s="257" t="s">
        <v>283</v>
      </c>
      <c r="T561" s="257" t="s">
        <v>283</v>
      </c>
      <c r="U561" s="257" t="s">
        <v>283</v>
      </c>
      <c r="V561" s="257" t="s">
        <v>283</v>
      </c>
      <c r="W561" s="258" t="s">
        <v>283</v>
      </c>
      <c r="X561" s="258" t="s">
        <v>283</v>
      </c>
      <c r="Y561" s="259" t="s">
        <v>283</v>
      </c>
    </row>
    <row r="562" spans="1:25">
      <c r="A562" s="253">
        <v>11</v>
      </c>
      <c r="B562" s="254" t="str">
        <f>VLOOKUP(Tabel10[[#This Row],[Code]],Ruimtegroepen[[Code]:[Ruimte omschrijving]],2,FALSE)</f>
        <v>Garderobes</v>
      </c>
      <c r="C562" s="255" t="s">
        <v>753</v>
      </c>
      <c r="D562" s="254" t="s">
        <v>29</v>
      </c>
      <c r="E562" s="255" t="s">
        <v>100</v>
      </c>
      <c r="F562" s="255" t="s">
        <v>754</v>
      </c>
      <c r="G562" s="260" t="s">
        <v>283</v>
      </c>
      <c r="H562" s="256" t="s">
        <v>283</v>
      </c>
      <c r="I562" s="256" t="s">
        <v>20</v>
      </c>
      <c r="J562" s="256" t="s">
        <v>15</v>
      </c>
      <c r="K562" s="256" t="s">
        <v>283</v>
      </c>
      <c r="L562" s="256" t="s">
        <v>283</v>
      </c>
      <c r="M562" s="256" t="s">
        <v>283</v>
      </c>
      <c r="N562" s="256" t="s">
        <v>2</v>
      </c>
      <c r="O562" s="257" t="s">
        <v>2</v>
      </c>
      <c r="P562" s="257" t="s">
        <v>2</v>
      </c>
      <c r="Q562" s="257" t="s">
        <v>15</v>
      </c>
      <c r="R562" s="257" t="s">
        <v>15</v>
      </c>
      <c r="S562" s="257" t="s">
        <v>16</v>
      </c>
      <c r="T562" s="257" t="s">
        <v>330</v>
      </c>
      <c r="U562" s="257" t="s">
        <v>250</v>
      </c>
      <c r="V562" s="257" t="s">
        <v>2</v>
      </c>
      <c r="W562" s="258" t="s">
        <v>283</v>
      </c>
      <c r="X562" s="258" t="s">
        <v>283</v>
      </c>
      <c r="Y562" s="259" t="s">
        <v>283</v>
      </c>
    </row>
    <row r="563" spans="1:25">
      <c r="A563" s="253">
        <v>11</v>
      </c>
      <c r="B563" s="254" t="str">
        <f>VLOOKUP(Tabel10[[#This Row],[Code]],Ruimtegroepen[[Code]:[Ruimte omschrijving]],2,FALSE)</f>
        <v>Garderobes</v>
      </c>
      <c r="C563" s="255" t="s">
        <v>753</v>
      </c>
      <c r="D563" s="254" t="s">
        <v>29</v>
      </c>
      <c r="E563" s="255" t="s">
        <v>99</v>
      </c>
      <c r="F563" s="255" t="s">
        <v>755</v>
      </c>
      <c r="G563" s="260" t="s">
        <v>283</v>
      </c>
      <c r="H563" s="256" t="s">
        <v>2</v>
      </c>
      <c r="I563" s="256" t="s">
        <v>283</v>
      </c>
      <c r="J563" s="256" t="s">
        <v>283</v>
      </c>
      <c r="K563" s="256" t="s">
        <v>283</v>
      </c>
      <c r="L563" s="256" t="s">
        <v>283</v>
      </c>
      <c r="M563" s="256" t="s">
        <v>283</v>
      </c>
      <c r="N563" s="256" t="s">
        <v>2</v>
      </c>
      <c r="O563" s="257" t="s">
        <v>2</v>
      </c>
      <c r="P563" s="257" t="s">
        <v>2</v>
      </c>
      <c r="Q563" s="257" t="s">
        <v>15</v>
      </c>
      <c r="R563" s="257" t="s">
        <v>15</v>
      </c>
      <c r="S563" s="257" t="s">
        <v>16</v>
      </c>
      <c r="T563" s="257" t="s">
        <v>330</v>
      </c>
      <c r="U563" s="257" t="s">
        <v>250</v>
      </c>
      <c r="V563" s="257" t="s">
        <v>2</v>
      </c>
      <c r="W563" s="258" t="s">
        <v>283</v>
      </c>
      <c r="X563" s="258" t="s">
        <v>283</v>
      </c>
      <c r="Y563" s="259" t="s">
        <v>283</v>
      </c>
    </row>
    <row r="564" spans="1:25">
      <c r="A564" s="253">
        <v>11</v>
      </c>
      <c r="B564" s="254" t="str">
        <f>VLOOKUP(Tabel10[[#This Row],[Code]],Ruimtegroepen[[Code]:[Ruimte omschrijving]],2,FALSE)</f>
        <v>Garderobes</v>
      </c>
      <c r="C564" s="255" t="s">
        <v>753</v>
      </c>
      <c r="D564" s="254" t="s">
        <v>29</v>
      </c>
      <c r="E564" s="255" t="s">
        <v>101</v>
      </c>
      <c r="F564" s="255" t="s">
        <v>756</v>
      </c>
      <c r="G564" s="260" t="s">
        <v>283</v>
      </c>
      <c r="H564" s="256" t="s">
        <v>283</v>
      </c>
      <c r="I564" s="256" t="s">
        <v>20</v>
      </c>
      <c r="J564" s="256" t="s">
        <v>15</v>
      </c>
      <c r="K564" s="256" t="s">
        <v>284</v>
      </c>
      <c r="L564" s="256" t="s">
        <v>283</v>
      </c>
      <c r="M564" s="256" t="s">
        <v>283</v>
      </c>
      <c r="N564" s="256" t="s">
        <v>2</v>
      </c>
      <c r="O564" s="257" t="s">
        <v>2</v>
      </c>
      <c r="P564" s="257" t="s">
        <v>2</v>
      </c>
      <c r="Q564" s="257" t="s">
        <v>15</v>
      </c>
      <c r="R564" s="257" t="s">
        <v>15</v>
      </c>
      <c r="S564" s="257" t="s">
        <v>16</v>
      </c>
      <c r="T564" s="257" t="s">
        <v>330</v>
      </c>
      <c r="U564" s="257" t="s">
        <v>250</v>
      </c>
      <c r="V564" s="257" t="s">
        <v>2</v>
      </c>
      <c r="W564" s="258" t="s">
        <v>283</v>
      </c>
      <c r="X564" s="258" t="s">
        <v>283</v>
      </c>
      <c r="Y564" s="259" t="s">
        <v>283</v>
      </c>
    </row>
    <row r="565" spans="1:25">
      <c r="A565" s="253">
        <v>11</v>
      </c>
      <c r="B565" s="254" t="str">
        <f>VLOOKUP(Tabel10[[#This Row],[Code]],Ruimtegroepen[[Code]:[Ruimte omschrijving]],2,FALSE)</f>
        <v>Garderobes</v>
      </c>
      <c r="C565" s="255" t="s">
        <v>753</v>
      </c>
      <c r="D565" s="254" t="s">
        <v>29</v>
      </c>
      <c r="E565" s="255" t="s">
        <v>102</v>
      </c>
      <c r="F565" s="255" t="s">
        <v>757</v>
      </c>
      <c r="G565" s="260" t="s">
        <v>283</v>
      </c>
      <c r="H565" s="256" t="s">
        <v>283</v>
      </c>
      <c r="I565" s="256" t="s">
        <v>20</v>
      </c>
      <c r="J565" s="256" t="s">
        <v>15</v>
      </c>
      <c r="K565" s="256" t="s">
        <v>284</v>
      </c>
      <c r="L565" s="256" t="s">
        <v>283</v>
      </c>
      <c r="M565" s="256" t="s">
        <v>283</v>
      </c>
      <c r="N565" s="256" t="s">
        <v>2</v>
      </c>
      <c r="O565" s="257" t="s">
        <v>2</v>
      </c>
      <c r="P565" s="257" t="s">
        <v>2</v>
      </c>
      <c r="Q565" s="257" t="s">
        <v>15</v>
      </c>
      <c r="R565" s="257" t="s">
        <v>15</v>
      </c>
      <c r="S565" s="257" t="s">
        <v>16</v>
      </c>
      <c r="T565" s="257" t="s">
        <v>330</v>
      </c>
      <c r="U565" s="257" t="s">
        <v>250</v>
      </c>
      <c r="V565" s="257" t="s">
        <v>2</v>
      </c>
      <c r="W565" s="258" t="s">
        <v>283</v>
      </c>
      <c r="X565" s="258" t="s">
        <v>283</v>
      </c>
      <c r="Y565" s="259" t="s">
        <v>283</v>
      </c>
    </row>
    <row r="566" spans="1:25">
      <c r="A566" s="253">
        <v>11</v>
      </c>
      <c r="B566" s="254" t="str">
        <f>VLOOKUP(Tabel10[[#This Row],[Code]],Ruimtegroepen[[Code]:[Ruimte omschrijving]],2,FALSE)</f>
        <v>Garderobes</v>
      </c>
      <c r="C566" s="255" t="s">
        <v>753</v>
      </c>
      <c r="D566" s="254" t="s">
        <v>29</v>
      </c>
      <c r="E566" s="255" t="s">
        <v>99</v>
      </c>
      <c r="F566" s="255" t="s">
        <v>755</v>
      </c>
      <c r="G566" s="260" t="s">
        <v>283</v>
      </c>
      <c r="H566" s="256" t="s">
        <v>2</v>
      </c>
      <c r="I566" s="256" t="s">
        <v>283</v>
      </c>
      <c r="J566" s="256" t="s">
        <v>283</v>
      </c>
      <c r="K566" s="256" t="s">
        <v>283</v>
      </c>
      <c r="L566" s="256" t="s">
        <v>283</v>
      </c>
      <c r="M566" s="256" t="s">
        <v>283</v>
      </c>
      <c r="N566" s="256" t="s">
        <v>2</v>
      </c>
      <c r="O566" s="257" t="s">
        <v>2</v>
      </c>
      <c r="P566" s="257" t="s">
        <v>2</v>
      </c>
      <c r="Q566" s="257" t="s">
        <v>15</v>
      </c>
      <c r="R566" s="257" t="s">
        <v>15</v>
      </c>
      <c r="S566" s="257" t="s">
        <v>16</v>
      </c>
      <c r="T566" s="257" t="s">
        <v>330</v>
      </c>
      <c r="U566" s="257" t="s">
        <v>250</v>
      </c>
      <c r="V566" s="257" t="s">
        <v>2</v>
      </c>
      <c r="W566" s="258" t="s">
        <v>283</v>
      </c>
      <c r="X566" s="258" t="s">
        <v>283</v>
      </c>
      <c r="Y566" s="259" t="s">
        <v>283</v>
      </c>
    </row>
    <row r="567" spans="1:25">
      <c r="A567" s="253">
        <v>11</v>
      </c>
      <c r="B567" s="254" t="str">
        <f>VLOOKUP(Tabel10[[#This Row],[Code]],Ruimtegroepen[[Code]:[Ruimte omschrijving]],2,FALSE)</f>
        <v>Garderobes</v>
      </c>
      <c r="C567" s="255" t="s">
        <v>753</v>
      </c>
      <c r="D567" s="254" t="s">
        <v>29</v>
      </c>
      <c r="E567" s="255" t="s">
        <v>1312</v>
      </c>
      <c r="F567" s="255" t="s">
        <v>1487</v>
      </c>
      <c r="G567" s="260" t="s">
        <v>283</v>
      </c>
      <c r="H567" s="256" t="s">
        <v>283</v>
      </c>
      <c r="I567" s="256" t="s">
        <v>20</v>
      </c>
      <c r="J567" s="256" t="s">
        <v>15</v>
      </c>
      <c r="K567" s="256" t="s">
        <v>284</v>
      </c>
      <c r="L567" s="256" t="s">
        <v>283</v>
      </c>
      <c r="M567" s="256" t="s">
        <v>283</v>
      </c>
      <c r="N567" s="256" t="s">
        <v>2</v>
      </c>
      <c r="O567" s="257" t="s">
        <v>2</v>
      </c>
      <c r="P567" s="257" t="s">
        <v>2</v>
      </c>
      <c r="Q567" s="257" t="s">
        <v>15</v>
      </c>
      <c r="R567" s="257" t="s">
        <v>15</v>
      </c>
      <c r="S567" s="257" t="s">
        <v>16</v>
      </c>
      <c r="T567" s="257" t="s">
        <v>330</v>
      </c>
      <c r="U567" s="257" t="s">
        <v>250</v>
      </c>
      <c r="V567" s="257" t="s">
        <v>2</v>
      </c>
      <c r="W567" s="258" t="s">
        <v>283</v>
      </c>
      <c r="X567" s="258" t="s">
        <v>283</v>
      </c>
      <c r="Y567" s="259" t="s">
        <v>283</v>
      </c>
    </row>
    <row r="568" spans="1:25">
      <c r="A568" s="253">
        <v>11</v>
      </c>
      <c r="B568" s="254" t="str">
        <f>VLOOKUP(Tabel10[[#This Row],[Code]],Ruimtegroepen[[Code]:[Ruimte omschrijving]],2,FALSE)</f>
        <v>Garderobes</v>
      </c>
      <c r="C568" s="255" t="s">
        <v>758</v>
      </c>
      <c r="D568" s="254" t="s">
        <v>1</v>
      </c>
      <c r="E568" s="255" t="s">
        <v>100</v>
      </c>
      <c r="F568" s="255" t="s">
        <v>759</v>
      </c>
      <c r="G568" s="260" t="s">
        <v>283</v>
      </c>
      <c r="H568" s="256" t="s">
        <v>283</v>
      </c>
      <c r="I568" s="256" t="s">
        <v>20</v>
      </c>
      <c r="J568" s="256" t="s">
        <v>15</v>
      </c>
      <c r="K568" s="256" t="s">
        <v>283</v>
      </c>
      <c r="L568" s="256" t="s">
        <v>283</v>
      </c>
      <c r="M568" s="256" t="s">
        <v>283</v>
      </c>
      <c r="N568" s="256" t="s">
        <v>283</v>
      </c>
      <c r="O568" s="257" t="s">
        <v>2</v>
      </c>
      <c r="P568" s="257" t="s">
        <v>2</v>
      </c>
      <c r="Q568" s="257" t="s">
        <v>15</v>
      </c>
      <c r="R568" s="257" t="s">
        <v>15</v>
      </c>
      <c r="S568" s="257" t="s">
        <v>16</v>
      </c>
      <c r="T568" s="257" t="s">
        <v>330</v>
      </c>
      <c r="U568" s="257" t="s">
        <v>250</v>
      </c>
      <c r="V568" s="257" t="s">
        <v>283</v>
      </c>
      <c r="W568" s="258" t="s">
        <v>283</v>
      </c>
      <c r="X568" s="258" t="s">
        <v>283</v>
      </c>
      <c r="Y568" s="259" t="s">
        <v>283</v>
      </c>
    </row>
    <row r="569" spans="1:25">
      <c r="A569" s="253">
        <v>11</v>
      </c>
      <c r="B569" s="254" t="str">
        <f>VLOOKUP(Tabel10[[#This Row],[Code]],Ruimtegroepen[[Code]:[Ruimte omschrijving]],2,FALSE)</f>
        <v>Garderobes</v>
      </c>
      <c r="C569" s="255" t="s">
        <v>758</v>
      </c>
      <c r="D569" s="254" t="s">
        <v>1</v>
      </c>
      <c r="E569" s="255" t="s">
        <v>99</v>
      </c>
      <c r="F569" s="255" t="s">
        <v>760</v>
      </c>
      <c r="G569" s="260" t="s">
        <v>283</v>
      </c>
      <c r="H569" s="256" t="s">
        <v>2</v>
      </c>
      <c r="I569" s="256" t="s">
        <v>283</v>
      </c>
      <c r="J569" s="256" t="s">
        <v>283</v>
      </c>
      <c r="K569" s="256" t="s">
        <v>283</v>
      </c>
      <c r="L569" s="256" t="s">
        <v>283</v>
      </c>
      <c r="M569" s="256" t="s">
        <v>283</v>
      </c>
      <c r="N569" s="256" t="s">
        <v>283</v>
      </c>
      <c r="O569" s="257" t="s">
        <v>2</v>
      </c>
      <c r="P569" s="257" t="s">
        <v>2</v>
      </c>
      <c r="Q569" s="257" t="s">
        <v>15</v>
      </c>
      <c r="R569" s="257" t="s">
        <v>15</v>
      </c>
      <c r="S569" s="257" t="s">
        <v>16</v>
      </c>
      <c r="T569" s="257" t="s">
        <v>330</v>
      </c>
      <c r="U569" s="257" t="s">
        <v>250</v>
      </c>
      <c r="V569" s="257" t="s">
        <v>283</v>
      </c>
      <c r="W569" s="258" t="s">
        <v>283</v>
      </c>
      <c r="X569" s="258" t="s">
        <v>283</v>
      </c>
      <c r="Y569" s="259" t="s">
        <v>283</v>
      </c>
    </row>
    <row r="570" spans="1:25">
      <c r="A570" s="253">
        <v>11</v>
      </c>
      <c r="B570" s="254" t="str">
        <f>VLOOKUP(Tabel10[[#This Row],[Code]],Ruimtegroepen[[Code]:[Ruimte omschrijving]],2,FALSE)</f>
        <v>Garderobes</v>
      </c>
      <c r="C570" s="255" t="s">
        <v>758</v>
      </c>
      <c r="D570" s="254" t="s">
        <v>1</v>
      </c>
      <c r="E570" s="255" t="s">
        <v>101</v>
      </c>
      <c r="F570" s="255" t="s">
        <v>761</v>
      </c>
      <c r="G570" s="260" t="s">
        <v>283</v>
      </c>
      <c r="H570" s="256" t="s">
        <v>283</v>
      </c>
      <c r="I570" s="256" t="s">
        <v>20</v>
      </c>
      <c r="J570" s="256" t="s">
        <v>15</v>
      </c>
      <c r="K570" s="256" t="s">
        <v>284</v>
      </c>
      <c r="L570" s="256" t="s">
        <v>283</v>
      </c>
      <c r="M570" s="256" t="s">
        <v>283</v>
      </c>
      <c r="N570" s="256" t="s">
        <v>283</v>
      </c>
      <c r="O570" s="257" t="s">
        <v>2</v>
      </c>
      <c r="P570" s="257" t="s">
        <v>2</v>
      </c>
      <c r="Q570" s="257" t="s">
        <v>15</v>
      </c>
      <c r="R570" s="257" t="s">
        <v>15</v>
      </c>
      <c r="S570" s="257" t="s">
        <v>16</v>
      </c>
      <c r="T570" s="257" t="s">
        <v>330</v>
      </c>
      <c r="U570" s="257" t="s">
        <v>250</v>
      </c>
      <c r="V570" s="257" t="s">
        <v>283</v>
      </c>
      <c r="W570" s="258" t="s">
        <v>283</v>
      </c>
      <c r="X570" s="258" t="s">
        <v>283</v>
      </c>
      <c r="Y570" s="259" t="s">
        <v>283</v>
      </c>
    </row>
    <row r="571" spans="1:25">
      <c r="A571" s="253">
        <v>11</v>
      </c>
      <c r="B571" s="254" t="str">
        <f>VLOOKUP(Tabel10[[#This Row],[Code]],Ruimtegroepen[[Code]:[Ruimte omschrijving]],2,FALSE)</f>
        <v>Garderobes</v>
      </c>
      <c r="C571" s="255" t="s">
        <v>758</v>
      </c>
      <c r="D571" s="254" t="s">
        <v>1</v>
      </c>
      <c r="E571" s="255" t="s">
        <v>102</v>
      </c>
      <c r="F571" s="255" t="s">
        <v>762</v>
      </c>
      <c r="G571" s="260" t="s">
        <v>283</v>
      </c>
      <c r="H571" s="256" t="s">
        <v>283</v>
      </c>
      <c r="I571" s="256" t="s">
        <v>2</v>
      </c>
      <c r="J571" s="256" t="s">
        <v>283</v>
      </c>
      <c r="K571" s="256" t="s">
        <v>284</v>
      </c>
      <c r="L571" s="256" t="s">
        <v>283</v>
      </c>
      <c r="M571" s="256" t="s">
        <v>283</v>
      </c>
      <c r="N571" s="256" t="s">
        <v>283</v>
      </c>
      <c r="O571" s="257" t="s">
        <v>2</v>
      </c>
      <c r="P571" s="257" t="s">
        <v>2</v>
      </c>
      <c r="Q571" s="257" t="s">
        <v>15</v>
      </c>
      <c r="R571" s="257" t="s">
        <v>15</v>
      </c>
      <c r="S571" s="257" t="s">
        <v>16</v>
      </c>
      <c r="T571" s="257" t="s">
        <v>330</v>
      </c>
      <c r="U571" s="257" t="s">
        <v>250</v>
      </c>
      <c r="V571" s="257" t="s">
        <v>283</v>
      </c>
      <c r="W571" s="258" t="s">
        <v>283</v>
      </c>
      <c r="X571" s="258" t="s">
        <v>283</v>
      </c>
      <c r="Y571" s="259" t="s">
        <v>283</v>
      </c>
    </row>
    <row r="572" spans="1:25">
      <c r="A572" s="253">
        <v>11</v>
      </c>
      <c r="B572" s="254" t="str">
        <f>VLOOKUP(Tabel10[[#This Row],[Code]],Ruimtegroepen[[Code]:[Ruimte omschrijving]],2,FALSE)</f>
        <v>Garderobes</v>
      </c>
      <c r="C572" s="255" t="s">
        <v>758</v>
      </c>
      <c r="D572" s="254" t="s">
        <v>1</v>
      </c>
      <c r="E572" s="255" t="s">
        <v>99</v>
      </c>
      <c r="F572" s="255" t="s">
        <v>760</v>
      </c>
      <c r="G572" s="260" t="s">
        <v>283</v>
      </c>
      <c r="H572" s="256" t="s">
        <v>2</v>
      </c>
      <c r="I572" s="256" t="s">
        <v>283</v>
      </c>
      <c r="J572" s="256" t="s">
        <v>283</v>
      </c>
      <c r="K572" s="256" t="s">
        <v>283</v>
      </c>
      <c r="L572" s="256" t="s">
        <v>283</v>
      </c>
      <c r="M572" s="256" t="s">
        <v>283</v>
      </c>
      <c r="N572" s="256" t="s">
        <v>283</v>
      </c>
      <c r="O572" s="257" t="s">
        <v>2</v>
      </c>
      <c r="P572" s="257" t="s">
        <v>2</v>
      </c>
      <c r="Q572" s="257" t="s">
        <v>15</v>
      </c>
      <c r="R572" s="257" t="s">
        <v>15</v>
      </c>
      <c r="S572" s="257" t="s">
        <v>16</v>
      </c>
      <c r="T572" s="257" t="s">
        <v>330</v>
      </c>
      <c r="U572" s="257" t="s">
        <v>250</v>
      </c>
      <c r="V572" s="257" t="s">
        <v>283</v>
      </c>
      <c r="W572" s="258" t="s">
        <v>283</v>
      </c>
      <c r="X572" s="258" t="s">
        <v>283</v>
      </c>
      <c r="Y572" s="259" t="s">
        <v>283</v>
      </c>
    </row>
    <row r="573" spans="1:25">
      <c r="A573" s="253">
        <v>11</v>
      </c>
      <c r="B573" s="254" t="str">
        <f>VLOOKUP(Tabel10[[#This Row],[Code]],Ruimtegroepen[[Code]:[Ruimte omschrijving]],2,FALSE)</f>
        <v>Garderobes</v>
      </c>
      <c r="C573" s="255" t="s">
        <v>758</v>
      </c>
      <c r="D573" s="254" t="s">
        <v>1</v>
      </c>
      <c r="E573" s="255" t="s">
        <v>1312</v>
      </c>
      <c r="F573" s="255" t="s">
        <v>1471</v>
      </c>
      <c r="G573" s="260" t="s">
        <v>283</v>
      </c>
      <c r="H573" s="256" t="s">
        <v>283</v>
      </c>
      <c r="I573" s="256" t="s">
        <v>2</v>
      </c>
      <c r="J573" s="256" t="s">
        <v>283</v>
      </c>
      <c r="K573" s="256" t="s">
        <v>284</v>
      </c>
      <c r="L573" s="256" t="s">
        <v>283</v>
      </c>
      <c r="M573" s="256" t="s">
        <v>283</v>
      </c>
      <c r="N573" s="256" t="s">
        <v>283</v>
      </c>
      <c r="O573" s="257" t="s">
        <v>2</v>
      </c>
      <c r="P573" s="257" t="s">
        <v>2</v>
      </c>
      <c r="Q573" s="257" t="s">
        <v>15</v>
      </c>
      <c r="R573" s="257" t="s">
        <v>15</v>
      </c>
      <c r="S573" s="257" t="s">
        <v>16</v>
      </c>
      <c r="T573" s="257" t="s">
        <v>330</v>
      </c>
      <c r="U573" s="257" t="s">
        <v>250</v>
      </c>
      <c r="V573" s="257" t="s">
        <v>283</v>
      </c>
      <c r="W573" s="258" t="s">
        <v>283</v>
      </c>
      <c r="X573" s="258" t="s">
        <v>283</v>
      </c>
      <c r="Y573" s="259" t="s">
        <v>283</v>
      </c>
    </row>
    <row r="574" spans="1:25">
      <c r="A574" s="253">
        <v>11</v>
      </c>
      <c r="B574" s="254" t="str">
        <f>VLOOKUP(Tabel10[[#This Row],[Code]],Ruimtegroepen[[Code]:[Ruimte omschrijving]],2,FALSE)</f>
        <v>Garderobes</v>
      </c>
      <c r="C574" s="255" t="s">
        <v>763</v>
      </c>
      <c r="D574" s="254" t="s">
        <v>21</v>
      </c>
      <c r="E574" s="255" t="s">
        <v>100</v>
      </c>
      <c r="F574" s="255" t="s">
        <v>764</v>
      </c>
      <c r="G574" s="260" t="s">
        <v>283</v>
      </c>
      <c r="H574" s="256" t="s">
        <v>283</v>
      </c>
      <c r="I574" s="256" t="s">
        <v>18</v>
      </c>
      <c r="J574" s="256" t="s">
        <v>15</v>
      </c>
      <c r="K574" s="256" t="s">
        <v>283</v>
      </c>
      <c r="L574" s="256" t="s">
        <v>283</v>
      </c>
      <c r="M574" s="256" t="s">
        <v>283</v>
      </c>
      <c r="N574" s="256" t="s">
        <v>283</v>
      </c>
      <c r="O574" s="257" t="s">
        <v>20</v>
      </c>
      <c r="P574" s="257" t="s">
        <v>20</v>
      </c>
      <c r="Q574" s="257" t="s">
        <v>15</v>
      </c>
      <c r="R574" s="257" t="s">
        <v>15</v>
      </c>
      <c r="S574" s="257" t="s">
        <v>16</v>
      </c>
      <c r="T574" s="257" t="s">
        <v>330</v>
      </c>
      <c r="U574" s="257" t="s">
        <v>250</v>
      </c>
      <c r="V574" s="257" t="s">
        <v>283</v>
      </c>
      <c r="W574" s="258" t="s">
        <v>283</v>
      </c>
      <c r="X574" s="258" t="s">
        <v>283</v>
      </c>
      <c r="Y574" s="259" t="s">
        <v>283</v>
      </c>
    </row>
    <row r="575" spans="1:25">
      <c r="A575" s="253">
        <v>11</v>
      </c>
      <c r="B575" s="254" t="str">
        <f>VLOOKUP(Tabel10[[#This Row],[Code]],Ruimtegroepen[[Code]:[Ruimte omschrijving]],2,FALSE)</f>
        <v>Garderobes</v>
      </c>
      <c r="C575" s="255" t="s">
        <v>763</v>
      </c>
      <c r="D575" s="254" t="s">
        <v>21</v>
      </c>
      <c r="E575" s="255" t="s">
        <v>99</v>
      </c>
      <c r="F575" s="255" t="s">
        <v>765</v>
      </c>
      <c r="G575" s="260" t="s">
        <v>283</v>
      </c>
      <c r="H575" s="256" t="s">
        <v>20</v>
      </c>
      <c r="I575" s="256" t="s">
        <v>283</v>
      </c>
      <c r="J575" s="256" t="s">
        <v>283</v>
      </c>
      <c r="K575" s="256" t="s">
        <v>283</v>
      </c>
      <c r="L575" s="256" t="s">
        <v>283</v>
      </c>
      <c r="M575" s="256" t="s">
        <v>283</v>
      </c>
      <c r="N575" s="256" t="s">
        <v>283</v>
      </c>
      <c r="O575" s="257" t="s">
        <v>20</v>
      </c>
      <c r="P575" s="257" t="s">
        <v>20</v>
      </c>
      <c r="Q575" s="257" t="s">
        <v>15</v>
      </c>
      <c r="R575" s="257" t="s">
        <v>15</v>
      </c>
      <c r="S575" s="257" t="s">
        <v>16</v>
      </c>
      <c r="T575" s="257" t="s">
        <v>330</v>
      </c>
      <c r="U575" s="257" t="s">
        <v>250</v>
      </c>
      <c r="V575" s="257" t="s">
        <v>283</v>
      </c>
      <c r="W575" s="258" t="s">
        <v>283</v>
      </c>
      <c r="X575" s="258" t="s">
        <v>283</v>
      </c>
      <c r="Y575" s="259" t="s">
        <v>283</v>
      </c>
    </row>
    <row r="576" spans="1:25">
      <c r="A576" s="253">
        <v>11</v>
      </c>
      <c r="B576" s="254" t="str">
        <f>VLOOKUP(Tabel10[[#This Row],[Code]],Ruimtegroepen[[Code]:[Ruimte omschrijving]],2,FALSE)</f>
        <v>Garderobes</v>
      </c>
      <c r="C576" s="255" t="s">
        <v>763</v>
      </c>
      <c r="D576" s="254" t="s">
        <v>21</v>
      </c>
      <c r="E576" s="255" t="s">
        <v>101</v>
      </c>
      <c r="F576" s="255" t="s">
        <v>766</v>
      </c>
      <c r="G576" s="260" t="s">
        <v>283</v>
      </c>
      <c r="H576" s="256" t="s">
        <v>283</v>
      </c>
      <c r="I576" s="256" t="s">
        <v>18</v>
      </c>
      <c r="J576" s="256" t="s">
        <v>15</v>
      </c>
      <c r="K576" s="256" t="s">
        <v>284</v>
      </c>
      <c r="L576" s="256" t="s">
        <v>283</v>
      </c>
      <c r="M576" s="256" t="s">
        <v>283</v>
      </c>
      <c r="N576" s="256" t="s">
        <v>283</v>
      </c>
      <c r="O576" s="257" t="s">
        <v>20</v>
      </c>
      <c r="P576" s="257" t="s">
        <v>20</v>
      </c>
      <c r="Q576" s="257" t="s">
        <v>15</v>
      </c>
      <c r="R576" s="257" t="s">
        <v>15</v>
      </c>
      <c r="S576" s="257" t="s">
        <v>16</v>
      </c>
      <c r="T576" s="257" t="s">
        <v>330</v>
      </c>
      <c r="U576" s="257" t="s">
        <v>250</v>
      </c>
      <c r="V576" s="257" t="s">
        <v>283</v>
      </c>
      <c r="W576" s="258" t="s">
        <v>283</v>
      </c>
      <c r="X576" s="258" t="s">
        <v>283</v>
      </c>
      <c r="Y576" s="259" t="s">
        <v>283</v>
      </c>
    </row>
    <row r="577" spans="1:25">
      <c r="A577" s="253">
        <v>11</v>
      </c>
      <c r="B577" s="254" t="str">
        <f>VLOOKUP(Tabel10[[#This Row],[Code]],Ruimtegroepen[[Code]:[Ruimte omschrijving]],2,FALSE)</f>
        <v>Garderobes</v>
      </c>
      <c r="C577" s="255" t="s">
        <v>763</v>
      </c>
      <c r="D577" s="254" t="s">
        <v>21</v>
      </c>
      <c r="E577" s="255" t="s">
        <v>102</v>
      </c>
      <c r="F577" s="255" t="s">
        <v>767</v>
      </c>
      <c r="G577" s="260" t="s">
        <v>283</v>
      </c>
      <c r="H577" s="256" t="s">
        <v>283</v>
      </c>
      <c r="I577" s="256" t="s">
        <v>18</v>
      </c>
      <c r="J577" s="256" t="s">
        <v>15</v>
      </c>
      <c r="K577" s="256" t="s">
        <v>284</v>
      </c>
      <c r="L577" s="256" t="s">
        <v>283</v>
      </c>
      <c r="M577" s="256" t="s">
        <v>283</v>
      </c>
      <c r="N577" s="256" t="s">
        <v>283</v>
      </c>
      <c r="O577" s="257" t="s">
        <v>20</v>
      </c>
      <c r="P577" s="257" t="s">
        <v>20</v>
      </c>
      <c r="Q577" s="257" t="s">
        <v>15</v>
      </c>
      <c r="R577" s="257" t="s">
        <v>15</v>
      </c>
      <c r="S577" s="257" t="s">
        <v>16</v>
      </c>
      <c r="T577" s="257" t="s">
        <v>330</v>
      </c>
      <c r="U577" s="257" t="s">
        <v>250</v>
      </c>
      <c r="V577" s="257" t="s">
        <v>283</v>
      </c>
      <c r="W577" s="258" t="s">
        <v>283</v>
      </c>
      <c r="X577" s="258" t="s">
        <v>283</v>
      </c>
      <c r="Y577" s="259" t="s">
        <v>283</v>
      </c>
    </row>
    <row r="578" spans="1:25">
      <c r="A578" s="253">
        <v>11</v>
      </c>
      <c r="B578" s="254" t="str">
        <f>VLOOKUP(Tabel10[[#This Row],[Code]],Ruimtegroepen[[Code]:[Ruimte omschrijving]],2,FALSE)</f>
        <v>Garderobes</v>
      </c>
      <c r="C578" s="255" t="s">
        <v>763</v>
      </c>
      <c r="D578" s="254" t="s">
        <v>21</v>
      </c>
      <c r="E578" s="255" t="s">
        <v>99</v>
      </c>
      <c r="F578" s="255" t="s">
        <v>765</v>
      </c>
      <c r="G578" s="260" t="s">
        <v>283</v>
      </c>
      <c r="H578" s="256" t="s">
        <v>20</v>
      </c>
      <c r="I578" s="256" t="s">
        <v>283</v>
      </c>
      <c r="J578" s="256" t="s">
        <v>283</v>
      </c>
      <c r="K578" s="256" t="s">
        <v>283</v>
      </c>
      <c r="L578" s="256" t="s">
        <v>283</v>
      </c>
      <c r="M578" s="256" t="s">
        <v>283</v>
      </c>
      <c r="N578" s="256" t="s">
        <v>283</v>
      </c>
      <c r="O578" s="257" t="s">
        <v>20</v>
      </c>
      <c r="P578" s="257" t="s">
        <v>20</v>
      </c>
      <c r="Q578" s="257" t="s">
        <v>15</v>
      </c>
      <c r="R578" s="257" t="s">
        <v>15</v>
      </c>
      <c r="S578" s="257" t="s">
        <v>16</v>
      </c>
      <c r="T578" s="257" t="s">
        <v>330</v>
      </c>
      <c r="U578" s="257" t="s">
        <v>250</v>
      </c>
      <c r="V578" s="257" t="s">
        <v>283</v>
      </c>
      <c r="W578" s="258" t="s">
        <v>283</v>
      </c>
      <c r="X578" s="258" t="s">
        <v>283</v>
      </c>
      <c r="Y578" s="259" t="s">
        <v>283</v>
      </c>
    </row>
    <row r="579" spans="1:25">
      <c r="A579" s="253">
        <v>11</v>
      </c>
      <c r="B579" s="254" t="str">
        <f>VLOOKUP(Tabel10[[#This Row],[Code]],Ruimtegroepen[[Code]:[Ruimte omschrijving]],2,FALSE)</f>
        <v>Garderobes</v>
      </c>
      <c r="C579" s="255" t="s">
        <v>763</v>
      </c>
      <c r="D579" s="254" t="s">
        <v>21</v>
      </c>
      <c r="E579" s="255" t="s">
        <v>1312</v>
      </c>
      <c r="F579" s="255" t="s">
        <v>1454</v>
      </c>
      <c r="G579" s="260" t="s">
        <v>283</v>
      </c>
      <c r="H579" s="256" t="s">
        <v>283</v>
      </c>
      <c r="I579" s="256" t="s">
        <v>18</v>
      </c>
      <c r="J579" s="256" t="s">
        <v>15</v>
      </c>
      <c r="K579" s="256" t="s">
        <v>284</v>
      </c>
      <c r="L579" s="256" t="s">
        <v>283</v>
      </c>
      <c r="M579" s="256" t="s">
        <v>283</v>
      </c>
      <c r="N579" s="256" t="s">
        <v>283</v>
      </c>
      <c r="O579" s="257" t="s">
        <v>20</v>
      </c>
      <c r="P579" s="257" t="s">
        <v>20</v>
      </c>
      <c r="Q579" s="257" t="s">
        <v>15</v>
      </c>
      <c r="R579" s="257" t="s">
        <v>15</v>
      </c>
      <c r="S579" s="257" t="s">
        <v>16</v>
      </c>
      <c r="T579" s="257" t="s">
        <v>330</v>
      </c>
      <c r="U579" s="257" t="s">
        <v>250</v>
      </c>
      <c r="V579" s="257" t="s">
        <v>283</v>
      </c>
      <c r="W579" s="258" t="s">
        <v>283</v>
      </c>
      <c r="X579" s="258" t="s">
        <v>283</v>
      </c>
      <c r="Y579" s="259" t="s">
        <v>283</v>
      </c>
    </row>
    <row r="580" spans="1:25">
      <c r="A580" s="253">
        <v>11</v>
      </c>
      <c r="B580" s="254" t="str">
        <f>VLOOKUP(Tabel10[[#This Row],[Code]],Ruimtegroepen[[Code]:[Ruimte omschrijving]],2,FALSE)</f>
        <v>Garderobes</v>
      </c>
      <c r="C580" s="255" t="s">
        <v>768</v>
      </c>
      <c r="D580" s="254" t="s">
        <v>12</v>
      </c>
      <c r="E580" s="255" t="s">
        <v>100</v>
      </c>
      <c r="F580" s="255" t="s">
        <v>769</v>
      </c>
      <c r="G580" s="260" t="s">
        <v>283</v>
      </c>
      <c r="H580" s="256" t="s">
        <v>283</v>
      </c>
      <c r="I580" s="256" t="s">
        <v>17</v>
      </c>
      <c r="J580" s="256" t="s">
        <v>15</v>
      </c>
      <c r="K580" s="256" t="s">
        <v>283</v>
      </c>
      <c r="L580" s="256" t="s">
        <v>283</v>
      </c>
      <c r="M580" s="256" t="s">
        <v>283</v>
      </c>
      <c r="N580" s="256" t="s">
        <v>283</v>
      </c>
      <c r="O580" s="257" t="s">
        <v>18</v>
      </c>
      <c r="P580" s="257" t="s">
        <v>18</v>
      </c>
      <c r="Q580" s="257" t="s">
        <v>15</v>
      </c>
      <c r="R580" s="257" t="s">
        <v>15</v>
      </c>
      <c r="S580" s="257" t="s">
        <v>16</v>
      </c>
      <c r="T580" s="257" t="s">
        <v>330</v>
      </c>
      <c r="U580" s="257" t="s">
        <v>250</v>
      </c>
      <c r="V580" s="257" t="s">
        <v>283</v>
      </c>
      <c r="W580" s="258" t="s">
        <v>283</v>
      </c>
      <c r="X580" s="258" t="s">
        <v>283</v>
      </c>
      <c r="Y580" s="259" t="s">
        <v>283</v>
      </c>
    </row>
    <row r="581" spans="1:25">
      <c r="A581" s="253">
        <v>11</v>
      </c>
      <c r="B581" s="254" t="str">
        <f>VLOOKUP(Tabel10[[#This Row],[Code]],Ruimtegroepen[[Code]:[Ruimte omschrijving]],2,FALSE)</f>
        <v>Garderobes</v>
      </c>
      <c r="C581" s="255" t="s">
        <v>768</v>
      </c>
      <c r="D581" s="254" t="s">
        <v>12</v>
      </c>
      <c r="E581" s="255" t="s">
        <v>99</v>
      </c>
      <c r="F581" s="255" t="s">
        <v>770</v>
      </c>
      <c r="G581" s="260" t="s">
        <v>283</v>
      </c>
      <c r="H581" s="256" t="s">
        <v>18</v>
      </c>
      <c r="I581" s="256" t="s">
        <v>283</v>
      </c>
      <c r="J581" s="256" t="s">
        <v>283</v>
      </c>
      <c r="K581" s="256" t="s">
        <v>283</v>
      </c>
      <c r="L581" s="256" t="s">
        <v>283</v>
      </c>
      <c r="M581" s="256" t="s">
        <v>283</v>
      </c>
      <c r="N581" s="256" t="s">
        <v>283</v>
      </c>
      <c r="O581" s="257" t="s">
        <v>18</v>
      </c>
      <c r="P581" s="257" t="s">
        <v>18</v>
      </c>
      <c r="Q581" s="257" t="s">
        <v>15</v>
      </c>
      <c r="R581" s="257" t="s">
        <v>15</v>
      </c>
      <c r="S581" s="257" t="s">
        <v>16</v>
      </c>
      <c r="T581" s="257" t="s">
        <v>330</v>
      </c>
      <c r="U581" s="257" t="s">
        <v>250</v>
      </c>
      <c r="V581" s="257" t="s">
        <v>283</v>
      </c>
      <c r="W581" s="258" t="s">
        <v>283</v>
      </c>
      <c r="X581" s="258" t="s">
        <v>283</v>
      </c>
      <c r="Y581" s="259" t="s">
        <v>283</v>
      </c>
    </row>
    <row r="582" spans="1:25">
      <c r="A582" s="253">
        <v>11</v>
      </c>
      <c r="B582" s="254" t="str">
        <f>VLOOKUP(Tabel10[[#This Row],[Code]],Ruimtegroepen[[Code]:[Ruimte omschrijving]],2,FALSE)</f>
        <v>Garderobes</v>
      </c>
      <c r="C582" s="255" t="s">
        <v>768</v>
      </c>
      <c r="D582" s="254" t="s">
        <v>12</v>
      </c>
      <c r="E582" s="255" t="s">
        <v>101</v>
      </c>
      <c r="F582" s="255" t="s">
        <v>771</v>
      </c>
      <c r="G582" s="260" t="s">
        <v>283</v>
      </c>
      <c r="H582" s="256" t="s">
        <v>283</v>
      </c>
      <c r="I582" s="256" t="s">
        <v>17</v>
      </c>
      <c r="J582" s="256" t="s">
        <v>15</v>
      </c>
      <c r="K582" s="256" t="s">
        <v>284</v>
      </c>
      <c r="L582" s="256" t="s">
        <v>283</v>
      </c>
      <c r="M582" s="256" t="s">
        <v>283</v>
      </c>
      <c r="N582" s="256" t="s">
        <v>283</v>
      </c>
      <c r="O582" s="257" t="s">
        <v>18</v>
      </c>
      <c r="P582" s="257" t="s">
        <v>18</v>
      </c>
      <c r="Q582" s="257" t="s">
        <v>15</v>
      </c>
      <c r="R582" s="257" t="s">
        <v>15</v>
      </c>
      <c r="S582" s="257" t="s">
        <v>16</v>
      </c>
      <c r="T582" s="257" t="s">
        <v>330</v>
      </c>
      <c r="U582" s="257" t="s">
        <v>250</v>
      </c>
      <c r="V582" s="257" t="s">
        <v>283</v>
      </c>
      <c r="W582" s="258" t="s">
        <v>283</v>
      </c>
      <c r="X582" s="258" t="s">
        <v>283</v>
      </c>
      <c r="Y582" s="259" t="s">
        <v>283</v>
      </c>
    </row>
    <row r="583" spans="1:25">
      <c r="A583" s="253">
        <v>11</v>
      </c>
      <c r="B583" s="254" t="str">
        <f>VLOOKUP(Tabel10[[#This Row],[Code]],Ruimtegroepen[[Code]:[Ruimte omschrijving]],2,FALSE)</f>
        <v>Garderobes</v>
      </c>
      <c r="C583" s="255" t="s">
        <v>768</v>
      </c>
      <c r="D583" s="254" t="s">
        <v>12</v>
      </c>
      <c r="E583" s="255" t="s">
        <v>102</v>
      </c>
      <c r="F583" s="255" t="s">
        <v>772</v>
      </c>
      <c r="G583" s="260" t="s">
        <v>283</v>
      </c>
      <c r="H583" s="256" t="s">
        <v>283</v>
      </c>
      <c r="I583" s="256" t="s">
        <v>17</v>
      </c>
      <c r="J583" s="256" t="s">
        <v>15</v>
      </c>
      <c r="K583" s="256" t="s">
        <v>284</v>
      </c>
      <c r="L583" s="256" t="s">
        <v>283</v>
      </c>
      <c r="M583" s="256" t="s">
        <v>283</v>
      </c>
      <c r="N583" s="256" t="s">
        <v>283</v>
      </c>
      <c r="O583" s="257" t="s">
        <v>18</v>
      </c>
      <c r="P583" s="257" t="s">
        <v>18</v>
      </c>
      <c r="Q583" s="257" t="s">
        <v>15</v>
      </c>
      <c r="R583" s="257" t="s">
        <v>15</v>
      </c>
      <c r="S583" s="257" t="s">
        <v>16</v>
      </c>
      <c r="T583" s="257" t="s">
        <v>330</v>
      </c>
      <c r="U583" s="257" t="s">
        <v>250</v>
      </c>
      <c r="V583" s="257" t="s">
        <v>283</v>
      </c>
      <c r="W583" s="258" t="s">
        <v>283</v>
      </c>
      <c r="X583" s="258" t="s">
        <v>283</v>
      </c>
      <c r="Y583" s="259" t="s">
        <v>283</v>
      </c>
    </row>
    <row r="584" spans="1:25">
      <c r="A584" s="253">
        <v>11</v>
      </c>
      <c r="B584" s="254" t="str">
        <f>VLOOKUP(Tabel10[[#This Row],[Code]],Ruimtegroepen[[Code]:[Ruimte omschrijving]],2,FALSE)</f>
        <v>Garderobes</v>
      </c>
      <c r="C584" s="255" t="s">
        <v>768</v>
      </c>
      <c r="D584" s="254" t="s">
        <v>12</v>
      </c>
      <c r="E584" s="255" t="s">
        <v>99</v>
      </c>
      <c r="F584" s="255" t="s">
        <v>770</v>
      </c>
      <c r="G584" s="260" t="s">
        <v>283</v>
      </c>
      <c r="H584" s="256" t="s">
        <v>18</v>
      </c>
      <c r="I584" s="256" t="s">
        <v>283</v>
      </c>
      <c r="J584" s="256" t="s">
        <v>283</v>
      </c>
      <c r="K584" s="256" t="s">
        <v>283</v>
      </c>
      <c r="L584" s="256" t="s">
        <v>283</v>
      </c>
      <c r="M584" s="256" t="s">
        <v>283</v>
      </c>
      <c r="N584" s="256" t="s">
        <v>283</v>
      </c>
      <c r="O584" s="257" t="s">
        <v>18</v>
      </c>
      <c r="P584" s="257" t="s">
        <v>18</v>
      </c>
      <c r="Q584" s="257" t="s">
        <v>15</v>
      </c>
      <c r="R584" s="257" t="s">
        <v>15</v>
      </c>
      <c r="S584" s="257" t="s">
        <v>16</v>
      </c>
      <c r="T584" s="257" t="s">
        <v>330</v>
      </c>
      <c r="U584" s="257" t="s">
        <v>250</v>
      </c>
      <c r="V584" s="257" t="s">
        <v>283</v>
      </c>
      <c r="W584" s="258" t="s">
        <v>283</v>
      </c>
      <c r="X584" s="258" t="s">
        <v>283</v>
      </c>
      <c r="Y584" s="259" t="s">
        <v>283</v>
      </c>
    </row>
    <row r="585" spans="1:25">
      <c r="A585" s="253">
        <v>11</v>
      </c>
      <c r="B585" s="254" t="str">
        <f>VLOOKUP(Tabel10[[#This Row],[Code]],Ruimtegroepen[[Code]:[Ruimte omschrijving]],2,FALSE)</f>
        <v>Garderobes</v>
      </c>
      <c r="C585" s="255" t="s">
        <v>768</v>
      </c>
      <c r="D585" s="254" t="s">
        <v>12</v>
      </c>
      <c r="E585" s="255" t="s">
        <v>1312</v>
      </c>
      <c r="F585" s="255" t="s">
        <v>1436</v>
      </c>
      <c r="G585" s="260" t="s">
        <v>283</v>
      </c>
      <c r="H585" s="256" t="s">
        <v>283</v>
      </c>
      <c r="I585" s="256" t="s">
        <v>17</v>
      </c>
      <c r="J585" s="256" t="s">
        <v>15</v>
      </c>
      <c r="K585" s="256" t="s">
        <v>284</v>
      </c>
      <c r="L585" s="256" t="s">
        <v>283</v>
      </c>
      <c r="M585" s="256" t="s">
        <v>283</v>
      </c>
      <c r="N585" s="256" t="s">
        <v>283</v>
      </c>
      <c r="O585" s="257" t="s">
        <v>18</v>
      </c>
      <c r="P585" s="257" t="s">
        <v>18</v>
      </c>
      <c r="Q585" s="257" t="s">
        <v>15</v>
      </c>
      <c r="R585" s="257" t="s">
        <v>15</v>
      </c>
      <c r="S585" s="257" t="s">
        <v>16</v>
      </c>
      <c r="T585" s="257" t="s">
        <v>330</v>
      </c>
      <c r="U585" s="257" t="s">
        <v>250</v>
      </c>
      <c r="V585" s="257" t="s">
        <v>283</v>
      </c>
      <c r="W585" s="258" t="s">
        <v>283</v>
      </c>
      <c r="X585" s="258" t="s">
        <v>283</v>
      </c>
      <c r="Y585" s="259" t="s">
        <v>283</v>
      </c>
    </row>
    <row r="586" spans="1:25">
      <c r="A586" s="253">
        <v>11</v>
      </c>
      <c r="B586" s="254" t="str">
        <f>VLOOKUP(Tabel10[[#This Row],[Code]],Ruimtegroepen[[Code]:[Ruimte omschrijving]],2,FALSE)</f>
        <v>Garderobes</v>
      </c>
      <c r="C586" s="255" t="s">
        <v>773</v>
      </c>
      <c r="D586" s="254" t="s">
        <v>14</v>
      </c>
      <c r="E586" s="255" t="s">
        <v>100</v>
      </c>
      <c r="F586" s="255" t="s">
        <v>774</v>
      </c>
      <c r="G586" s="260" t="s">
        <v>283</v>
      </c>
      <c r="H586" s="256" t="s">
        <v>283</v>
      </c>
      <c r="I586" s="256" t="s">
        <v>15</v>
      </c>
      <c r="J586" s="256" t="s">
        <v>15</v>
      </c>
      <c r="K586" s="256" t="s">
        <v>283</v>
      </c>
      <c r="L586" s="256" t="s">
        <v>283</v>
      </c>
      <c r="M586" s="256" t="s">
        <v>283</v>
      </c>
      <c r="N586" s="256" t="s">
        <v>283</v>
      </c>
      <c r="O586" s="257" t="s">
        <v>17</v>
      </c>
      <c r="P586" s="257" t="s">
        <v>17</v>
      </c>
      <c r="Q586" s="257" t="s">
        <v>15</v>
      </c>
      <c r="R586" s="257" t="s">
        <v>15</v>
      </c>
      <c r="S586" s="257" t="s">
        <v>16</v>
      </c>
      <c r="T586" s="257" t="s">
        <v>330</v>
      </c>
      <c r="U586" s="257" t="s">
        <v>250</v>
      </c>
      <c r="V586" s="257" t="s">
        <v>283</v>
      </c>
      <c r="W586" s="258" t="s">
        <v>283</v>
      </c>
      <c r="X586" s="258" t="s">
        <v>283</v>
      </c>
      <c r="Y586" s="259" t="s">
        <v>283</v>
      </c>
    </row>
    <row r="587" spans="1:25">
      <c r="A587" s="253">
        <v>11</v>
      </c>
      <c r="B587" s="254" t="str">
        <f>VLOOKUP(Tabel10[[#This Row],[Code]],Ruimtegroepen[[Code]:[Ruimte omschrijving]],2,FALSE)</f>
        <v>Garderobes</v>
      </c>
      <c r="C587" s="255" t="s">
        <v>773</v>
      </c>
      <c r="D587" s="254" t="s">
        <v>14</v>
      </c>
      <c r="E587" s="255" t="s">
        <v>99</v>
      </c>
      <c r="F587" s="255" t="s">
        <v>775</v>
      </c>
      <c r="G587" s="260" t="s">
        <v>283</v>
      </c>
      <c r="H587" s="256" t="s">
        <v>17</v>
      </c>
      <c r="I587" s="256" t="s">
        <v>283</v>
      </c>
      <c r="J587" s="256" t="s">
        <v>283</v>
      </c>
      <c r="K587" s="256" t="s">
        <v>283</v>
      </c>
      <c r="L587" s="256" t="s">
        <v>283</v>
      </c>
      <c r="M587" s="256" t="s">
        <v>283</v>
      </c>
      <c r="N587" s="256" t="s">
        <v>283</v>
      </c>
      <c r="O587" s="257" t="s">
        <v>17</v>
      </c>
      <c r="P587" s="257" t="s">
        <v>17</v>
      </c>
      <c r="Q587" s="257" t="s">
        <v>15</v>
      </c>
      <c r="R587" s="257" t="s">
        <v>15</v>
      </c>
      <c r="S587" s="257" t="s">
        <v>16</v>
      </c>
      <c r="T587" s="257" t="s">
        <v>330</v>
      </c>
      <c r="U587" s="257" t="s">
        <v>250</v>
      </c>
      <c r="V587" s="257" t="s">
        <v>283</v>
      </c>
      <c r="W587" s="258" t="s">
        <v>283</v>
      </c>
      <c r="X587" s="258" t="s">
        <v>283</v>
      </c>
      <c r="Y587" s="259" t="s">
        <v>283</v>
      </c>
    </row>
    <row r="588" spans="1:25">
      <c r="A588" s="253">
        <v>11</v>
      </c>
      <c r="B588" s="254" t="str">
        <f>VLOOKUP(Tabel10[[#This Row],[Code]],Ruimtegroepen[[Code]:[Ruimte omschrijving]],2,FALSE)</f>
        <v>Garderobes</v>
      </c>
      <c r="C588" s="255" t="s">
        <v>773</v>
      </c>
      <c r="D588" s="254" t="s">
        <v>14</v>
      </c>
      <c r="E588" s="255" t="s">
        <v>101</v>
      </c>
      <c r="F588" s="255" t="s">
        <v>776</v>
      </c>
      <c r="G588" s="260" t="s">
        <v>283</v>
      </c>
      <c r="H588" s="256" t="s">
        <v>283</v>
      </c>
      <c r="I588" s="256" t="s">
        <v>15</v>
      </c>
      <c r="J588" s="256" t="s">
        <v>15</v>
      </c>
      <c r="K588" s="256" t="s">
        <v>284</v>
      </c>
      <c r="L588" s="256" t="s">
        <v>283</v>
      </c>
      <c r="M588" s="256" t="s">
        <v>283</v>
      </c>
      <c r="N588" s="256" t="s">
        <v>283</v>
      </c>
      <c r="O588" s="257" t="s">
        <v>17</v>
      </c>
      <c r="P588" s="257" t="s">
        <v>17</v>
      </c>
      <c r="Q588" s="257" t="s">
        <v>15</v>
      </c>
      <c r="R588" s="257" t="s">
        <v>15</v>
      </c>
      <c r="S588" s="257" t="s">
        <v>16</v>
      </c>
      <c r="T588" s="257" t="s">
        <v>330</v>
      </c>
      <c r="U588" s="257" t="s">
        <v>250</v>
      </c>
      <c r="V588" s="257" t="s">
        <v>283</v>
      </c>
      <c r="W588" s="258" t="s">
        <v>283</v>
      </c>
      <c r="X588" s="258" t="s">
        <v>283</v>
      </c>
      <c r="Y588" s="259" t="s">
        <v>283</v>
      </c>
    </row>
    <row r="589" spans="1:25">
      <c r="A589" s="253">
        <v>11</v>
      </c>
      <c r="B589" s="254" t="str">
        <f>VLOOKUP(Tabel10[[#This Row],[Code]],Ruimtegroepen[[Code]:[Ruimte omschrijving]],2,FALSE)</f>
        <v>Garderobes</v>
      </c>
      <c r="C589" s="255" t="s">
        <v>773</v>
      </c>
      <c r="D589" s="254" t="s">
        <v>14</v>
      </c>
      <c r="E589" s="255" t="s">
        <v>102</v>
      </c>
      <c r="F589" s="255" t="s">
        <v>777</v>
      </c>
      <c r="G589" s="260" t="s">
        <v>283</v>
      </c>
      <c r="H589" s="256" t="s">
        <v>283</v>
      </c>
      <c r="I589" s="256" t="s">
        <v>15</v>
      </c>
      <c r="J589" s="256" t="s">
        <v>15</v>
      </c>
      <c r="K589" s="256" t="s">
        <v>284</v>
      </c>
      <c r="L589" s="256" t="s">
        <v>283</v>
      </c>
      <c r="M589" s="256" t="s">
        <v>283</v>
      </c>
      <c r="N589" s="256" t="s">
        <v>283</v>
      </c>
      <c r="O589" s="257" t="s">
        <v>17</v>
      </c>
      <c r="P589" s="257" t="s">
        <v>17</v>
      </c>
      <c r="Q589" s="257" t="s">
        <v>15</v>
      </c>
      <c r="R589" s="257" t="s">
        <v>15</v>
      </c>
      <c r="S589" s="257" t="s">
        <v>16</v>
      </c>
      <c r="T589" s="257" t="s">
        <v>330</v>
      </c>
      <c r="U589" s="257" t="s">
        <v>250</v>
      </c>
      <c r="V589" s="257" t="s">
        <v>283</v>
      </c>
      <c r="W589" s="258" t="s">
        <v>283</v>
      </c>
      <c r="X589" s="258" t="s">
        <v>283</v>
      </c>
      <c r="Y589" s="259" t="s">
        <v>283</v>
      </c>
    </row>
    <row r="590" spans="1:25">
      <c r="A590" s="253">
        <v>11</v>
      </c>
      <c r="B590" s="254" t="str">
        <f>VLOOKUP(Tabel10[[#This Row],[Code]],Ruimtegroepen[[Code]:[Ruimte omschrijving]],2,FALSE)</f>
        <v>Garderobes</v>
      </c>
      <c r="C590" s="255" t="s">
        <v>773</v>
      </c>
      <c r="D590" s="254" t="s">
        <v>14</v>
      </c>
      <c r="E590" s="255" t="s">
        <v>99</v>
      </c>
      <c r="F590" s="255" t="s">
        <v>775</v>
      </c>
      <c r="G590" s="260" t="s">
        <v>283</v>
      </c>
      <c r="H590" s="256" t="s">
        <v>17</v>
      </c>
      <c r="I590" s="256" t="s">
        <v>283</v>
      </c>
      <c r="J590" s="256" t="s">
        <v>283</v>
      </c>
      <c r="K590" s="256" t="s">
        <v>283</v>
      </c>
      <c r="L590" s="256" t="s">
        <v>283</v>
      </c>
      <c r="M590" s="256" t="s">
        <v>283</v>
      </c>
      <c r="N590" s="256" t="s">
        <v>283</v>
      </c>
      <c r="O590" s="257" t="s">
        <v>17</v>
      </c>
      <c r="P590" s="257" t="s">
        <v>17</v>
      </c>
      <c r="Q590" s="257" t="s">
        <v>15</v>
      </c>
      <c r="R590" s="257" t="s">
        <v>15</v>
      </c>
      <c r="S590" s="257" t="s">
        <v>16</v>
      </c>
      <c r="T590" s="257" t="s">
        <v>330</v>
      </c>
      <c r="U590" s="257" t="s">
        <v>250</v>
      </c>
      <c r="V590" s="257" t="s">
        <v>283</v>
      </c>
      <c r="W590" s="258" t="s">
        <v>283</v>
      </c>
      <c r="X590" s="258" t="s">
        <v>283</v>
      </c>
      <c r="Y590" s="259" t="s">
        <v>283</v>
      </c>
    </row>
    <row r="591" spans="1:25">
      <c r="A591" s="253">
        <v>11</v>
      </c>
      <c r="B591" s="254" t="str">
        <f>VLOOKUP(Tabel10[[#This Row],[Code]],Ruimtegroepen[[Code]:[Ruimte omschrijving]],2,FALSE)</f>
        <v>Garderobes</v>
      </c>
      <c r="C591" s="255" t="s">
        <v>773</v>
      </c>
      <c r="D591" s="254" t="s">
        <v>14</v>
      </c>
      <c r="E591" s="255" t="s">
        <v>1312</v>
      </c>
      <c r="F591" s="255" t="s">
        <v>1403</v>
      </c>
      <c r="G591" s="260" t="s">
        <v>283</v>
      </c>
      <c r="H591" s="256" t="s">
        <v>283</v>
      </c>
      <c r="I591" s="256" t="s">
        <v>15</v>
      </c>
      <c r="J591" s="256" t="s">
        <v>15</v>
      </c>
      <c r="K591" s="256" t="s">
        <v>284</v>
      </c>
      <c r="L591" s="256" t="s">
        <v>283</v>
      </c>
      <c r="M591" s="256" t="s">
        <v>283</v>
      </c>
      <c r="N591" s="256" t="s">
        <v>283</v>
      </c>
      <c r="O591" s="257" t="s">
        <v>17</v>
      </c>
      <c r="P591" s="257" t="s">
        <v>17</v>
      </c>
      <c r="Q591" s="257" t="s">
        <v>15</v>
      </c>
      <c r="R591" s="257" t="s">
        <v>15</v>
      </c>
      <c r="S591" s="257" t="s">
        <v>16</v>
      </c>
      <c r="T591" s="257" t="s">
        <v>330</v>
      </c>
      <c r="U591" s="257" t="s">
        <v>250</v>
      </c>
      <c r="V591" s="257" t="s">
        <v>283</v>
      </c>
      <c r="W591" s="258" t="s">
        <v>283</v>
      </c>
      <c r="X591" s="258" t="s">
        <v>283</v>
      </c>
      <c r="Y591" s="259" t="s">
        <v>283</v>
      </c>
    </row>
    <row r="592" spans="1:25">
      <c r="A592" s="253">
        <v>11</v>
      </c>
      <c r="B592" s="254" t="str">
        <f>VLOOKUP(Tabel10[[#This Row],[Code]],Ruimtegroepen[[Code]:[Ruimte omschrijving]],2,FALSE)</f>
        <v>Garderobes</v>
      </c>
      <c r="C592" s="255" t="s">
        <v>778</v>
      </c>
      <c r="D592" s="254" t="s">
        <v>13</v>
      </c>
      <c r="E592" s="255" t="s">
        <v>100</v>
      </c>
      <c r="F592" s="255" t="s">
        <v>779</v>
      </c>
      <c r="G592" s="260" t="s">
        <v>283</v>
      </c>
      <c r="H592" s="256" t="s">
        <v>283</v>
      </c>
      <c r="I592" s="256" t="s">
        <v>283</v>
      </c>
      <c r="J592" s="256" t="s">
        <v>15</v>
      </c>
      <c r="K592" s="256" t="s">
        <v>283</v>
      </c>
      <c r="L592" s="256" t="s">
        <v>283</v>
      </c>
      <c r="M592" s="256" t="s">
        <v>283</v>
      </c>
      <c r="N592" s="256" t="s">
        <v>283</v>
      </c>
      <c r="O592" s="257" t="s">
        <v>15</v>
      </c>
      <c r="P592" s="257" t="s">
        <v>15</v>
      </c>
      <c r="Q592" s="257" t="s">
        <v>15</v>
      </c>
      <c r="R592" s="257" t="s">
        <v>15</v>
      </c>
      <c r="S592" s="257" t="s">
        <v>16</v>
      </c>
      <c r="T592" s="257" t="s">
        <v>330</v>
      </c>
      <c r="U592" s="257" t="s">
        <v>250</v>
      </c>
      <c r="V592" s="257" t="s">
        <v>283</v>
      </c>
      <c r="W592" s="258" t="s">
        <v>283</v>
      </c>
      <c r="X592" s="258" t="s">
        <v>283</v>
      </c>
      <c r="Y592" s="259" t="s">
        <v>283</v>
      </c>
    </row>
    <row r="593" spans="1:25">
      <c r="A593" s="253">
        <v>11</v>
      </c>
      <c r="B593" s="254" t="str">
        <f>VLOOKUP(Tabel10[[#This Row],[Code]],Ruimtegroepen[[Code]:[Ruimte omschrijving]],2,FALSE)</f>
        <v>Garderobes</v>
      </c>
      <c r="C593" s="255" t="s">
        <v>778</v>
      </c>
      <c r="D593" s="254" t="s">
        <v>13</v>
      </c>
      <c r="E593" s="255" t="s">
        <v>99</v>
      </c>
      <c r="F593" s="255" t="s">
        <v>780</v>
      </c>
      <c r="G593" s="260" t="s">
        <v>283</v>
      </c>
      <c r="H593" s="256" t="s">
        <v>15</v>
      </c>
      <c r="I593" s="256" t="s">
        <v>283</v>
      </c>
      <c r="J593" s="256" t="s">
        <v>283</v>
      </c>
      <c r="K593" s="256" t="s">
        <v>283</v>
      </c>
      <c r="L593" s="256" t="s">
        <v>283</v>
      </c>
      <c r="M593" s="256" t="s">
        <v>283</v>
      </c>
      <c r="N593" s="256" t="s">
        <v>283</v>
      </c>
      <c r="O593" s="257" t="s">
        <v>15</v>
      </c>
      <c r="P593" s="257" t="s">
        <v>15</v>
      </c>
      <c r="Q593" s="257" t="s">
        <v>15</v>
      </c>
      <c r="R593" s="257" t="s">
        <v>15</v>
      </c>
      <c r="S593" s="257" t="s">
        <v>16</v>
      </c>
      <c r="T593" s="257" t="s">
        <v>330</v>
      </c>
      <c r="U593" s="257" t="s">
        <v>250</v>
      </c>
      <c r="V593" s="257" t="s">
        <v>283</v>
      </c>
      <c r="W593" s="258" t="s">
        <v>283</v>
      </c>
      <c r="X593" s="258" t="s">
        <v>283</v>
      </c>
      <c r="Y593" s="259" t="s">
        <v>283</v>
      </c>
    </row>
    <row r="594" spans="1:25">
      <c r="A594" s="253">
        <v>11</v>
      </c>
      <c r="B594" s="254" t="str">
        <f>VLOOKUP(Tabel10[[#This Row],[Code]],Ruimtegroepen[[Code]:[Ruimte omschrijving]],2,FALSE)</f>
        <v>Garderobes</v>
      </c>
      <c r="C594" s="255" t="s">
        <v>778</v>
      </c>
      <c r="D594" s="254" t="s">
        <v>13</v>
      </c>
      <c r="E594" s="255" t="s">
        <v>101</v>
      </c>
      <c r="F594" s="255" t="s">
        <v>781</v>
      </c>
      <c r="G594" s="260" t="s">
        <v>283</v>
      </c>
      <c r="H594" s="256" t="s">
        <v>283</v>
      </c>
      <c r="I594" s="256" t="s">
        <v>283</v>
      </c>
      <c r="J594" s="256" t="s">
        <v>15</v>
      </c>
      <c r="K594" s="256" t="s">
        <v>284</v>
      </c>
      <c r="L594" s="256" t="s">
        <v>283</v>
      </c>
      <c r="M594" s="256" t="s">
        <v>283</v>
      </c>
      <c r="N594" s="256" t="s">
        <v>283</v>
      </c>
      <c r="O594" s="257" t="s">
        <v>15</v>
      </c>
      <c r="P594" s="257" t="s">
        <v>15</v>
      </c>
      <c r="Q594" s="257" t="s">
        <v>15</v>
      </c>
      <c r="R594" s="257" t="s">
        <v>15</v>
      </c>
      <c r="S594" s="257" t="s">
        <v>16</v>
      </c>
      <c r="T594" s="257" t="s">
        <v>330</v>
      </c>
      <c r="U594" s="257" t="s">
        <v>250</v>
      </c>
      <c r="V594" s="257" t="s">
        <v>283</v>
      </c>
      <c r="W594" s="258" t="s">
        <v>283</v>
      </c>
      <c r="X594" s="258" t="s">
        <v>283</v>
      </c>
      <c r="Y594" s="259" t="s">
        <v>283</v>
      </c>
    </row>
    <row r="595" spans="1:25">
      <c r="A595" s="253">
        <v>11</v>
      </c>
      <c r="B595" s="254" t="str">
        <f>VLOOKUP(Tabel10[[#This Row],[Code]],Ruimtegroepen[[Code]:[Ruimte omschrijving]],2,FALSE)</f>
        <v>Garderobes</v>
      </c>
      <c r="C595" s="255" t="s">
        <v>778</v>
      </c>
      <c r="D595" s="254" t="s">
        <v>13</v>
      </c>
      <c r="E595" s="255" t="s">
        <v>102</v>
      </c>
      <c r="F595" s="255" t="s">
        <v>782</v>
      </c>
      <c r="G595" s="260" t="s">
        <v>283</v>
      </c>
      <c r="H595" s="256" t="s">
        <v>283</v>
      </c>
      <c r="I595" s="256" t="s">
        <v>283</v>
      </c>
      <c r="J595" s="256" t="s">
        <v>15</v>
      </c>
      <c r="K595" s="256" t="s">
        <v>284</v>
      </c>
      <c r="L595" s="256" t="s">
        <v>283</v>
      </c>
      <c r="M595" s="256" t="s">
        <v>283</v>
      </c>
      <c r="N595" s="256" t="s">
        <v>283</v>
      </c>
      <c r="O595" s="257" t="s">
        <v>15</v>
      </c>
      <c r="P595" s="257" t="s">
        <v>15</v>
      </c>
      <c r="Q595" s="257" t="s">
        <v>15</v>
      </c>
      <c r="R595" s="257" t="s">
        <v>15</v>
      </c>
      <c r="S595" s="257" t="s">
        <v>16</v>
      </c>
      <c r="T595" s="257" t="s">
        <v>330</v>
      </c>
      <c r="U595" s="257" t="s">
        <v>250</v>
      </c>
      <c r="V595" s="257" t="s">
        <v>283</v>
      </c>
      <c r="W595" s="258" t="s">
        <v>283</v>
      </c>
      <c r="X595" s="258" t="s">
        <v>283</v>
      </c>
      <c r="Y595" s="259" t="s">
        <v>283</v>
      </c>
    </row>
    <row r="596" spans="1:25">
      <c r="A596" s="253">
        <v>11</v>
      </c>
      <c r="B596" s="254" t="str">
        <f>VLOOKUP(Tabel10[[#This Row],[Code]],Ruimtegroepen[[Code]:[Ruimte omschrijving]],2,FALSE)</f>
        <v>Garderobes</v>
      </c>
      <c r="C596" s="255" t="s">
        <v>778</v>
      </c>
      <c r="D596" s="254" t="s">
        <v>13</v>
      </c>
      <c r="E596" s="255" t="s">
        <v>99</v>
      </c>
      <c r="F596" s="255" t="s">
        <v>780</v>
      </c>
      <c r="G596" s="260" t="s">
        <v>283</v>
      </c>
      <c r="H596" s="256" t="s">
        <v>15</v>
      </c>
      <c r="I596" s="256" t="s">
        <v>283</v>
      </c>
      <c r="J596" s="256" t="s">
        <v>283</v>
      </c>
      <c r="K596" s="256" t="s">
        <v>283</v>
      </c>
      <c r="L596" s="256" t="s">
        <v>283</v>
      </c>
      <c r="M596" s="256" t="s">
        <v>283</v>
      </c>
      <c r="N596" s="256" t="s">
        <v>283</v>
      </c>
      <c r="O596" s="257" t="s">
        <v>15</v>
      </c>
      <c r="P596" s="257" t="s">
        <v>15</v>
      </c>
      <c r="Q596" s="257" t="s">
        <v>15</v>
      </c>
      <c r="R596" s="257" t="s">
        <v>15</v>
      </c>
      <c r="S596" s="257" t="s">
        <v>16</v>
      </c>
      <c r="T596" s="257" t="s">
        <v>330</v>
      </c>
      <c r="U596" s="257" t="s">
        <v>250</v>
      </c>
      <c r="V596" s="257" t="s">
        <v>283</v>
      </c>
      <c r="W596" s="258" t="s">
        <v>283</v>
      </c>
      <c r="X596" s="258" t="s">
        <v>283</v>
      </c>
      <c r="Y596" s="259" t="s">
        <v>283</v>
      </c>
    </row>
    <row r="597" spans="1:25">
      <c r="A597" s="253">
        <v>11</v>
      </c>
      <c r="B597" s="254" t="str">
        <f>VLOOKUP(Tabel10[[#This Row],[Code]],Ruimtegroepen[[Code]:[Ruimte omschrijving]],2,FALSE)</f>
        <v>Garderobes</v>
      </c>
      <c r="C597" s="255" t="s">
        <v>778</v>
      </c>
      <c r="D597" s="254" t="s">
        <v>13</v>
      </c>
      <c r="E597" s="255" t="s">
        <v>1312</v>
      </c>
      <c r="F597" s="255" t="s">
        <v>1370</v>
      </c>
      <c r="G597" s="260" t="s">
        <v>283</v>
      </c>
      <c r="H597" s="256" t="s">
        <v>283</v>
      </c>
      <c r="I597" s="256" t="s">
        <v>283</v>
      </c>
      <c r="J597" s="256" t="s">
        <v>15</v>
      </c>
      <c r="K597" s="256" t="s">
        <v>284</v>
      </c>
      <c r="L597" s="256" t="s">
        <v>283</v>
      </c>
      <c r="M597" s="256" t="s">
        <v>283</v>
      </c>
      <c r="N597" s="256" t="s">
        <v>283</v>
      </c>
      <c r="O597" s="257" t="s">
        <v>15</v>
      </c>
      <c r="P597" s="257" t="s">
        <v>15</v>
      </c>
      <c r="Q597" s="257" t="s">
        <v>15</v>
      </c>
      <c r="R597" s="257" t="s">
        <v>15</v>
      </c>
      <c r="S597" s="257" t="s">
        <v>16</v>
      </c>
      <c r="T597" s="257" t="s">
        <v>330</v>
      </c>
      <c r="U597" s="257" t="s">
        <v>250</v>
      </c>
      <c r="V597" s="257" t="s">
        <v>283</v>
      </c>
      <c r="W597" s="258" t="s">
        <v>283</v>
      </c>
      <c r="X597" s="258" t="s">
        <v>283</v>
      </c>
      <c r="Y597" s="259" t="s">
        <v>283</v>
      </c>
    </row>
    <row r="598" spans="1:25">
      <c r="A598" s="253">
        <v>11</v>
      </c>
      <c r="B598" s="254" t="str">
        <f>VLOOKUP(Tabel10[[#This Row],[Code]],Ruimtegroepen[[Code]:[Ruimte omschrijving]],2,FALSE)</f>
        <v>Garderobes</v>
      </c>
      <c r="C598" s="255" t="s">
        <v>783</v>
      </c>
      <c r="D598" s="254" t="s">
        <v>0</v>
      </c>
      <c r="E598" s="255" t="s">
        <v>100</v>
      </c>
      <c r="F598" s="255" t="s">
        <v>784</v>
      </c>
      <c r="G598" s="260" t="s">
        <v>283</v>
      </c>
      <c r="H598" s="256" t="s">
        <v>283</v>
      </c>
      <c r="I598" s="256" t="s">
        <v>283</v>
      </c>
      <c r="J598" s="256" t="s">
        <v>16</v>
      </c>
      <c r="K598" s="256" t="s">
        <v>283</v>
      </c>
      <c r="L598" s="256" t="s">
        <v>283</v>
      </c>
      <c r="M598" s="256" t="s">
        <v>283</v>
      </c>
      <c r="N598" s="256" t="s">
        <v>283</v>
      </c>
      <c r="O598" s="257" t="s">
        <v>16</v>
      </c>
      <c r="P598" s="257" t="s">
        <v>16</v>
      </c>
      <c r="Q598" s="257" t="s">
        <v>16</v>
      </c>
      <c r="R598" s="257" t="s">
        <v>16</v>
      </c>
      <c r="S598" s="257" t="s">
        <v>16</v>
      </c>
      <c r="T598" s="257" t="s">
        <v>330</v>
      </c>
      <c r="U598" s="257" t="s">
        <v>250</v>
      </c>
      <c r="V598" s="257" t="s">
        <v>283</v>
      </c>
      <c r="W598" s="258" t="s">
        <v>283</v>
      </c>
      <c r="X598" s="258" t="s">
        <v>283</v>
      </c>
      <c r="Y598" s="259" t="s">
        <v>283</v>
      </c>
    </row>
    <row r="599" spans="1:25">
      <c r="A599" s="253">
        <v>11</v>
      </c>
      <c r="B599" s="254" t="str">
        <f>VLOOKUP(Tabel10[[#This Row],[Code]],Ruimtegroepen[[Code]:[Ruimte omschrijving]],2,FALSE)</f>
        <v>Garderobes</v>
      </c>
      <c r="C599" s="255" t="s">
        <v>783</v>
      </c>
      <c r="D599" s="254" t="s">
        <v>0</v>
      </c>
      <c r="E599" s="255" t="s">
        <v>99</v>
      </c>
      <c r="F599" s="255" t="s">
        <v>785</v>
      </c>
      <c r="G599" s="260" t="s">
        <v>283</v>
      </c>
      <c r="H599" s="256" t="s">
        <v>16</v>
      </c>
      <c r="I599" s="256" t="s">
        <v>283</v>
      </c>
      <c r="J599" s="256" t="s">
        <v>283</v>
      </c>
      <c r="K599" s="256" t="s">
        <v>283</v>
      </c>
      <c r="L599" s="256" t="s">
        <v>283</v>
      </c>
      <c r="M599" s="256" t="s">
        <v>283</v>
      </c>
      <c r="N599" s="256" t="s">
        <v>283</v>
      </c>
      <c r="O599" s="257" t="s">
        <v>16</v>
      </c>
      <c r="P599" s="257" t="s">
        <v>16</v>
      </c>
      <c r="Q599" s="257" t="s">
        <v>16</v>
      </c>
      <c r="R599" s="257" t="s">
        <v>16</v>
      </c>
      <c r="S599" s="257" t="s">
        <v>16</v>
      </c>
      <c r="T599" s="257" t="s">
        <v>330</v>
      </c>
      <c r="U599" s="257" t="s">
        <v>250</v>
      </c>
      <c r="V599" s="257" t="s">
        <v>283</v>
      </c>
      <c r="W599" s="258" t="s">
        <v>283</v>
      </c>
      <c r="X599" s="258" t="s">
        <v>283</v>
      </c>
      <c r="Y599" s="259" t="s">
        <v>283</v>
      </c>
    </row>
    <row r="600" spans="1:25">
      <c r="A600" s="253">
        <v>11</v>
      </c>
      <c r="B600" s="254" t="str">
        <f>VLOOKUP(Tabel10[[#This Row],[Code]],Ruimtegroepen[[Code]:[Ruimte omschrijving]],2,FALSE)</f>
        <v>Garderobes</v>
      </c>
      <c r="C600" s="255" t="s">
        <v>783</v>
      </c>
      <c r="D600" s="254" t="s">
        <v>0</v>
      </c>
      <c r="E600" s="255" t="s">
        <v>101</v>
      </c>
      <c r="F600" s="255" t="s">
        <v>786</v>
      </c>
      <c r="G600" s="260" t="s">
        <v>283</v>
      </c>
      <c r="H600" s="256" t="s">
        <v>283</v>
      </c>
      <c r="I600" s="256" t="s">
        <v>283</v>
      </c>
      <c r="J600" s="256" t="s">
        <v>16</v>
      </c>
      <c r="K600" s="256" t="s">
        <v>284</v>
      </c>
      <c r="L600" s="256" t="s">
        <v>283</v>
      </c>
      <c r="M600" s="256" t="s">
        <v>283</v>
      </c>
      <c r="N600" s="256" t="s">
        <v>283</v>
      </c>
      <c r="O600" s="257" t="s">
        <v>16</v>
      </c>
      <c r="P600" s="257" t="s">
        <v>16</v>
      </c>
      <c r="Q600" s="257" t="s">
        <v>16</v>
      </c>
      <c r="R600" s="257" t="s">
        <v>16</v>
      </c>
      <c r="S600" s="257" t="s">
        <v>16</v>
      </c>
      <c r="T600" s="257" t="s">
        <v>330</v>
      </c>
      <c r="U600" s="257" t="s">
        <v>250</v>
      </c>
      <c r="V600" s="257" t="s">
        <v>283</v>
      </c>
      <c r="W600" s="258" t="s">
        <v>283</v>
      </c>
      <c r="X600" s="258" t="s">
        <v>283</v>
      </c>
      <c r="Y600" s="259" t="s">
        <v>283</v>
      </c>
    </row>
    <row r="601" spans="1:25">
      <c r="A601" s="253">
        <v>11</v>
      </c>
      <c r="B601" s="254" t="str">
        <f>VLOOKUP(Tabel10[[#This Row],[Code]],Ruimtegroepen[[Code]:[Ruimte omschrijving]],2,FALSE)</f>
        <v>Garderobes</v>
      </c>
      <c r="C601" s="255" t="s">
        <v>783</v>
      </c>
      <c r="D601" s="254" t="s">
        <v>0</v>
      </c>
      <c r="E601" s="255" t="s">
        <v>102</v>
      </c>
      <c r="F601" s="255" t="s">
        <v>787</v>
      </c>
      <c r="G601" s="260" t="s">
        <v>283</v>
      </c>
      <c r="H601" s="256" t="s">
        <v>283</v>
      </c>
      <c r="I601" s="256" t="s">
        <v>283</v>
      </c>
      <c r="J601" s="256" t="s">
        <v>16</v>
      </c>
      <c r="K601" s="256" t="s">
        <v>284</v>
      </c>
      <c r="L601" s="256" t="s">
        <v>283</v>
      </c>
      <c r="M601" s="256" t="s">
        <v>283</v>
      </c>
      <c r="N601" s="256" t="s">
        <v>283</v>
      </c>
      <c r="O601" s="257" t="s">
        <v>16</v>
      </c>
      <c r="P601" s="257" t="s">
        <v>16</v>
      </c>
      <c r="Q601" s="257" t="s">
        <v>16</v>
      </c>
      <c r="R601" s="257" t="s">
        <v>16</v>
      </c>
      <c r="S601" s="257" t="s">
        <v>16</v>
      </c>
      <c r="T601" s="257" t="s">
        <v>330</v>
      </c>
      <c r="U601" s="257" t="s">
        <v>250</v>
      </c>
      <c r="V601" s="257" t="s">
        <v>283</v>
      </c>
      <c r="W601" s="258" t="s">
        <v>283</v>
      </c>
      <c r="X601" s="258" t="s">
        <v>283</v>
      </c>
      <c r="Y601" s="259" t="s">
        <v>283</v>
      </c>
    </row>
    <row r="602" spans="1:25">
      <c r="A602" s="253">
        <v>11</v>
      </c>
      <c r="B602" s="254" t="str">
        <f>VLOOKUP(Tabel10[[#This Row],[Code]],Ruimtegroepen[[Code]:[Ruimte omschrijving]],2,FALSE)</f>
        <v>Garderobes</v>
      </c>
      <c r="C602" s="255" t="s">
        <v>783</v>
      </c>
      <c r="D602" s="254" t="s">
        <v>0</v>
      </c>
      <c r="E602" s="255" t="s">
        <v>99</v>
      </c>
      <c r="F602" s="255" t="s">
        <v>785</v>
      </c>
      <c r="G602" s="260" t="s">
        <v>283</v>
      </c>
      <c r="H602" s="256" t="s">
        <v>16</v>
      </c>
      <c r="I602" s="256" t="s">
        <v>283</v>
      </c>
      <c r="J602" s="256" t="s">
        <v>283</v>
      </c>
      <c r="K602" s="256" t="s">
        <v>283</v>
      </c>
      <c r="L602" s="256" t="s">
        <v>283</v>
      </c>
      <c r="M602" s="256" t="s">
        <v>283</v>
      </c>
      <c r="N602" s="256" t="s">
        <v>283</v>
      </c>
      <c r="O602" s="257" t="s">
        <v>16</v>
      </c>
      <c r="P602" s="257" t="s">
        <v>16</v>
      </c>
      <c r="Q602" s="257" t="s">
        <v>16</v>
      </c>
      <c r="R602" s="257" t="s">
        <v>16</v>
      </c>
      <c r="S602" s="257" t="s">
        <v>16</v>
      </c>
      <c r="T602" s="257" t="s">
        <v>330</v>
      </c>
      <c r="U602" s="257" t="s">
        <v>250</v>
      </c>
      <c r="V602" s="257" t="s">
        <v>283</v>
      </c>
      <c r="W602" s="258" t="s">
        <v>283</v>
      </c>
      <c r="X602" s="258" t="s">
        <v>283</v>
      </c>
      <c r="Y602" s="259" t="s">
        <v>283</v>
      </c>
    </row>
    <row r="603" spans="1:25">
      <c r="A603" s="253">
        <v>11</v>
      </c>
      <c r="B603" s="254" t="str">
        <f>VLOOKUP(Tabel10[[#This Row],[Code]],Ruimtegroepen[[Code]:[Ruimte omschrijving]],2,FALSE)</f>
        <v>Garderobes</v>
      </c>
      <c r="C603" s="255" t="s">
        <v>783</v>
      </c>
      <c r="D603" s="254" t="s">
        <v>0</v>
      </c>
      <c r="E603" s="255" t="s">
        <v>1312</v>
      </c>
      <c r="F603" s="255" t="s">
        <v>1354</v>
      </c>
      <c r="G603" s="260" t="s">
        <v>283</v>
      </c>
      <c r="H603" s="256" t="s">
        <v>283</v>
      </c>
      <c r="I603" s="256" t="s">
        <v>283</v>
      </c>
      <c r="J603" s="256" t="s">
        <v>16</v>
      </c>
      <c r="K603" s="256" t="s">
        <v>284</v>
      </c>
      <c r="L603" s="256" t="s">
        <v>283</v>
      </c>
      <c r="M603" s="256" t="s">
        <v>283</v>
      </c>
      <c r="N603" s="256" t="s">
        <v>283</v>
      </c>
      <c r="O603" s="257" t="s">
        <v>16</v>
      </c>
      <c r="P603" s="257" t="s">
        <v>16</v>
      </c>
      <c r="Q603" s="257" t="s">
        <v>16</v>
      </c>
      <c r="R603" s="257" t="s">
        <v>16</v>
      </c>
      <c r="S603" s="257" t="s">
        <v>16</v>
      </c>
      <c r="T603" s="257" t="s">
        <v>330</v>
      </c>
      <c r="U603" s="257" t="s">
        <v>250</v>
      </c>
      <c r="V603" s="257" t="s">
        <v>283</v>
      </c>
      <c r="W603" s="258" t="s">
        <v>283</v>
      </c>
      <c r="X603" s="258" t="s">
        <v>283</v>
      </c>
      <c r="Y603" s="259" t="s">
        <v>283</v>
      </c>
    </row>
    <row r="604" spans="1:25">
      <c r="A604" s="253">
        <v>11</v>
      </c>
      <c r="B604" s="254" t="str">
        <f>VLOOKUP(Tabel10[[#This Row],[Code]],Ruimtegroepen[[Code]:[Ruimte omschrijving]],2,FALSE)</f>
        <v>Garderobes</v>
      </c>
      <c r="C604" s="255" t="s">
        <v>788</v>
      </c>
      <c r="D604" s="254" t="s">
        <v>27</v>
      </c>
      <c r="E604" s="255" t="s">
        <v>100</v>
      </c>
      <c r="F604" s="255" t="s">
        <v>789</v>
      </c>
      <c r="G604" s="260" t="s">
        <v>283</v>
      </c>
      <c r="H604" s="256" t="s">
        <v>283</v>
      </c>
      <c r="I604" s="256" t="s">
        <v>15</v>
      </c>
      <c r="J604" s="256" t="s">
        <v>283</v>
      </c>
      <c r="K604" s="256" t="s">
        <v>283</v>
      </c>
      <c r="L604" s="256" t="s">
        <v>283</v>
      </c>
      <c r="M604" s="256" t="s">
        <v>283</v>
      </c>
      <c r="N604" s="256" t="s">
        <v>283</v>
      </c>
      <c r="O604" s="257" t="s">
        <v>15</v>
      </c>
      <c r="P604" s="257" t="s">
        <v>15</v>
      </c>
      <c r="Q604" s="257" t="s">
        <v>15</v>
      </c>
      <c r="R604" s="257" t="s">
        <v>283</v>
      </c>
      <c r="S604" s="257" t="s">
        <v>283</v>
      </c>
      <c r="T604" s="257" t="s">
        <v>283</v>
      </c>
      <c r="U604" s="257" t="s">
        <v>283</v>
      </c>
      <c r="V604" s="257" t="s">
        <v>283</v>
      </c>
      <c r="W604" s="258" t="s">
        <v>283</v>
      </c>
      <c r="X604" s="258" t="s">
        <v>283</v>
      </c>
      <c r="Y604" s="259" t="s">
        <v>283</v>
      </c>
    </row>
    <row r="605" spans="1:25">
      <c r="A605" s="253">
        <v>11</v>
      </c>
      <c r="B605" s="254" t="str">
        <f>VLOOKUP(Tabel10[[#This Row],[Code]],Ruimtegroepen[[Code]:[Ruimte omschrijving]],2,FALSE)</f>
        <v>Garderobes</v>
      </c>
      <c r="C605" s="255" t="s">
        <v>788</v>
      </c>
      <c r="D605" s="254" t="s">
        <v>27</v>
      </c>
      <c r="E605" s="255" t="s">
        <v>99</v>
      </c>
      <c r="F605" s="255" t="s">
        <v>790</v>
      </c>
      <c r="G605" s="260" t="s">
        <v>283</v>
      </c>
      <c r="H605" s="256" t="s">
        <v>15</v>
      </c>
      <c r="I605" s="256" t="s">
        <v>283</v>
      </c>
      <c r="J605" s="256" t="s">
        <v>283</v>
      </c>
      <c r="K605" s="256" t="s">
        <v>283</v>
      </c>
      <c r="L605" s="256" t="s">
        <v>283</v>
      </c>
      <c r="M605" s="256" t="s">
        <v>283</v>
      </c>
      <c r="N605" s="256" t="s">
        <v>283</v>
      </c>
      <c r="O605" s="257" t="s">
        <v>15</v>
      </c>
      <c r="P605" s="257" t="s">
        <v>15</v>
      </c>
      <c r="Q605" s="257" t="s">
        <v>15</v>
      </c>
      <c r="R605" s="257" t="s">
        <v>283</v>
      </c>
      <c r="S605" s="257" t="s">
        <v>283</v>
      </c>
      <c r="T605" s="257" t="s">
        <v>283</v>
      </c>
      <c r="U605" s="257" t="s">
        <v>283</v>
      </c>
      <c r="V605" s="257" t="s">
        <v>283</v>
      </c>
      <c r="W605" s="258" t="s">
        <v>283</v>
      </c>
      <c r="X605" s="258" t="s">
        <v>283</v>
      </c>
      <c r="Y605" s="259" t="s">
        <v>283</v>
      </c>
    </row>
    <row r="606" spans="1:25">
      <c r="A606" s="253">
        <v>11</v>
      </c>
      <c r="B606" s="254" t="str">
        <f>VLOOKUP(Tabel10[[#This Row],[Code]],Ruimtegroepen[[Code]:[Ruimte omschrijving]],2,FALSE)</f>
        <v>Garderobes</v>
      </c>
      <c r="C606" s="255" t="s">
        <v>788</v>
      </c>
      <c r="D606" s="254" t="s">
        <v>27</v>
      </c>
      <c r="E606" s="255" t="s">
        <v>101</v>
      </c>
      <c r="F606" s="255" t="s">
        <v>791</v>
      </c>
      <c r="G606" s="260" t="s">
        <v>283</v>
      </c>
      <c r="H606" s="256" t="s">
        <v>283</v>
      </c>
      <c r="I606" s="256" t="s">
        <v>15</v>
      </c>
      <c r="J606" s="256" t="s">
        <v>283</v>
      </c>
      <c r="K606" s="256" t="s">
        <v>283</v>
      </c>
      <c r="L606" s="256" t="s">
        <v>283</v>
      </c>
      <c r="M606" s="256" t="s">
        <v>283</v>
      </c>
      <c r="N606" s="256" t="s">
        <v>283</v>
      </c>
      <c r="O606" s="257" t="s">
        <v>15</v>
      </c>
      <c r="P606" s="257" t="s">
        <v>15</v>
      </c>
      <c r="Q606" s="257" t="s">
        <v>15</v>
      </c>
      <c r="R606" s="257" t="s">
        <v>283</v>
      </c>
      <c r="S606" s="257" t="s">
        <v>283</v>
      </c>
      <c r="T606" s="257" t="s">
        <v>283</v>
      </c>
      <c r="U606" s="257" t="s">
        <v>283</v>
      </c>
      <c r="V606" s="257" t="s">
        <v>283</v>
      </c>
      <c r="W606" s="258" t="s">
        <v>283</v>
      </c>
      <c r="X606" s="258" t="s">
        <v>283</v>
      </c>
      <c r="Y606" s="259" t="s">
        <v>283</v>
      </c>
    </row>
    <row r="607" spans="1:25">
      <c r="A607" s="253">
        <v>11</v>
      </c>
      <c r="B607" s="254" t="str">
        <f>VLOOKUP(Tabel10[[#This Row],[Code]],Ruimtegroepen[[Code]:[Ruimte omschrijving]],2,FALSE)</f>
        <v>Garderobes</v>
      </c>
      <c r="C607" s="255" t="s">
        <v>788</v>
      </c>
      <c r="D607" s="254" t="s">
        <v>27</v>
      </c>
      <c r="E607" s="255" t="s">
        <v>102</v>
      </c>
      <c r="F607" s="255" t="s">
        <v>792</v>
      </c>
      <c r="G607" s="260" t="s">
        <v>283</v>
      </c>
      <c r="H607" s="256" t="s">
        <v>283</v>
      </c>
      <c r="I607" s="256" t="s">
        <v>15</v>
      </c>
      <c r="J607" s="256" t="s">
        <v>283</v>
      </c>
      <c r="K607" s="256" t="s">
        <v>283</v>
      </c>
      <c r="L607" s="256" t="s">
        <v>283</v>
      </c>
      <c r="M607" s="256" t="s">
        <v>283</v>
      </c>
      <c r="N607" s="256" t="s">
        <v>283</v>
      </c>
      <c r="O607" s="257" t="s">
        <v>15</v>
      </c>
      <c r="P607" s="257" t="s">
        <v>15</v>
      </c>
      <c r="Q607" s="257" t="s">
        <v>15</v>
      </c>
      <c r="R607" s="257" t="s">
        <v>283</v>
      </c>
      <c r="S607" s="257" t="s">
        <v>283</v>
      </c>
      <c r="T607" s="257" t="s">
        <v>283</v>
      </c>
      <c r="U607" s="257" t="s">
        <v>283</v>
      </c>
      <c r="V607" s="257" t="s">
        <v>283</v>
      </c>
      <c r="W607" s="258" t="s">
        <v>283</v>
      </c>
      <c r="X607" s="258" t="s">
        <v>283</v>
      </c>
      <c r="Y607" s="259" t="s">
        <v>283</v>
      </c>
    </row>
    <row r="608" spans="1:25">
      <c r="A608" s="253">
        <v>11</v>
      </c>
      <c r="B608" s="254" t="str">
        <f>VLOOKUP(Tabel10[[#This Row],[Code]],Ruimtegroepen[[Code]:[Ruimte omschrijving]],2,FALSE)</f>
        <v>Garderobes</v>
      </c>
      <c r="C608" s="255" t="s">
        <v>788</v>
      </c>
      <c r="D608" s="254" t="s">
        <v>27</v>
      </c>
      <c r="E608" s="255" t="s">
        <v>99</v>
      </c>
      <c r="F608" s="255" t="s">
        <v>790</v>
      </c>
      <c r="G608" s="260" t="s">
        <v>283</v>
      </c>
      <c r="H608" s="256" t="s">
        <v>15</v>
      </c>
      <c r="I608" s="256" t="s">
        <v>283</v>
      </c>
      <c r="J608" s="256" t="s">
        <v>283</v>
      </c>
      <c r="K608" s="256" t="s">
        <v>283</v>
      </c>
      <c r="L608" s="256" t="s">
        <v>283</v>
      </c>
      <c r="M608" s="256" t="s">
        <v>283</v>
      </c>
      <c r="N608" s="256" t="s">
        <v>283</v>
      </c>
      <c r="O608" s="257" t="s">
        <v>15</v>
      </c>
      <c r="P608" s="257" t="s">
        <v>15</v>
      </c>
      <c r="Q608" s="257" t="s">
        <v>15</v>
      </c>
      <c r="R608" s="257" t="s">
        <v>283</v>
      </c>
      <c r="S608" s="257" t="s">
        <v>283</v>
      </c>
      <c r="T608" s="257" t="s">
        <v>283</v>
      </c>
      <c r="U608" s="257" t="s">
        <v>283</v>
      </c>
      <c r="V608" s="257" t="s">
        <v>283</v>
      </c>
      <c r="W608" s="258" t="s">
        <v>283</v>
      </c>
      <c r="X608" s="258" t="s">
        <v>283</v>
      </c>
      <c r="Y608" s="259" t="s">
        <v>283</v>
      </c>
    </row>
    <row r="609" spans="1:25">
      <c r="A609" s="253">
        <v>11</v>
      </c>
      <c r="B609" s="254" t="str">
        <f>VLOOKUP(Tabel10[[#This Row],[Code]],Ruimtegroepen[[Code]:[Ruimte omschrijving]],2,FALSE)</f>
        <v>Garderobes</v>
      </c>
      <c r="C609" s="255" t="s">
        <v>788</v>
      </c>
      <c r="D609" s="254" t="s">
        <v>27</v>
      </c>
      <c r="E609" s="255" t="s">
        <v>1312</v>
      </c>
      <c r="F609" s="255" t="s">
        <v>1387</v>
      </c>
      <c r="G609" s="260" t="s">
        <v>283</v>
      </c>
      <c r="H609" s="256" t="s">
        <v>283</v>
      </c>
      <c r="I609" s="256" t="s">
        <v>15</v>
      </c>
      <c r="J609" s="256" t="s">
        <v>283</v>
      </c>
      <c r="K609" s="256" t="s">
        <v>283</v>
      </c>
      <c r="L609" s="256" t="s">
        <v>283</v>
      </c>
      <c r="M609" s="256" t="s">
        <v>283</v>
      </c>
      <c r="N609" s="256" t="s">
        <v>283</v>
      </c>
      <c r="O609" s="257" t="s">
        <v>15</v>
      </c>
      <c r="P609" s="257" t="s">
        <v>15</v>
      </c>
      <c r="Q609" s="257" t="s">
        <v>15</v>
      </c>
      <c r="R609" s="257" t="s">
        <v>283</v>
      </c>
      <c r="S609" s="257" t="s">
        <v>283</v>
      </c>
      <c r="T609" s="257" t="s">
        <v>283</v>
      </c>
      <c r="U609" s="257" t="s">
        <v>283</v>
      </c>
      <c r="V609" s="257" t="s">
        <v>283</v>
      </c>
      <c r="W609" s="258" t="s">
        <v>283</v>
      </c>
      <c r="X609" s="258" t="s">
        <v>283</v>
      </c>
      <c r="Y609" s="259" t="s">
        <v>283</v>
      </c>
    </row>
    <row r="610" spans="1:25">
      <c r="A610" s="253">
        <v>11</v>
      </c>
      <c r="B610" s="254" t="str">
        <f>VLOOKUP(Tabel10[[#This Row],[Code]],Ruimtegroepen[[Code]:[Ruimte omschrijving]],2,FALSE)</f>
        <v>Garderobes</v>
      </c>
      <c r="C610" s="255" t="s">
        <v>793</v>
      </c>
      <c r="D610" s="254" t="s">
        <v>28</v>
      </c>
      <c r="E610" s="255" t="s">
        <v>100</v>
      </c>
      <c r="F610" s="255" t="s">
        <v>794</v>
      </c>
      <c r="G610" s="260" t="s">
        <v>283</v>
      </c>
      <c r="H610" s="256" t="s">
        <v>283</v>
      </c>
      <c r="I610" s="256" t="s">
        <v>17</v>
      </c>
      <c r="J610" s="256" t="s">
        <v>283</v>
      </c>
      <c r="K610" s="256" t="s">
        <v>283</v>
      </c>
      <c r="L610" s="256" t="s">
        <v>283</v>
      </c>
      <c r="M610" s="256" t="s">
        <v>283</v>
      </c>
      <c r="N610" s="256" t="s">
        <v>283</v>
      </c>
      <c r="O610" s="257" t="s">
        <v>17</v>
      </c>
      <c r="P610" s="257" t="s">
        <v>17</v>
      </c>
      <c r="Q610" s="257" t="s">
        <v>15</v>
      </c>
      <c r="R610" s="257" t="s">
        <v>283</v>
      </c>
      <c r="S610" s="257" t="s">
        <v>283</v>
      </c>
      <c r="T610" s="257" t="s">
        <v>283</v>
      </c>
      <c r="U610" s="257" t="s">
        <v>283</v>
      </c>
      <c r="V610" s="257" t="s">
        <v>283</v>
      </c>
      <c r="W610" s="258" t="s">
        <v>283</v>
      </c>
      <c r="X610" s="258" t="s">
        <v>283</v>
      </c>
      <c r="Y610" s="259" t="s">
        <v>283</v>
      </c>
    </row>
    <row r="611" spans="1:25">
      <c r="A611" s="253">
        <v>11</v>
      </c>
      <c r="B611" s="254" t="str">
        <f>VLOOKUP(Tabel10[[#This Row],[Code]],Ruimtegroepen[[Code]:[Ruimte omschrijving]],2,FALSE)</f>
        <v>Garderobes</v>
      </c>
      <c r="C611" s="255" t="s">
        <v>793</v>
      </c>
      <c r="D611" s="254" t="s">
        <v>28</v>
      </c>
      <c r="E611" s="255" t="s">
        <v>99</v>
      </c>
      <c r="F611" s="255" t="s">
        <v>795</v>
      </c>
      <c r="G611" s="260" t="s">
        <v>283</v>
      </c>
      <c r="H611" s="256" t="s">
        <v>17</v>
      </c>
      <c r="I611" s="256" t="s">
        <v>283</v>
      </c>
      <c r="J611" s="256" t="s">
        <v>283</v>
      </c>
      <c r="K611" s="256" t="s">
        <v>283</v>
      </c>
      <c r="L611" s="256" t="s">
        <v>283</v>
      </c>
      <c r="M611" s="256" t="s">
        <v>283</v>
      </c>
      <c r="N611" s="256" t="s">
        <v>283</v>
      </c>
      <c r="O611" s="257" t="s">
        <v>17</v>
      </c>
      <c r="P611" s="257" t="s">
        <v>17</v>
      </c>
      <c r="Q611" s="257" t="s">
        <v>15</v>
      </c>
      <c r="R611" s="257" t="s">
        <v>283</v>
      </c>
      <c r="S611" s="257" t="s">
        <v>283</v>
      </c>
      <c r="T611" s="257" t="s">
        <v>283</v>
      </c>
      <c r="U611" s="257" t="s">
        <v>283</v>
      </c>
      <c r="V611" s="257" t="s">
        <v>283</v>
      </c>
      <c r="W611" s="258" t="s">
        <v>283</v>
      </c>
      <c r="X611" s="258" t="s">
        <v>283</v>
      </c>
      <c r="Y611" s="259" t="s">
        <v>283</v>
      </c>
    </row>
    <row r="612" spans="1:25">
      <c r="A612" s="253">
        <v>11</v>
      </c>
      <c r="B612" s="254" t="str">
        <f>VLOOKUP(Tabel10[[#This Row],[Code]],Ruimtegroepen[[Code]:[Ruimte omschrijving]],2,FALSE)</f>
        <v>Garderobes</v>
      </c>
      <c r="C612" s="255" t="s">
        <v>793</v>
      </c>
      <c r="D612" s="254" t="s">
        <v>28</v>
      </c>
      <c r="E612" s="255" t="s">
        <v>101</v>
      </c>
      <c r="F612" s="255" t="s">
        <v>796</v>
      </c>
      <c r="G612" s="260" t="s">
        <v>283</v>
      </c>
      <c r="H612" s="256" t="s">
        <v>283</v>
      </c>
      <c r="I612" s="256" t="s">
        <v>17</v>
      </c>
      <c r="J612" s="256" t="s">
        <v>283</v>
      </c>
      <c r="K612" s="256" t="s">
        <v>283</v>
      </c>
      <c r="L612" s="256" t="s">
        <v>283</v>
      </c>
      <c r="M612" s="256" t="s">
        <v>283</v>
      </c>
      <c r="N612" s="256" t="s">
        <v>283</v>
      </c>
      <c r="O612" s="257" t="s">
        <v>17</v>
      </c>
      <c r="P612" s="257" t="s">
        <v>17</v>
      </c>
      <c r="Q612" s="257" t="s">
        <v>15</v>
      </c>
      <c r="R612" s="257" t="s">
        <v>283</v>
      </c>
      <c r="S612" s="257" t="s">
        <v>283</v>
      </c>
      <c r="T612" s="257" t="s">
        <v>283</v>
      </c>
      <c r="U612" s="257" t="s">
        <v>283</v>
      </c>
      <c r="V612" s="257" t="s">
        <v>283</v>
      </c>
      <c r="W612" s="258" t="s">
        <v>283</v>
      </c>
      <c r="X612" s="258" t="s">
        <v>283</v>
      </c>
      <c r="Y612" s="259" t="s">
        <v>283</v>
      </c>
    </row>
    <row r="613" spans="1:25">
      <c r="A613" s="253">
        <v>11</v>
      </c>
      <c r="B613" s="254" t="str">
        <f>VLOOKUP(Tabel10[[#This Row],[Code]],Ruimtegroepen[[Code]:[Ruimte omschrijving]],2,FALSE)</f>
        <v>Garderobes</v>
      </c>
      <c r="C613" s="255" t="s">
        <v>793</v>
      </c>
      <c r="D613" s="254" t="s">
        <v>28</v>
      </c>
      <c r="E613" s="255" t="s">
        <v>102</v>
      </c>
      <c r="F613" s="255" t="s">
        <v>797</v>
      </c>
      <c r="G613" s="260" t="s">
        <v>283</v>
      </c>
      <c r="H613" s="256" t="s">
        <v>283</v>
      </c>
      <c r="I613" s="256" t="s">
        <v>17</v>
      </c>
      <c r="J613" s="256" t="s">
        <v>283</v>
      </c>
      <c r="K613" s="256" t="s">
        <v>283</v>
      </c>
      <c r="L613" s="256" t="s">
        <v>283</v>
      </c>
      <c r="M613" s="256" t="s">
        <v>283</v>
      </c>
      <c r="N613" s="256" t="s">
        <v>283</v>
      </c>
      <c r="O613" s="257" t="s">
        <v>17</v>
      </c>
      <c r="P613" s="257" t="s">
        <v>17</v>
      </c>
      <c r="Q613" s="257" t="s">
        <v>15</v>
      </c>
      <c r="R613" s="257" t="s">
        <v>283</v>
      </c>
      <c r="S613" s="257" t="s">
        <v>283</v>
      </c>
      <c r="T613" s="257" t="s">
        <v>283</v>
      </c>
      <c r="U613" s="257" t="s">
        <v>283</v>
      </c>
      <c r="V613" s="257" t="s">
        <v>283</v>
      </c>
      <c r="W613" s="258" t="s">
        <v>283</v>
      </c>
      <c r="X613" s="258" t="s">
        <v>283</v>
      </c>
      <c r="Y613" s="259" t="s">
        <v>283</v>
      </c>
    </row>
    <row r="614" spans="1:25">
      <c r="A614" s="253">
        <v>11</v>
      </c>
      <c r="B614" s="254" t="str">
        <f>VLOOKUP(Tabel10[[#This Row],[Code]],Ruimtegroepen[[Code]:[Ruimte omschrijving]],2,FALSE)</f>
        <v>Garderobes</v>
      </c>
      <c r="C614" s="255" t="s">
        <v>793</v>
      </c>
      <c r="D614" s="254" t="s">
        <v>28</v>
      </c>
      <c r="E614" s="255" t="s">
        <v>99</v>
      </c>
      <c r="F614" s="255" t="s">
        <v>795</v>
      </c>
      <c r="G614" s="260" t="s">
        <v>283</v>
      </c>
      <c r="H614" s="256" t="s">
        <v>17</v>
      </c>
      <c r="I614" s="256" t="s">
        <v>283</v>
      </c>
      <c r="J614" s="256" t="s">
        <v>283</v>
      </c>
      <c r="K614" s="256" t="s">
        <v>283</v>
      </c>
      <c r="L614" s="256" t="s">
        <v>283</v>
      </c>
      <c r="M614" s="256" t="s">
        <v>283</v>
      </c>
      <c r="N614" s="256" t="s">
        <v>283</v>
      </c>
      <c r="O614" s="257" t="s">
        <v>17</v>
      </c>
      <c r="P614" s="257" t="s">
        <v>17</v>
      </c>
      <c r="Q614" s="257" t="s">
        <v>15</v>
      </c>
      <c r="R614" s="257" t="s">
        <v>283</v>
      </c>
      <c r="S614" s="257" t="s">
        <v>283</v>
      </c>
      <c r="T614" s="257" t="s">
        <v>283</v>
      </c>
      <c r="U614" s="257" t="s">
        <v>283</v>
      </c>
      <c r="V614" s="257" t="s">
        <v>283</v>
      </c>
      <c r="W614" s="258" t="s">
        <v>283</v>
      </c>
      <c r="X614" s="258" t="s">
        <v>283</v>
      </c>
      <c r="Y614" s="259" t="s">
        <v>283</v>
      </c>
    </row>
    <row r="615" spans="1:25">
      <c r="A615" s="253">
        <v>11</v>
      </c>
      <c r="B615" s="254" t="str">
        <f>VLOOKUP(Tabel10[[#This Row],[Code]],Ruimtegroepen[[Code]:[Ruimte omschrijving]],2,FALSE)</f>
        <v>Garderobes</v>
      </c>
      <c r="C615" s="255" t="s">
        <v>793</v>
      </c>
      <c r="D615" s="254" t="s">
        <v>28</v>
      </c>
      <c r="E615" s="255" t="s">
        <v>1312</v>
      </c>
      <c r="F615" s="255" t="s">
        <v>1420</v>
      </c>
      <c r="G615" s="260" t="s">
        <v>283</v>
      </c>
      <c r="H615" s="256" t="s">
        <v>283</v>
      </c>
      <c r="I615" s="256" t="s">
        <v>17</v>
      </c>
      <c r="J615" s="256" t="s">
        <v>283</v>
      </c>
      <c r="K615" s="256" t="s">
        <v>283</v>
      </c>
      <c r="L615" s="256" t="s">
        <v>283</v>
      </c>
      <c r="M615" s="256" t="s">
        <v>283</v>
      </c>
      <c r="N615" s="256" t="s">
        <v>283</v>
      </c>
      <c r="O615" s="257" t="s">
        <v>17</v>
      </c>
      <c r="P615" s="257" t="s">
        <v>17</v>
      </c>
      <c r="Q615" s="257" t="s">
        <v>15</v>
      </c>
      <c r="R615" s="257" t="s">
        <v>283</v>
      </c>
      <c r="S615" s="257" t="s">
        <v>283</v>
      </c>
      <c r="T615" s="257" t="s">
        <v>283</v>
      </c>
      <c r="U615" s="257" t="s">
        <v>283</v>
      </c>
      <c r="V615" s="257" t="s">
        <v>283</v>
      </c>
      <c r="W615" s="258" t="s">
        <v>283</v>
      </c>
      <c r="X615" s="258" t="s">
        <v>283</v>
      </c>
      <c r="Y615" s="259" t="s">
        <v>283</v>
      </c>
    </row>
    <row r="616" spans="1:25">
      <c r="A616" s="253">
        <v>12</v>
      </c>
      <c r="B616" s="254" t="str">
        <f>VLOOKUP(Tabel10[[#This Row],[Code]],Ruimtegroepen[[Code]:[Ruimte omschrijving]],2,FALSE)</f>
        <v>Kantine/Aula</v>
      </c>
      <c r="C616" s="255" t="s">
        <v>798</v>
      </c>
      <c r="D616" s="254" t="s">
        <v>29</v>
      </c>
      <c r="E616" s="255" t="s">
        <v>100</v>
      </c>
      <c r="F616" s="255" t="s">
        <v>799</v>
      </c>
      <c r="G616" s="260" t="s">
        <v>283</v>
      </c>
      <c r="H616" s="256" t="s">
        <v>283</v>
      </c>
      <c r="I616" s="256" t="s">
        <v>283</v>
      </c>
      <c r="J616" s="256" t="s">
        <v>2</v>
      </c>
      <c r="K616" s="256" t="s">
        <v>283</v>
      </c>
      <c r="L616" s="256" t="s">
        <v>283</v>
      </c>
      <c r="M616" s="256" t="s">
        <v>283</v>
      </c>
      <c r="N616" s="256" t="s">
        <v>2</v>
      </c>
      <c r="O616" s="257" t="s">
        <v>2</v>
      </c>
      <c r="P616" s="257" t="s">
        <v>2</v>
      </c>
      <c r="Q616" s="257" t="s">
        <v>15</v>
      </c>
      <c r="R616" s="257" t="s">
        <v>15</v>
      </c>
      <c r="S616" s="257" t="s">
        <v>16</v>
      </c>
      <c r="T616" s="257" t="s">
        <v>330</v>
      </c>
      <c r="U616" s="257" t="s">
        <v>250</v>
      </c>
      <c r="V616" s="257" t="s">
        <v>2</v>
      </c>
      <c r="W616" s="258" t="s">
        <v>283</v>
      </c>
      <c r="X616" s="258" t="s">
        <v>283</v>
      </c>
      <c r="Y616" s="259" t="s">
        <v>283</v>
      </c>
    </row>
    <row r="617" spans="1:25">
      <c r="A617" s="253">
        <v>12</v>
      </c>
      <c r="B617" s="254" t="str">
        <f>VLOOKUP(Tabel10[[#This Row],[Code]],Ruimtegroepen[[Code]:[Ruimte omschrijving]],2,FALSE)</f>
        <v>Kantine/Aula</v>
      </c>
      <c r="C617" s="255" t="s">
        <v>798</v>
      </c>
      <c r="D617" s="254" t="s">
        <v>29</v>
      </c>
      <c r="E617" s="255" t="s">
        <v>99</v>
      </c>
      <c r="F617" s="255" t="s">
        <v>800</v>
      </c>
      <c r="G617" s="260" t="s">
        <v>283</v>
      </c>
      <c r="H617" s="256" t="s">
        <v>2</v>
      </c>
      <c r="I617" s="256" t="s">
        <v>283</v>
      </c>
      <c r="J617" s="256" t="s">
        <v>283</v>
      </c>
      <c r="K617" s="256" t="s">
        <v>283</v>
      </c>
      <c r="L617" s="256" t="s">
        <v>283</v>
      </c>
      <c r="M617" s="256" t="s">
        <v>283</v>
      </c>
      <c r="N617" s="256" t="s">
        <v>2</v>
      </c>
      <c r="O617" s="257" t="s">
        <v>2</v>
      </c>
      <c r="P617" s="257" t="s">
        <v>2</v>
      </c>
      <c r="Q617" s="257" t="s">
        <v>15</v>
      </c>
      <c r="R617" s="257" t="s">
        <v>15</v>
      </c>
      <c r="S617" s="257" t="s">
        <v>16</v>
      </c>
      <c r="T617" s="257" t="s">
        <v>330</v>
      </c>
      <c r="U617" s="257" t="s">
        <v>250</v>
      </c>
      <c r="V617" s="257" t="s">
        <v>2</v>
      </c>
      <c r="W617" s="258" t="s">
        <v>283</v>
      </c>
      <c r="X617" s="258" t="s">
        <v>283</v>
      </c>
      <c r="Y617" s="259" t="s">
        <v>283</v>
      </c>
    </row>
    <row r="618" spans="1:25">
      <c r="A618" s="253">
        <v>12</v>
      </c>
      <c r="B618" s="254" t="str">
        <f>VLOOKUP(Tabel10[[#This Row],[Code]],Ruimtegroepen[[Code]:[Ruimte omschrijving]],2,FALSE)</f>
        <v>Kantine/Aula</v>
      </c>
      <c r="C618" s="255" t="s">
        <v>798</v>
      </c>
      <c r="D618" s="254" t="s">
        <v>29</v>
      </c>
      <c r="E618" s="255" t="s">
        <v>101</v>
      </c>
      <c r="F618" s="255" t="s">
        <v>801</v>
      </c>
      <c r="G618" s="260" t="s">
        <v>283</v>
      </c>
      <c r="H618" s="256" t="s">
        <v>283</v>
      </c>
      <c r="I618" s="256" t="s">
        <v>2</v>
      </c>
      <c r="J618" s="256" t="s">
        <v>283</v>
      </c>
      <c r="K618" s="256" t="s">
        <v>2</v>
      </c>
      <c r="L618" s="256" t="s">
        <v>283</v>
      </c>
      <c r="M618" s="256" t="s">
        <v>283</v>
      </c>
      <c r="N618" s="256" t="s">
        <v>2</v>
      </c>
      <c r="O618" s="257" t="s">
        <v>2</v>
      </c>
      <c r="P618" s="257" t="s">
        <v>2</v>
      </c>
      <c r="Q618" s="257" t="s">
        <v>15</v>
      </c>
      <c r="R618" s="257" t="s">
        <v>15</v>
      </c>
      <c r="S618" s="257" t="s">
        <v>16</v>
      </c>
      <c r="T618" s="257" t="s">
        <v>330</v>
      </c>
      <c r="U618" s="257" t="s">
        <v>250</v>
      </c>
      <c r="V618" s="257" t="s">
        <v>2</v>
      </c>
      <c r="W618" s="258" t="s">
        <v>283</v>
      </c>
      <c r="X618" s="258" t="s">
        <v>283</v>
      </c>
      <c r="Y618" s="259" t="s">
        <v>283</v>
      </c>
    </row>
    <row r="619" spans="1:25">
      <c r="A619" s="253">
        <v>12</v>
      </c>
      <c r="B619" s="254" t="str">
        <f>VLOOKUP(Tabel10[[#This Row],[Code]],Ruimtegroepen[[Code]:[Ruimte omschrijving]],2,FALSE)</f>
        <v>Kantine/Aula</v>
      </c>
      <c r="C619" s="255" t="s">
        <v>798</v>
      </c>
      <c r="D619" s="254" t="s">
        <v>29</v>
      </c>
      <c r="E619" s="255" t="s">
        <v>102</v>
      </c>
      <c r="F619" s="255" t="s">
        <v>802</v>
      </c>
      <c r="G619" s="260" t="s">
        <v>283</v>
      </c>
      <c r="H619" s="256" t="s">
        <v>283</v>
      </c>
      <c r="I619" s="256" t="s">
        <v>2</v>
      </c>
      <c r="J619" s="256" t="s">
        <v>283</v>
      </c>
      <c r="K619" s="256" t="s">
        <v>2</v>
      </c>
      <c r="L619" s="256" t="s">
        <v>283</v>
      </c>
      <c r="M619" s="256" t="s">
        <v>283</v>
      </c>
      <c r="N619" s="256" t="s">
        <v>2</v>
      </c>
      <c r="O619" s="257" t="s">
        <v>2</v>
      </c>
      <c r="P619" s="257" t="s">
        <v>2</v>
      </c>
      <c r="Q619" s="257" t="s">
        <v>15</v>
      </c>
      <c r="R619" s="257" t="s">
        <v>15</v>
      </c>
      <c r="S619" s="257" t="s">
        <v>16</v>
      </c>
      <c r="T619" s="257" t="s">
        <v>330</v>
      </c>
      <c r="U619" s="257" t="s">
        <v>250</v>
      </c>
      <c r="V619" s="257" t="s">
        <v>2</v>
      </c>
      <c r="W619" s="258" t="s">
        <v>283</v>
      </c>
      <c r="X619" s="258" t="s">
        <v>283</v>
      </c>
      <c r="Y619" s="259" t="s">
        <v>283</v>
      </c>
    </row>
    <row r="620" spans="1:25">
      <c r="A620" s="253">
        <v>12</v>
      </c>
      <c r="B620" s="254" t="str">
        <f>VLOOKUP(Tabel10[[#This Row],[Code]],Ruimtegroepen[[Code]:[Ruimte omschrijving]],2,FALSE)</f>
        <v>Kantine/Aula</v>
      </c>
      <c r="C620" s="255" t="s">
        <v>798</v>
      </c>
      <c r="D620" s="254" t="s">
        <v>29</v>
      </c>
      <c r="E620" s="255" t="s">
        <v>99</v>
      </c>
      <c r="F620" s="255" t="s">
        <v>800</v>
      </c>
      <c r="G620" s="260" t="s">
        <v>283</v>
      </c>
      <c r="H620" s="256" t="s">
        <v>2</v>
      </c>
      <c r="I620" s="256" t="s">
        <v>283</v>
      </c>
      <c r="J620" s="256" t="s">
        <v>283</v>
      </c>
      <c r="K620" s="256" t="s">
        <v>283</v>
      </c>
      <c r="L620" s="256" t="s">
        <v>283</v>
      </c>
      <c r="M620" s="256" t="s">
        <v>283</v>
      </c>
      <c r="N620" s="256" t="s">
        <v>2</v>
      </c>
      <c r="O620" s="257" t="s">
        <v>2</v>
      </c>
      <c r="P620" s="257" t="s">
        <v>2</v>
      </c>
      <c r="Q620" s="257" t="s">
        <v>15</v>
      </c>
      <c r="R620" s="257" t="s">
        <v>15</v>
      </c>
      <c r="S620" s="257" t="s">
        <v>16</v>
      </c>
      <c r="T620" s="257" t="s">
        <v>330</v>
      </c>
      <c r="U620" s="257" t="s">
        <v>250</v>
      </c>
      <c r="V620" s="257" t="s">
        <v>2</v>
      </c>
      <c r="W620" s="258" t="s">
        <v>283</v>
      </c>
      <c r="X620" s="258" t="s">
        <v>283</v>
      </c>
      <c r="Y620" s="259" t="s">
        <v>283</v>
      </c>
    </row>
    <row r="621" spans="1:25">
      <c r="A621" s="253">
        <v>12</v>
      </c>
      <c r="B621" s="254" t="str">
        <f>VLOOKUP(Tabel10[[#This Row],[Code]],Ruimtegroepen[[Code]:[Ruimte omschrijving]],2,FALSE)</f>
        <v>Kantine/Aula</v>
      </c>
      <c r="C621" s="255" t="s">
        <v>798</v>
      </c>
      <c r="D621" s="254" t="s">
        <v>29</v>
      </c>
      <c r="E621" s="255" t="s">
        <v>1312</v>
      </c>
      <c r="F621" s="255" t="s">
        <v>1488</v>
      </c>
      <c r="G621" s="260" t="s">
        <v>283</v>
      </c>
      <c r="H621" s="256" t="s">
        <v>283</v>
      </c>
      <c r="I621" s="256" t="s">
        <v>2</v>
      </c>
      <c r="J621" s="256" t="s">
        <v>283</v>
      </c>
      <c r="K621" s="256" t="s">
        <v>2</v>
      </c>
      <c r="L621" s="256" t="s">
        <v>283</v>
      </c>
      <c r="M621" s="256" t="s">
        <v>283</v>
      </c>
      <c r="N621" s="256" t="s">
        <v>2</v>
      </c>
      <c r="O621" s="257" t="s">
        <v>2</v>
      </c>
      <c r="P621" s="257" t="s">
        <v>2</v>
      </c>
      <c r="Q621" s="257" t="s">
        <v>15</v>
      </c>
      <c r="R621" s="257" t="s">
        <v>15</v>
      </c>
      <c r="S621" s="257" t="s">
        <v>16</v>
      </c>
      <c r="T621" s="257" t="s">
        <v>330</v>
      </c>
      <c r="U621" s="257" t="s">
        <v>250</v>
      </c>
      <c r="V621" s="257" t="s">
        <v>2</v>
      </c>
      <c r="W621" s="258" t="s">
        <v>283</v>
      </c>
      <c r="X621" s="258" t="s">
        <v>283</v>
      </c>
      <c r="Y621" s="259" t="s">
        <v>283</v>
      </c>
    </row>
    <row r="622" spans="1:25">
      <c r="A622" s="253">
        <v>12</v>
      </c>
      <c r="B622" s="254" t="str">
        <f>VLOOKUP(Tabel10[[#This Row],[Code]],Ruimtegroepen[[Code]:[Ruimte omschrijving]],2,FALSE)</f>
        <v>Kantine/Aula</v>
      </c>
      <c r="C622" s="255" t="s">
        <v>803</v>
      </c>
      <c r="D622" s="254" t="s">
        <v>1</v>
      </c>
      <c r="E622" s="255" t="s">
        <v>100</v>
      </c>
      <c r="F622" s="255" t="s">
        <v>804</v>
      </c>
      <c r="G622" s="260" t="s">
        <v>283</v>
      </c>
      <c r="H622" s="256" t="s">
        <v>283</v>
      </c>
      <c r="I622" s="256" t="s">
        <v>283</v>
      </c>
      <c r="J622" s="256" t="s">
        <v>2</v>
      </c>
      <c r="K622" s="256" t="s">
        <v>283</v>
      </c>
      <c r="L622" s="256" t="s">
        <v>283</v>
      </c>
      <c r="M622" s="256" t="s">
        <v>283</v>
      </c>
      <c r="N622" s="256" t="s">
        <v>283</v>
      </c>
      <c r="O622" s="257" t="s">
        <v>2</v>
      </c>
      <c r="P622" s="257" t="s">
        <v>2</v>
      </c>
      <c r="Q622" s="257" t="s">
        <v>15</v>
      </c>
      <c r="R622" s="257" t="s">
        <v>15</v>
      </c>
      <c r="S622" s="257" t="s">
        <v>16</v>
      </c>
      <c r="T622" s="257" t="s">
        <v>330</v>
      </c>
      <c r="U622" s="257" t="s">
        <v>250</v>
      </c>
      <c r="V622" s="257" t="s">
        <v>283</v>
      </c>
      <c r="W622" s="258" t="s">
        <v>283</v>
      </c>
      <c r="X622" s="258" t="s">
        <v>283</v>
      </c>
      <c r="Y622" s="259" t="s">
        <v>283</v>
      </c>
    </row>
    <row r="623" spans="1:25">
      <c r="A623" s="253">
        <v>12</v>
      </c>
      <c r="B623" s="254" t="str">
        <f>VLOOKUP(Tabel10[[#This Row],[Code]],Ruimtegroepen[[Code]:[Ruimte omschrijving]],2,FALSE)</f>
        <v>Kantine/Aula</v>
      </c>
      <c r="C623" s="255" t="s">
        <v>803</v>
      </c>
      <c r="D623" s="254" t="s">
        <v>1</v>
      </c>
      <c r="E623" s="255" t="s">
        <v>99</v>
      </c>
      <c r="F623" s="255" t="s">
        <v>805</v>
      </c>
      <c r="G623" s="260" t="s">
        <v>283</v>
      </c>
      <c r="H623" s="256" t="s">
        <v>2</v>
      </c>
      <c r="I623" s="256" t="s">
        <v>283</v>
      </c>
      <c r="J623" s="256" t="s">
        <v>283</v>
      </c>
      <c r="K623" s="256" t="s">
        <v>283</v>
      </c>
      <c r="L623" s="256" t="s">
        <v>283</v>
      </c>
      <c r="M623" s="256" t="s">
        <v>283</v>
      </c>
      <c r="N623" s="256" t="s">
        <v>283</v>
      </c>
      <c r="O623" s="257" t="s">
        <v>2</v>
      </c>
      <c r="P623" s="257" t="s">
        <v>2</v>
      </c>
      <c r="Q623" s="257" t="s">
        <v>15</v>
      </c>
      <c r="R623" s="257" t="s">
        <v>15</v>
      </c>
      <c r="S623" s="257" t="s">
        <v>16</v>
      </c>
      <c r="T623" s="257" t="s">
        <v>330</v>
      </c>
      <c r="U623" s="257" t="s">
        <v>250</v>
      </c>
      <c r="V623" s="257" t="s">
        <v>283</v>
      </c>
      <c r="W623" s="258" t="s">
        <v>283</v>
      </c>
      <c r="X623" s="258" t="s">
        <v>283</v>
      </c>
      <c r="Y623" s="259" t="s">
        <v>283</v>
      </c>
    </row>
    <row r="624" spans="1:25">
      <c r="A624" s="253">
        <v>12</v>
      </c>
      <c r="B624" s="254" t="str">
        <f>VLOOKUP(Tabel10[[#This Row],[Code]],Ruimtegroepen[[Code]:[Ruimte omschrijving]],2,FALSE)</f>
        <v>Kantine/Aula</v>
      </c>
      <c r="C624" s="255" t="s">
        <v>803</v>
      </c>
      <c r="D624" s="254" t="s">
        <v>1</v>
      </c>
      <c r="E624" s="255" t="s">
        <v>101</v>
      </c>
      <c r="F624" s="255" t="s">
        <v>806</v>
      </c>
      <c r="G624" s="260" t="s">
        <v>283</v>
      </c>
      <c r="H624" s="256" t="s">
        <v>283</v>
      </c>
      <c r="I624" s="256" t="s">
        <v>2</v>
      </c>
      <c r="J624" s="256" t="s">
        <v>283</v>
      </c>
      <c r="K624" s="256" t="s">
        <v>2</v>
      </c>
      <c r="L624" s="256" t="s">
        <v>283</v>
      </c>
      <c r="M624" s="256" t="s">
        <v>283</v>
      </c>
      <c r="N624" s="256" t="s">
        <v>283</v>
      </c>
      <c r="O624" s="257" t="s">
        <v>2</v>
      </c>
      <c r="P624" s="257" t="s">
        <v>2</v>
      </c>
      <c r="Q624" s="257" t="s">
        <v>15</v>
      </c>
      <c r="R624" s="257" t="s">
        <v>15</v>
      </c>
      <c r="S624" s="257" t="s">
        <v>16</v>
      </c>
      <c r="T624" s="257" t="s">
        <v>330</v>
      </c>
      <c r="U624" s="257" t="s">
        <v>250</v>
      </c>
      <c r="V624" s="257" t="s">
        <v>283</v>
      </c>
      <c r="W624" s="258" t="s">
        <v>283</v>
      </c>
      <c r="X624" s="258" t="s">
        <v>283</v>
      </c>
      <c r="Y624" s="259" t="s">
        <v>283</v>
      </c>
    </row>
    <row r="625" spans="1:25">
      <c r="A625" s="253">
        <v>12</v>
      </c>
      <c r="B625" s="254" t="str">
        <f>VLOOKUP(Tabel10[[#This Row],[Code]],Ruimtegroepen[[Code]:[Ruimte omschrijving]],2,FALSE)</f>
        <v>Kantine/Aula</v>
      </c>
      <c r="C625" s="255" t="s">
        <v>803</v>
      </c>
      <c r="D625" s="254" t="s">
        <v>1</v>
      </c>
      <c r="E625" s="255" t="s">
        <v>102</v>
      </c>
      <c r="F625" s="255" t="s">
        <v>807</v>
      </c>
      <c r="G625" s="260" t="s">
        <v>283</v>
      </c>
      <c r="H625" s="256" t="s">
        <v>283</v>
      </c>
      <c r="I625" s="256" t="s">
        <v>2</v>
      </c>
      <c r="J625" s="256" t="s">
        <v>283</v>
      </c>
      <c r="K625" s="256" t="s">
        <v>2</v>
      </c>
      <c r="L625" s="256" t="s">
        <v>283</v>
      </c>
      <c r="M625" s="256" t="s">
        <v>283</v>
      </c>
      <c r="N625" s="256" t="s">
        <v>283</v>
      </c>
      <c r="O625" s="257" t="s">
        <v>2</v>
      </c>
      <c r="P625" s="257" t="s">
        <v>2</v>
      </c>
      <c r="Q625" s="257" t="s">
        <v>15</v>
      </c>
      <c r="R625" s="257" t="s">
        <v>15</v>
      </c>
      <c r="S625" s="257" t="s">
        <v>16</v>
      </c>
      <c r="T625" s="257" t="s">
        <v>330</v>
      </c>
      <c r="U625" s="257" t="s">
        <v>250</v>
      </c>
      <c r="V625" s="257" t="s">
        <v>283</v>
      </c>
      <c r="W625" s="258" t="s">
        <v>283</v>
      </c>
      <c r="X625" s="258" t="s">
        <v>283</v>
      </c>
      <c r="Y625" s="259" t="s">
        <v>283</v>
      </c>
    </row>
    <row r="626" spans="1:25">
      <c r="A626" s="253">
        <v>12</v>
      </c>
      <c r="B626" s="254" t="str">
        <f>VLOOKUP(Tabel10[[#This Row],[Code]],Ruimtegroepen[[Code]:[Ruimte omschrijving]],2,FALSE)</f>
        <v>Kantine/Aula</v>
      </c>
      <c r="C626" s="255" t="s">
        <v>803</v>
      </c>
      <c r="D626" s="254" t="s">
        <v>1</v>
      </c>
      <c r="E626" s="255" t="s">
        <v>99</v>
      </c>
      <c r="F626" s="255" t="s">
        <v>805</v>
      </c>
      <c r="G626" s="260" t="s">
        <v>283</v>
      </c>
      <c r="H626" s="256" t="s">
        <v>2</v>
      </c>
      <c r="I626" s="256" t="s">
        <v>283</v>
      </c>
      <c r="J626" s="256" t="s">
        <v>283</v>
      </c>
      <c r="K626" s="256" t="s">
        <v>283</v>
      </c>
      <c r="L626" s="256" t="s">
        <v>283</v>
      </c>
      <c r="M626" s="256" t="s">
        <v>283</v>
      </c>
      <c r="N626" s="256" t="s">
        <v>283</v>
      </c>
      <c r="O626" s="257" t="s">
        <v>2</v>
      </c>
      <c r="P626" s="257" t="s">
        <v>2</v>
      </c>
      <c r="Q626" s="257" t="s">
        <v>15</v>
      </c>
      <c r="R626" s="257" t="s">
        <v>15</v>
      </c>
      <c r="S626" s="257" t="s">
        <v>16</v>
      </c>
      <c r="T626" s="257" t="s">
        <v>330</v>
      </c>
      <c r="U626" s="257" t="s">
        <v>250</v>
      </c>
      <c r="V626" s="257" t="s">
        <v>283</v>
      </c>
      <c r="W626" s="258" t="s">
        <v>283</v>
      </c>
      <c r="X626" s="258" t="s">
        <v>283</v>
      </c>
      <c r="Y626" s="259" t="s">
        <v>283</v>
      </c>
    </row>
    <row r="627" spans="1:25">
      <c r="A627" s="253">
        <v>12</v>
      </c>
      <c r="B627" s="254" t="str">
        <f>VLOOKUP(Tabel10[[#This Row],[Code]],Ruimtegroepen[[Code]:[Ruimte omschrijving]],2,FALSE)</f>
        <v>Kantine/Aula</v>
      </c>
      <c r="C627" s="255" t="s">
        <v>803</v>
      </c>
      <c r="D627" s="254" t="s">
        <v>1</v>
      </c>
      <c r="E627" s="255" t="s">
        <v>1312</v>
      </c>
      <c r="F627" s="255" t="s">
        <v>1472</v>
      </c>
      <c r="G627" s="260" t="s">
        <v>283</v>
      </c>
      <c r="H627" s="256" t="s">
        <v>283</v>
      </c>
      <c r="I627" s="256" t="s">
        <v>2</v>
      </c>
      <c r="J627" s="256" t="s">
        <v>283</v>
      </c>
      <c r="K627" s="256" t="s">
        <v>2</v>
      </c>
      <c r="L627" s="256" t="s">
        <v>283</v>
      </c>
      <c r="M627" s="256" t="s">
        <v>283</v>
      </c>
      <c r="N627" s="256" t="s">
        <v>283</v>
      </c>
      <c r="O627" s="257" t="s">
        <v>2</v>
      </c>
      <c r="P627" s="257" t="s">
        <v>2</v>
      </c>
      <c r="Q627" s="257" t="s">
        <v>15</v>
      </c>
      <c r="R627" s="257" t="s">
        <v>15</v>
      </c>
      <c r="S627" s="257" t="s">
        <v>16</v>
      </c>
      <c r="T627" s="257" t="s">
        <v>330</v>
      </c>
      <c r="U627" s="257" t="s">
        <v>250</v>
      </c>
      <c r="V627" s="257" t="s">
        <v>283</v>
      </c>
      <c r="W627" s="258" t="s">
        <v>283</v>
      </c>
      <c r="X627" s="258" t="s">
        <v>283</v>
      </c>
      <c r="Y627" s="259" t="s">
        <v>283</v>
      </c>
    </row>
    <row r="628" spans="1:25">
      <c r="A628" s="253">
        <v>12</v>
      </c>
      <c r="B628" s="254" t="str">
        <f>VLOOKUP(Tabel10[[#This Row],[Code]],Ruimtegroepen[[Code]:[Ruimte omschrijving]],2,FALSE)</f>
        <v>Kantine/Aula</v>
      </c>
      <c r="C628" s="255" t="s">
        <v>808</v>
      </c>
      <c r="D628" s="254" t="s">
        <v>21</v>
      </c>
      <c r="E628" s="255" t="s">
        <v>100</v>
      </c>
      <c r="F628" s="255" t="s">
        <v>809</v>
      </c>
      <c r="G628" s="260" t="s">
        <v>283</v>
      </c>
      <c r="H628" s="256" t="s">
        <v>283</v>
      </c>
      <c r="I628" s="256" t="s">
        <v>283</v>
      </c>
      <c r="J628" s="256" t="s">
        <v>20</v>
      </c>
      <c r="K628" s="256" t="s">
        <v>283</v>
      </c>
      <c r="L628" s="256" t="s">
        <v>283</v>
      </c>
      <c r="M628" s="256" t="s">
        <v>283</v>
      </c>
      <c r="N628" s="256" t="s">
        <v>283</v>
      </c>
      <c r="O628" s="257" t="s">
        <v>20</v>
      </c>
      <c r="P628" s="257" t="s">
        <v>20</v>
      </c>
      <c r="Q628" s="257" t="s">
        <v>15</v>
      </c>
      <c r="R628" s="257" t="s">
        <v>15</v>
      </c>
      <c r="S628" s="257" t="s">
        <v>16</v>
      </c>
      <c r="T628" s="257" t="s">
        <v>330</v>
      </c>
      <c r="U628" s="257" t="s">
        <v>250</v>
      </c>
      <c r="V628" s="257" t="s">
        <v>283</v>
      </c>
      <c r="W628" s="258" t="s">
        <v>283</v>
      </c>
      <c r="X628" s="258" t="s">
        <v>283</v>
      </c>
      <c r="Y628" s="259" t="s">
        <v>283</v>
      </c>
    </row>
    <row r="629" spans="1:25">
      <c r="A629" s="253">
        <v>12</v>
      </c>
      <c r="B629" s="254" t="str">
        <f>VLOOKUP(Tabel10[[#This Row],[Code]],Ruimtegroepen[[Code]:[Ruimte omschrijving]],2,FALSE)</f>
        <v>Kantine/Aula</v>
      </c>
      <c r="C629" s="255" t="s">
        <v>808</v>
      </c>
      <c r="D629" s="254" t="s">
        <v>21</v>
      </c>
      <c r="E629" s="255" t="s">
        <v>99</v>
      </c>
      <c r="F629" s="255" t="s">
        <v>810</v>
      </c>
      <c r="G629" s="260" t="s">
        <v>283</v>
      </c>
      <c r="H629" s="256" t="s">
        <v>20</v>
      </c>
      <c r="I629" s="256" t="s">
        <v>283</v>
      </c>
      <c r="J629" s="256" t="s">
        <v>283</v>
      </c>
      <c r="K629" s="256" t="s">
        <v>283</v>
      </c>
      <c r="L629" s="256" t="s">
        <v>283</v>
      </c>
      <c r="M629" s="256" t="s">
        <v>283</v>
      </c>
      <c r="N629" s="256" t="s">
        <v>283</v>
      </c>
      <c r="O629" s="257" t="s">
        <v>20</v>
      </c>
      <c r="P629" s="257" t="s">
        <v>20</v>
      </c>
      <c r="Q629" s="257" t="s">
        <v>15</v>
      </c>
      <c r="R629" s="257" t="s">
        <v>15</v>
      </c>
      <c r="S629" s="257" t="s">
        <v>16</v>
      </c>
      <c r="T629" s="257" t="s">
        <v>330</v>
      </c>
      <c r="U629" s="257" t="s">
        <v>250</v>
      </c>
      <c r="V629" s="257" t="s">
        <v>283</v>
      </c>
      <c r="W629" s="258" t="s">
        <v>283</v>
      </c>
      <c r="X629" s="258" t="s">
        <v>283</v>
      </c>
      <c r="Y629" s="259" t="s">
        <v>283</v>
      </c>
    </row>
    <row r="630" spans="1:25">
      <c r="A630" s="253">
        <v>12</v>
      </c>
      <c r="B630" s="254" t="str">
        <f>VLOOKUP(Tabel10[[#This Row],[Code]],Ruimtegroepen[[Code]:[Ruimte omschrijving]],2,FALSE)</f>
        <v>Kantine/Aula</v>
      </c>
      <c r="C630" s="255" t="s">
        <v>808</v>
      </c>
      <c r="D630" s="254" t="s">
        <v>21</v>
      </c>
      <c r="E630" s="255" t="s">
        <v>101</v>
      </c>
      <c r="F630" s="255" t="s">
        <v>811</v>
      </c>
      <c r="G630" s="260" t="s">
        <v>283</v>
      </c>
      <c r="H630" s="256" t="s">
        <v>283</v>
      </c>
      <c r="I630" s="256" t="s">
        <v>20</v>
      </c>
      <c r="J630" s="256" t="s">
        <v>283</v>
      </c>
      <c r="K630" s="256" t="s">
        <v>20</v>
      </c>
      <c r="L630" s="256" t="s">
        <v>283</v>
      </c>
      <c r="M630" s="256" t="s">
        <v>283</v>
      </c>
      <c r="N630" s="256" t="s">
        <v>283</v>
      </c>
      <c r="O630" s="257" t="s">
        <v>20</v>
      </c>
      <c r="P630" s="257" t="s">
        <v>20</v>
      </c>
      <c r="Q630" s="257" t="s">
        <v>15</v>
      </c>
      <c r="R630" s="257" t="s">
        <v>15</v>
      </c>
      <c r="S630" s="257" t="s">
        <v>16</v>
      </c>
      <c r="T630" s="257" t="s">
        <v>330</v>
      </c>
      <c r="U630" s="257" t="s">
        <v>250</v>
      </c>
      <c r="V630" s="257" t="s">
        <v>283</v>
      </c>
      <c r="W630" s="258" t="s">
        <v>283</v>
      </c>
      <c r="X630" s="258" t="s">
        <v>283</v>
      </c>
      <c r="Y630" s="259" t="s">
        <v>283</v>
      </c>
    </row>
    <row r="631" spans="1:25">
      <c r="A631" s="253">
        <v>12</v>
      </c>
      <c r="B631" s="254" t="str">
        <f>VLOOKUP(Tabel10[[#This Row],[Code]],Ruimtegroepen[[Code]:[Ruimte omschrijving]],2,FALSE)</f>
        <v>Kantine/Aula</v>
      </c>
      <c r="C631" s="255" t="s">
        <v>808</v>
      </c>
      <c r="D631" s="254" t="s">
        <v>21</v>
      </c>
      <c r="E631" s="255" t="s">
        <v>102</v>
      </c>
      <c r="F631" s="255" t="s">
        <v>812</v>
      </c>
      <c r="G631" s="260" t="s">
        <v>283</v>
      </c>
      <c r="H631" s="256" t="s">
        <v>283</v>
      </c>
      <c r="I631" s="256" t="s">
        <v>20</v>
      </c>
      <c r="J631" s="256" t="s">
        <v>283</v>
      </c>
      <c r="K631" s="256" t="s">
        <v>20</v>
      </c>
      <c r="L631" s="256" t="s">
        <v>283</v>
      </c>
      <c r="M631" s="256" t="s">
        <v>283</v>
      </c>
      <c r="N631" s="256" t="s">
        <v>283</v>
      </c>
      <c r="O631" s="257" t="s">
        <v>20</v>
      </c>
      <c r="P631" s="257" t="s">
        <v>20</v>
      </c>
      <c r="Q631" s="257" t="s">
        <v>15</v>
      </c>
      <c r="R631" s="257" t="s">
        <v>15</v>
      </c>
      <c r="S631" s="257" t="s">
        <v>16</v>
      </c>
      <c r="T631" s="257" t="s">
        <v>330</v>
      </c>
      <c r="U631" s="257" t="s">
        <v>250</v>
      </c>
      <c r="V631" s="257" t="s">
        <v>283</v>
      </c>
      <c r="W631" s="258" t="s">
        <v>283</v>
      </c>
      <c r="X631" s="258" t="s">
        <v>283</v>
      </c>
      <c r="Y631" s="259" t="s">
        <v>283</v>
      </c>
    </row>
    <row r="632" spans="1:25">
      <c r="A632" s="253">
        <v>12</v>
      </c>
      <c r="B632" s="254" t="str">
        <f>VLOOKUP(Tabel10[[#This Row],[Code]],Ruimtegroepen[[Code]:[Ruimte omschrijving]],2,FALSE)</f>
        <v>Kantine/Aula</v>
      </c>
      <c r="C632" s="255" t="s">
        <v>808</v>
      </c>
      <c r="D632" s="254" t="s">
        <v>21</v>
      </c>
      <c r="E632" s="255" t="s">
        <v>99</v>
      </c>
      <c r="F632" s="255" t="s">
        <v>810</v>
      </c>
      <c r="G632" s="260" t="s">
        <v>283</v>
      </c>
      <c r="H632" s="256" t="s">
        <v>20</v>
      </c>
      <c r="I632" s="256" t="s">
        <v>283</v>
      </c>
      <c r="J632" s="256" t="s">
        <v>283</v>
      </c>
      <c r="K632" s="256" t="s">
        <v>283</v>
      </c>
      <c r="L632" s="256" t="s">
        <v>283</v>
      </c>
      <c r="M632" s="256" t="s">
        <v>283</v>
      </c>
      <c r="N632" s="256" t="s">
        <v>283</v>
      </c>
      <c r="O632" s="257" t="s">
        <v>20</v>
      </c>
      <c r="P632" s="257" t="s">
        <v>20</v>
      </c>
      <c r="Q632" s="257" t="s">
        <v>15</v>
      </c>
      <c r="R632" s="257" t="s">
        <v>15</v>
      </c>
      <c r="S632" s="257" t="s">
        <v>16</v>
      </c>
      <c r="T632" s="257" t="s">
        <v>330</v>
      </c>
      <c r="U632" s="257" t="s">
        <v>250</v>
      </c>
      <c r="V632" s="257" t="s">
        <v>283</v>
      </c>
      <c r="W632" s="258" t="s">
        <v>283</v>
      </c>
      <c r="X632" s="258" t="s">
        <v>283</v>
      </c>
      <c r="Y632" s="259" t="s">
        <v>283</v>
      </c>
    </row>
    <row r="633" spans="1:25">
      <c r="A633" s="253">
        <v>12</v>
      </c>
      <c r="B633" s="254" t="str">
        <f>VLOOKUP(Tabel10[[#This Row],[Code]],Ruimtegroepen[[Code]:[Ruimte omschrijving]],2,FALSE)</f>
        <v>Kantine/Aula</v>
      </c>
      <c r="C633" s="255" t="s">
        <v>808</v>
      </c>
      <c r="D633" s="254" t="s">
        <v>21</v>
      </c>
      <c r="E633" s="255" t="s">
        <v>1312</v>
      </c>
      <c r="F633" s="255" t="s">
        <v>1455</v>
      </c>
      <c r="G633" s="260" t="s">
        <v>283</v>
      </c>
      <c r="H633" s="256" t="s">
        <v>283</v>
      </c>
      <c r="I633" s="256" t="s">
        <v>20</v>
      </c>
      <c r="J633" s="256" t="s">
        <v>283</v>
      </c>
      <c r="K633" s="256" t="s">
        <v>20</v>
      </c>
      <c r="L633" s="256" t="s">
        <v>283</v>
      </c>
      <c r="M633" s="256" t="s">
        <v>283</v>
      </c>
      <c r="N633" s="256" t="s">
        <v>283</v>
      </c>
      <c r="O633" s="257" t="s">
        <v>20</v>
      </c>
      <c r="P633" s="257" t="s">
        <v>20</v>
      </c>
      <c r="Q633" s="257" t="s">
        <v>15</v>
      </c>
      <c r="R633" s="257" t="s">
        <v>15</v>
      </c>
      <c r="S633" s="257" t="s">
        <v>16</v>
      </c>
      <c r="T633" s="257" t="s">
        <v>330</v>
      </c>
      <c r="U633" s="257" t="s">
        <v>250</v>
      </c>
      <c r="V633" s="257" t="s">
        <v>283</v>
      </c>
      <c r="W633" s="258" t="s">
        <v>283</v>
      </c>
      <c r="X633" s="258" t="s">
        <v>283</v>
      </c>
      <c r="Y633" s="259" t="s">
        <v>283</v>
      </c>
    </row>
    <row r="634" spans="1:25">
      <c r="A634" s="253">
        <v>12</v>
      </c>
      <c r="B634" s="254" t="str">
        <f>VLOOKUP(Tabel10[[#This Row],[Code]],Ruimtegroepen[[Code]:[Ruimte omschrijving]],2,FALSE)</f>
        <v>Kantine/Aula</v>
      </c>
      <c r="C634" s="255" t="s">
        <v>813</v>
      </c>
      <c r="D634" s="254" t="s">
        <v>12</v>
      </c>
      <c r="E634" s="255" t="s">
        <v>100</v>
      </c>
      <c r="F634" s="255" t="s">
        <v>814</v>
      </c>
      <c r="G634" s="260" t="s">
        <v>283</v>
      </c>
      <c r="H634" s="256" t="s">
        <v>283</v>
      </c>
      <c r="I634" s="256" t="s">
        <v>283</v>
      </c>
      <c r="J634" s="256" t="s">
        <v>18</v>
      </c>
      <c r="K634" s="256" t="s">
        <v>283</v>
      </c>
      <c r="L634" s="256" t="s">
        <v>283</v>
      </c>
      <c r="M634" s="256" t="s">
        <v>283</v>
      </c>
      <c r="N634" s="256" t="s">
        <v>283</v>
      </c>
      <c r="O634" s="257" t="s">
        <v>18</v>
      </c>
      <c r="P634" s="257" t="s">
        <v>18</v>
      </c>
      <c r="Q634" s="257" t="s">
        <v>15</v>
      </c>
      <c r="R634" s="257" t="s">
        <v>15</v>
      </c>
      <c r="S634" s="257" t="s">
        <v>16</v>
      </c>
      <c r="T634" s="257" t="s">
        <v>330</v>
      </c>
      <c r="U634" s="257" t="s">
        <v>250</v>
      </c>
      <c r="V634" s="257" t="s">
        <v>283</v>
      </c>
      <c r="W634" s="258" t="s">
        <v>283</v>
      </c>
      <c r="X634" s="258" t="s">
        <v>283</v>
      </c>
      <c r="Y634" s="259" t="s">
        <v>283</v>
      </c>
    </row>
    <row r="635" spans="1:25">
      <c r="A635" s="253">
        <v>12</v>
      </c>
      <c r="B635" s="254" t="str">
        <f>VLOOKUP(Tabel10[[#This Row],[Code]],Ruimtegroepen[[Code]:[Ruimte omschrijving]],2,FALSE)</f>
        <v>Kantine/Aula</v>
      </c>
      <c r="C635" s="255" t="s">
        <v>813</v>
      </c>
      <c r="D635" s="254" t="s">
        <v>12</v>
      </c>
      <c r="E635" s="255" t="s">
        <v>99</v>
      </c>
      <c r="F635" s="255" t="s">
        <v>815</v>
      </c>
      <c r="G635" s="260" t="s">
        <v>283</v>
      </c>
      <c r="H635" s="256" t="s">
        <v>18</v>
      </c>
      <c r="I635" s="256" t="s">
        <v>283</v>
      </c>
      <c r="J635" s="256" t="s">
        <v>283</v>
      </c>
      <c r="K635" s="256" t="s">
        <v>283</v>
      </c>
      <c r="L635" s="256" t="s">
        <v>283</v>
      </c>
      <c r="M635" s="256" t="s">
        <v>283</v>
      </c>
      <c r="N635" s="256" t="s">
        <v>283</v>
      </c>
      <c r="O635" s="257" t="s">
        <v>18</v>
      </c>
      <c r="P635" s="257" t="s">
        <v>18</v>
      </c>
      <c r="Q635" s="257" t="s">
        <v>15</v>
      </c>
      <c r="R635" s="257" t="s">
        <v>15</v>
      </c>
      <c r="S635" s="257" t="s">
        <v>16</v>
      </c>
      <c r="T635" s="257" t="s">
        <v>330</v>
      </c>
      <c r="U635" s="257" t="s">
        <v>250</v>
      </c>
      <c r="V635" s="257" t="s">
        <v>283</v>
      </c>
      <c r="W635" s="258" t="s">
        <v>283</v>
      </c>
      <c r="X635" s="258" t="s">
        <v>283</v>
      </c>
      <c r="Y635" s="259" t="s">
        <v>283</v>
      </c>
    </row>
    <row r="636" spans="1:25">
      <c r="A636" s="253">
        <v>12</v>
      </c>
      <c r="B636" s="254" t="str">
        <f>VLOOKUP(Tabel10[[#This Row],[Code]],Ruimtegroepen[[Code]:[Ruimte omschrijving]],2,FALSE)</f>
        <v>Kantine/Aula</v>
      </c>
      <c r="C636" s="255" t="s">
        <v>813</v>
      </c>
      <c r="D636" s="254" t="s">
        <v>12</v>
      </c>
      <c r="E636" s="255" t="s">
        <v>101</v>
      </c>
      <c r="F636" s="255" t="s">
        <v>816</v>
      </c>
      <c r="G636" s="260" t="s">
        <v>283</v>
      </c>
      <c r="H636" s="256" t="s">
        <v>283</v>
      </c>
      <c r="I636" s="256" t="s">
        <v>18</v>
      </c>
      <c r="J636" s="256" t="s">
        <v>283</v>
      </c>
      <c r="K636" s="256" t="s">
        <v>18</v>
      </c>
      <c r="L636" s="256" t="s">
        <v>283</v>
      </c>
      <c r="M636" s="256" t="s">
        <v>283</v>
      </c>
      <c r="N636" s="256" t="s">
        <v>283</v>
      </c>
      <c r="O636" s="257" t="s">
        <v>18</v>
      </c>
      <c r="P636" s="257" t="s">
        <v>18</v>
      </c>
      <c r="Q636" s="257" t="s">
        <v>15</v>
      </c>
      <c r="R636" s="257" t="s">
        <v>15</v>
      </c>
      <c r="S636" s="257" t="s">
        <v>16</v>
      </c>
      <c r="T636" s="257" t="s">
        <v>330</v>
      </c>
      <c r="U636" s="257" t="s">
        <v>250</v>
      </c>
      <c r="V636" s="257" t="s">
        <v>283</v>
      </c>
      <c r="W636" s="258" t="s">
        <v>283</v>
      </c>
      <c r="X636" s="258" t="s">
        <v>283</v>
      </c>
      <c r="Y636" s="259" t="s">
        <v>283</v>
      </c>
    </row>
    <row r="637" spans="1:25">
      <c r="A637" s="253">
        <v>12</v>
      </c>
      <c r="B637" s="254" t="str">
        <f>VLOOKUP(Tabel10[[#This Row],[Code]],Ruimtegroepen[[Code]:[Ruimte omschrijving]],2,FALSE)</f>
        <v>Kantine/Aula</v>
      </c>
      <c r="C637" s="255" t="s">
        <v>813</v>
      </c>
      <c r="D637" s="254" t="s">
        <v>12</v>
      </c>
      <c r="E637" s="255" t="s">
        <v>102</v>
      </c>
      <c r="F637" s="255" t="s">
        <v>817</v>
      </c>
      <c r="G637" s="260" t="s">
        <v>283</v>
      </c>
      <c r="H637" s="256" t="s">
        <v>283</v>
      </c>
      <c r="I637" s="256" t="s">
        <v>18</v>
      </c>
      <c r="J637" s="256" t="s">
        <v>283</v>
      </c>
      <c r="K637" s="256" t="s">
        <v>18</v>
      </c>
      <c r="L637" s="256" t="s">
        <v>283</v>
      </c>
      <c r="M637" s="256" t="s">
        <v>283</v>
      </c>
      <c r="N637" s="256" t="s">
        <v>283</v>
      </c>
      <c r="O637" s="257" t="s">
        <v>18</v>
      </c>
      <c r="P637" s="257" t="s">
        <v>18</v>
      </c>
      <c r="Q637" s="257" t="s">
        <v>15</v>
      </c>
      <c r="R637" s="257" t="s">
        <v>15</v>
      </c>
      <c r="S637" s="257" t="s">
        <v>16</v>
      </c>
      <c r="T637" s="257" t="s">
        <v>330</v>
      </c>
      <c r="U637" s="257" t="s">
        <v>250</v>
      </c>
      <c r="V637" s="257" t="s">
        <v>283</v>
      </c>
      <c r="W637" s="258" t="s">
        <v>283</v>
      </c>
      <c r="X637" s="258" t="s">
        <v>283</v>
      </c>
      <c r="Y637" s="259" t="s">
        <v>283</v>
      </c>
    </row>
    <row r="638" spans="1:25">
      <c r="A638" s="253">
        <v>12</v>
      </c>
      <c r="B638" s="254" t="str">
        <f>VLOOKUP(Tabel10[[#This Row],[Code]],Ruimtegroepen[[Code]:[Ruimte omschrijving]],2,FALSE)</f>
        <v>Kantine/Aula</v>
      </c>
      <c r="C638" s="255" t="s">
        <v>813</v>
      </c>
      <c r="D638" s="254" t="s">
        <v>12</v>
      </c>
      <c r="E638" s="255" t="s">
        <v>99</v>
      </c>
      <c r="F638" s="255" t="s">
        <v>815</v>
      </c>
      <c r="G638" s="260" t="s">
        <v>283</v>
      </c>
      <c r="H638" s="256" t="s">
        <v>18</v>
      </c>
      <c r="I638" s="256" t="s">
        <v>283</v>
      </c>
      <c r="J638" s="256" t="s">
        <v>283</v>
      </c>
      <c r="K638" s="256" t="s">
        <v>283</v>
      </c>
      <c r="L638" s="256" t="s">
        <v>283</v>
      </c>
      <c r="M638" s="256" t="s">
        <v>283</v>
      </c>
      <c r="N638" s="256" t="s">
        <v>283</v>
      </c>
      <c r="O638" s="257" t="s">
        <v>18</v>
      </c>
      <c r="P638" s="257" t="s">
        <v>18</v>
      </c>
      <c r="Q638" s="257" t="s">
        <v>15</v>
      </c>
      <c r="R638" s="257" t="s">
        <v>15</v>
      </c>
      <c r="S638" s="257" t="s">
        <v>16</v>
      </c>
      <c r="T638" s="257" t="s">
        <v>330</v>
      </c>
      <c r="U638" s="257" t="s">
        <v>250</v>
      </c>
      <c r="V638" s="257" t="s">
        <v>283</v>
      </c>
      <c r="W638" s="258" t="s">
        <v>283</v>
      </c>
      <c r="X638" s="258" t="s">
        <v>283</v>
      </c>
      <c r="Y638" s="259" t="s">
        <v>283</v>
      </c>
    </row>
    <row r="639" spans="1:25">
      <c r="A639" s="253">
        <v>12</v>
      </c>
      <c r="B639" s="254" t="str">
        <f>VLOOKUP(Tabel10[[#This Row],[Code]],Ruimtegroepen[[Code]:[Ruimte omschrijving]],2,FALSE)</f>
        <v>Kantine/Aula</v>
      </c>
      <c r="C639" s="255" t="s">
        <v>813</v>
      </c>
      <c r="D639" s="254" t="s">
        <v>12</v>
      </c>
      <c r="E639" s="255" t="s">
        <v>1312</v>
      </c>
      <c r="F639" s="255" t="s">
        <v>1437</v>
      </c>
      <c r="G639" s="260" t="s">
        <v>283</v>
      </c>
      <c r="H639" s="256" t="s">
        <v>283</v>
      </c>
      <c r="I639" s="256" t="s">
        <v>18</v>
      </c>
      <c r="J639" s="256" t="s">
        <v>283</v>
      </c>
      <c r="K639" s="256" t="s">
        <v>18</v>
      </c>
      <c r="L639" s="256" t="s">
        <v>283</v>
      </c>
      <c r="M639" s="256" t="s">
        <v>283</v>
      </c>
      <c r="N639" s="256" t="s">
        <v>283</v>
      </c>
      <c r="O639" s="257" t="s">
        <v>18</v>
      </c>
      <c r="P639" s="257" t="s">
        <v>18</v>
      </c>
      <c r="Q639" s="257" t="s">
        <v>15</v>
      </c>
      <c r="R639" s="257" t="s">
        <v>15</v>
      </c>
      <c r="S639" s="257" t="s">
        <v>16</v>
      </c>
      <c r="T639" s="257" t="s">
        <v>330</v>
      </c>
      <c r="U639" s="257" t="s">
        <v>250</v>
      </c>
      <c r="V639" s="257" t="s">
        <v>283</v>
      </c>
      <c r="W639" s="258" t="s">
        <v>283</v>
      </c>
      <c r="X639" s="258" t="s">
        <v>283</v>
      </c>
      <c r="Y639" s="259" t="s">
        <v>283</v>
      </c>
    </row>
    <row r="640" spans="1:25">
      <c r="A640" s="253">
        <v>12</v>
      </c>
      <c r="B640" s="254" t="str">
        <f>VLOOKUP(Tabel10[[#This Row],[Code]],Ruimtegroepen[[Code]:[Ruimte omschrijving]],2,FALSE)</f>
        <v>Kantine/Aula</v>
      </c>
      <c r="C640" s="255" t="s">
        <v>818</v>
      </c>
      <c r="D640" s="254" t="s">
        <v>14</v>
      </c>
      <c r="E640" s="255" t="s">
        <v>100</v>
      </c>
      <c r="F640" s="255" t="s">
        <v>819</v>
      </c>
      <c r="G640" s="260" t="s">
        <v>283</v>
      </c>
      <c r="H640" s="256" t="s">
        <v>283</v>
      </c>
      <c r="I640" s="256" t="s">
        <v>283</v>
      </c>
      <c r="J640" s="256" t="s">
        <v>17</v>
      </c>
      <c r="K640" s="256" t="s">
        <v>283</v>
      </c>
      <c r="L640" s="256" t="s">
        <v>283</v>
      </c>
      <c r="M640" s="256" t="s">
        <v>283</v>
      </c>
      <c r="N640" s="256" t="s">
        <v>283</v>
      </c>
      <c r="O640" s="257" t="s">
        <v>17</v>
      </c>
      <c r="P640" s="257" t="s">
        <v>17</v>
      </c>
      <c r="Q640" s="257" t="s">
        <v>15</v>
      </c>
      <c r="R640" s="257" t="s">
        <v>15</v>
      </c>
      <c r="S640" s="257" t="s">
        <v>16</v>
      </c>
      <c r="T640" s="257" t="s">
        <v>330</v>
      </c>
      <c r="U640" s="257" t="s">
        <v>250</v>
      </c>
      <c r="V640" s="257" t="s">
        <v>283</v>
      </c>
      <c r="W640" s="258" t="s">
        <v>283</v>
      </c>
      <c r="X640" s="258" t="s">
        <v>283</v>
      </c>
      <c r="Y640" s="259" t="s">
        <v>283</v>
      </c>
    </row>
    <row r="641" spans="1:25">
      <c r="A641" s="253">
        <v>12</v>
      </c>
      <c r="B641" s="254" t="str">
        <f>VLOOKUP(Tabel10[[#This Row],[Code]],Ruimtegroepen[[Code]:[Ruimte omschrijving]],2,FALSE)</f>
        <v>Kantine/Aula</v>
      </c>
      <c r="C641" s="255" t="s">
        <v>818</v>
      </c>
      <c r="D641" s="254" t="s">
        <v>14</v>
      </c>
      <c r="E641" s="255" t="s">
        <v>99</v>
      </c>
      <c r="F641" s="255" t="s">
        <v>820</v>
      </c>
      <c r="G641" s="260" t="s">
        <v>283</v>
      </c>
      <c r="H641" s="256" t="s">
        <v>17</v>
      </c>
      <c r="I641" s="256" t="s">
        <v>283</v>
      </c>
      <c r="J641" s="256" t="s">
        <v>283</v>
      </c>
      <c r="K641" s="256" t="s">
        <v>283</v>
      </c>
      <c r="L641" s="256" t="s">
        <v>283</v>
      </c>
      <c r="M641" s="256" t="s">
        <v>283</v>
      </c>
      <c r="N641" s="256" t="s">
        <v>283</v>
      </c>
      <c r="O641" s="257" t="s">
        <v>17</v>
      </c>
      <c r="P641" s="257" t="s">
        <v>17</v>
      </c>
      <c r="Q641" s="257" t="s">
        <v>15</v>
      </c>
      <c r="R641" s="257" t="s">
        <v>15</v>
      </c>
      <c r="S641" s="257" t="s">
        <v>16</v>
      </c>
      <c r="T641" s="257" t="s">
        <v>330</v>
      </c>
      <c r="U641" s="257" t="s">
        <v>250</v>
      </c>
      <c r="V641" s="257" t="s">
        <v>283</v>
      </c>
      <c r="W641" s="258" t="s">
        <v>283</v>
      </c>
      <c r="X641" s="258" t="s">
        <v>283</v>
      </c>
      <c r="Y641" s="259" t="s">
        <v>283</v>
      </c>
    </row>
    <row r="642" spans="1:25">
      <c r="A642" s="253">
        <v>12</v>
      </c>
      <c r="B642" s="254" t="str">
        <f>VLOOKUP(Tabel10[[#This Row],[Code]],Ruimtegroepen[[Code]:[Ruimte omschrijving]],2,FALSE)</f>
        <v>Kantine/Aula</v>
      </c>
      <c r="C642" s="255" t="s">
        <v>818</v>
      </c>
      <c r="D642" s="254" t="s">
        <v>14</v>
      </c>
      <c r="E642" s="255" t="s">
        <v>101</v>
      </c>
      <c r="F642" s="255" t="s">
        <v>821</v>
      </c>
      <c r="G642" s="260" t="s">
        <v>283</v>
      </c>
      <c r="H642" s="256" t="s">
        <v>283</v>
      </c>
      <c r="I642" s="256" t="s">
        <v>17</v>
      </c>
      <c r="J642" s="256" t="s">
        <v>283</v>
      </c>
      <c r="K642" s="256" t="s">
        <v>17</v>
      </c>
      <c r="L642" s="256" t="s">
        <v>283</v>
      </c>
      <c r="M642" s="256" t="s">
        <v>283</v>
      </c>
      <c r="N642" s="256" t="s">
        <v>283</v>
      </c>
      <c r="O642" s="257" t="s">
        <v>17</v>
      </c>
      <c r="P642" s="257" t="s">
        <v>17</v>
      </c>
      <c r="Q642" s="257" t="s">
        <v>15</v>
      </c>
      <c r="R642" s="257" t="s">
        <v>15</v>
      </c>
      <c r="S642" s="257" t="s">
        <v>16</v>
      </c>
      <c r="T642" s="257" t="s">
        <v>330</v>
      </c>
      <c r="U642" s="257" t="s">
        <v>250</v>
      </c>
      <c r="V642" s="257" t="s">
        <v>283</v>
      </c>
      <c r="W642" s="258" t="s">
        <v>283</v>
      </c>
      <c r="X642" s="258" t="s">
        <v>283</v>
      </c>
      <c r="Y642" s="259" t="s">
        <v>283</v>
      </c>
    </row>
    <row r="643" spans="1:25">
      <c r="A643" s="253">
        <v>12</v>
      </c>
      <c r="B643" s="254" t="str">
        <f>VLOOKUP(Tabel10[[#This Row],[Code]],Ruimtegroepen[[Code]:[Ruimte omschrijving]],2,FALSE)</f>
        <v>Kantine/Aula</v>
      </c>
      <c r="C643" s="255" t="s">
        <v>818</v>
      </c>
      <c r="D643" s="254" t="s">
        <v>14</v>
      </c>
      <c r="E643" s="255" t="s">
        <v>102</v>
      </c>
      <c r="F643" s="255" t="s">
        <v>822</v>
      </c>
      <c r="G643" s="260" t="s">
        <v>283</v>
      </c>
      <c r="H643" s="256" t="s">
        <v>283</v>
      </c>
      <c r="I643" s="256" t="s">
        <v>17</v>
      </c>
      <c r="J643" s="256" t="s">
        <v>283</v>
      </c>
      <c r="K643" s="256" t="s">
        <v>17</v>
      </c>
      <c r="L643" s="256" t="s">
        <v>283</v>
      </c>
      <c r="M643" s="256" t="s">
        <v>283</v>
      </c>
      <c r="N643" s="256" t="s">
        <v>283</v>
      </c>
      <c r="O643" s="257" t="s">
        <v>17</v>
      </c>
      <c r="P643" s="257" t="s">
        <v>17</v>
      </c>
      <c r="Q643" s="257" t="s">
        <v>15</v>
      </c>
      <c r="R643" s="257" t="s">
        <v>15</v>
      </c>
      <c r="S643" s="257" t="s">
        <v>16</v>
      </c>
      <c r="T643" s="257" t="s">
        <v>330</v>
      </c>
      <c r="U643" s="257" t="s">
        <v>250</v>
      </c>
      <c r="V643" s="257" t="s">
        <v>283</v>
      </c>
      <c r="W643" s="258" t="s">
        <v>283</v>
      </c>
      <c r="X643" s="258" t="s">
        <v>283</v>
      </c>
      <c r="Y643" s="259" t="s">
        <v>283</v>
      </c>
    </row>
    <row r="644" spans="1:25">
      <c r="A644" s="253">
        <v>12</v>
      </c>
      <c r="B644" s="254" t="str">
        <f>VLOOKUP(Tabel10[[#This Row],[Code]],Ruimtegroepen[[Code]:[Ruimte omschrijving]],2,FALSE)</f>
        <v>Kantine/Aula</v>
      </c>
      <c r="C644" s="255" t="s">
        <v>818</v>
      </c>
      <c r="D644" s="254" t="s">
        <v>14</v>
      </c>
      <c r="E644" s="255" t="s">
        <v>99</v>
      </c>
      <c r="F644" s="255" t="s">
        <v>820</v>
      </c>
      <c r="G644" s="260" t="s">
        <v>283</v>
      </c>
      <c r="H644" s="256" t="s">
        <v>17</v>
      </c>
      <c r="I644" s="256" t="s">
        <v>283</v>
      </c>
      <c r="J644" s="256" t="s">
        <v>283</v>
      </c>
      <c r="K644" s="256" t="s">
        <v>283</v>
      </c>
      <c r="L644" s="256" t="s">
        <v>283</v>
      </c>
      <c r="M644" s="256" t="s">
        <v>283</v>
      </c>
      <c r="N644" s="256" t="s">
        <v>283</v>
      </c>
      <c r="O644" s="257" t="s">
        <v>17</v>
      </c>
      <c r="P644" s="257" t="s">
        <v>17</v>
      </c>
      <c r="Q644" s="257" t="s">
        <v>15</v>
      </c>
      <c r="R644" s="257" t="s">
        <v>15</v>
      </c>
      <c r="S644" s="257" t="s">
        <v>16</v>
      </c>
      <c r="T644" s="257" t="s">
        <v>330</v>
      </c>
      <c r="U644" s="257" t="s">
        <v>250</v>
      </c>
      <c r="V644" s="257" t="s">
        <v>283</v>
      </c>
      <c r="W644" s="258" t="s">
        <v>283</v>
      </c>
      <c r="X644" s="258" t="s">
        <v>283</v>
      </c>
      <c r="Y644" s="259" t="s">
        <v>283</v>
      </c>
    </row>
    <row r="645" spans="1:25">
      <c r="A645" s="253">
        <v>12</v>
      </c>
      <c r="B645" s="254" t="str">
        <f>VLOOKUP(Tabel10[[#This Row],[Code]],Ruimtegroepen[[Code]:[Ruimte omschrijving]],2,FALSE)</f>
        <v>Kantine/Aula</v>
      </c>
      <c r="C645" s="255" t="s">
        <v>818</v>
      </c>
      <c r="D645" s="254" t="s">
        <v>14</v>
      </c>
      <c r="E645" s="255" t="s">
        <v>1312</v>
      </c>
      <c r="F645" s="255" t="s">
        <v>1404</v>
      </c>
      <c r="G645" s="260" t="s">
        <v>283</v>
      </c>
      <c r="H645" s="256" t="s">
        <v>283</v>
      </c>
      <c r="I645" s="256" t="s">
        <v>17</v>
      </c>
      <c r="J645" s="256" t="s">
        <v>283</v>
      </c>
      <c r="K645" s="256" t="s">
        <v>17</v>
      </c>
      <c r="L645" s="256" t="s">
        <v>283</v>
      </c>
      <c r="M645" s="256" t="s">
        <v>283</v>
      </c>
      <c r="N645" s="256" t="s">
        <v>283</v>
      </c>
      <c r="O645" s="257" t="s">
        <v>17</v>
      </c>
      <c r="P645" s="257" t="s">
        <v>17</v>
      </c>
      <c r="Q645" s="257" t="s">
        <v>15</v>
      </c>
      <c r="R645" s="257" t="s">
        <v>15</v>
      </c>
      <c r="S645" s="257" t="s">
        <v>16</v>
      </c>
      <c r="T645" s="257" t="s">
        <v>330</v>
      </c>
      <c r="U645" s="257" t="s">
        <v>250</v>
      </c>
      <c r="V645" s="257" t="s">
        <v>283</v>
      </c>
      <c r="W645" s="258" t="s">
        <v>283</v>
      </c>
      <c r="X645" s="258" t="s">
        <v>283</v>
      </c>
      <c r="Y645" s="259" t="s">
        <v>283</v>
      </c>
    </row>
    <row r="646" spans="1:25">
      <c r="A646" s="253">
        <v>12</v>
      </c>
      <c r="B646" s="254" t="str">
        <f>VLOOKUP(Tabel10[[#This Row],[Code]],Ruimtegroepen[[Code]:[Ruimte omschrijving]],2,FALSE)</f>
        <v>Kantine/Aula</v>
      </c>
      <c r="C646" s="255" t="s">
        <v>823</v>
      </c>
      <c r="D646" s="254" t="s">
        <v>13</v>
      </c>
      <c r="E646" s="255" t="s">
        <v>100</v>
      </c>
      <c r="F646" s="255" t="s">
        <v>824</v>
      </c>
      <c r="G646" s="260" t="s">
        <v>283</v>
      </c>
      <c r="H646" s="256" t="s">
        <v>283</v>
      </c>
      <c r="I646" s="256" t="s">
        <v>283</v>
      </c>
      <c r="J646" s="256" t="s">
        <v>15</v>
      </c>
      <c r="K646" s="256" t="s">
        <v>283</v>
      </c>
      <c r="L646" s="256" t="s">
        <v>283</v>
      </c>
      <c r="M646" s="256" t="s">
        <v>283</v>
      </c>
      <c r="N646" s="256" t="s">
        <v>283</v>
      </c>
      <c r="O646" s="257" t="s">
        <v>15</v>
      </c>
      <c r="P646" s="257" t="s">
        <v>15</v>
      </c>
      <c r="Q646" s="257" t="s">
        <v>15</v>
      </c>
      <c r="R646" s="257" t="s">
        <v>15</v>
      </c>
      <c r="S646" s="257" t="s">
        <v>16</v>
      </c>
      <c r="T646" s="257" t="s">
        <v>330</v>
      </c>
      <c r="U646" s="257" t="s">
        <v>250</v>
      </c>
      <c r="V646" s="257" t="s">
        <v>283</v>
      </c>
      <c r="W646" s="258" t="s">
        <v>283</v>
      </c>
      <c r="X646" s="258" t="s">
        <v>283</v>
      </c>
      <c r="Y646" s="259" t="s">
        <v>283</v>
      </c>
    </row>
    <row r="647" spans="1:25">
      <c r="A647" s="253">
        <v>12</v>
      </c>
      <c r="B647" s="254" t="str">
        <f>VLOOKUP(Tabel10[[#This Row],[Code]],Ruimtegroepen[[Code]:[Ruimte omschrijving]],2,FALSE)</f>
        <v>Kantine/Aula</v>
      </c>
      <c r="C647" s="255" t="s">
        <v>823</v>
      </c>
      <c r="D647" s="254" t="s">
        <v>13</v>
      </c>
      <c r="E647" s="255" t="s">
        <v>99</v>
      </c>
      <c r="F647" s="255" t="s">
        <v>825</v>
      </c>
      <c r="G647" s="260" t="s">
        <v>283</v>
      </c>
      <c r="H647" s="256" t="s">
        <v>15</v>
      </c>
      <c r="I647" s="256" t="s">
        <v>283</v>
      </c>
      <c r="J647" s="256" t="s">
        <v>283</v>
      </c>
      <c r="K647" s="256" t="s">
        <v>283</v>
      </c>
      <c r="L647" s="256" t="s">
        <v>283</v>
      </c>
      <c r="M647" s="256" t="s">
        <v>283</v>
      </c>
      <c r="N647" s="256" t="s">
        <v>283</v>
      </c>
      <c r="O647" s="257" t="s">
        <v>15</v>
      </c>
      <c r="P647" s="257" t="s">
        <v>15</v>
      </c>
      <c r="Q647" s="257" t="s">
        <v>15</v>
      </c>
      <c r="R647" s="257" t="s">
        <v>15</v>
      </c>
      <c r="S647" s="257" t="s">
        <v>16</v>
      </c>
      <c r="T647" s="257" t="s">
        <v>330</v>
      </c>
      <c r="U647" s="257" t="s">
        <v>250</v>
      </c>
      <c r="V647" s="257" t="s">
        <v>283</v>
      </c>
      <c r="W647" s="258" t="s">
        <v>283</v>
      </c>
      <c r="X647" s="258" t="s">
        <v>283</v>
      </c>
      <c r="Y647" s="259" t="s">
        <v>283</v>
      </c>
    </row>
    <row r="648" spans="1:25">
      <c r="A648" s="253">
        <v>12</v>
      </c>
      <c r="B648" s="254" t="str">
        <f>VLOOKUP(Tabel10[[#This Row],[Code]],Ruimtegroepen[[Code]:[Ruimte omschrijving]],2,FALSE)</f>
        <v>Kantine/Aula</v>
      </c>
      <c r="C648" s="255" t="s">
        <v>823</v>
      </c>
      <c r="D648" s="254" t="s">
        <v>13</v>
      </c>
      <c r="E648" s="255" t="s">
        <v>101</v>
      </c>
      <c r="F648" s="255" t="s">
        <v>826</v>
      </c>
      <c r="G648" s="260" t="s">
        <v>283</v>
      </c>
      <c r="H648" s="256" t="s">
        <v>283</v>
      </c>
      <c r="I648" s="256" t="s">
        <v>15</v>
      </c>
      <c r="J648" s="256" t="s">
        <v>283</v>
      </c>
      <c r="K648" s="256" t="s">
        <v>15</v>
      </c>
      <c r="L648" s="256" t="s">
        <v>283</v>
      </c>
      <c r="M648" s="256" t="s">
        <v>283</v>
      </c>
      <c r="N648" s="256" t="s">
        <v>283</v>
      </c>
      <c r="O648" s="257" t="s">
        <v>15</v>
      </c>
      <c r="P648" s="257" t="s">
        <v>15</v>
      </c>
      <c r="Q648" s="257" t="s">
        <v>15</v>
      </c>
      <c r="R648" s="257" t="s">
        <v>15</v>
      </c>
      <c r="S648" s="257" t="s">
        <v>16</v>
      </c>
      <c r="T648" s="257" t="s">
        <v>330</v>
      </c>
      <c r="U648" s="257" t="s">
        <v>250</v>
      </c>
      <c r="V648" s="257" t="s">
        <v>283</v>
      </c>
      <c r="W648" s="258" t="s">
        <v>283</v>
      </c>
      <c r="X648" s="258" t="s">
        <v>283</v>
      </c>
      <c r="Y648" s="259" t="s">
        <v>283</v>
      </c>
    </row>
    <row r="649" spans="1:25">
      <c r="A649" s="253">
        <v>12</v>
      </c>
      <c r="B649" s="254" t="str">
        <f>VLOOKUP(Tabel10[[#This Row],[Code]],Ruimtegroepen[[Code]:[Ruimte omschrijving]],2,FALSE)</f>
        <v>Kantine/Aula</v>
      </c>
      <c r="C649" s="255" t="s">
        <v>823</v>
      </c>
      <c r="D649" s="254" t="s">
        <v>13</v>
      </c>
      <c r="E649" s="255" t="s">
        <v>102</v>
      </c>
      <c r="F649" s="255" t="s">
        <v>827</v>
      </c>
      <c r="G649" s="260" t="s">
        <v>283</v>
      </c>
      <c r="H649" s="256" t="s">
        <v>283</v>
      </c>
      <c r="I649" s="256" t="s">
        <v>15</v>
      </c>
      <c r="J649" s="256" t="s">
        <v>283</v>
      </c>
      <c r="K649" s="256" t="s">
        <v>15</v>
      </c>
      <c r="L649" s="256" t="s">
        <v>283</v>
      </c>
      <c r="M649" s="256" t="s">
        <v>283</v>
      </c>
      <c r="N649" s="256" t="s">
        <v>283</v>
      </c>
      <c r="O649" s="257" t="s">
        <v>15</v>
      </c>
      <c r="P649" s="257" t="s">
        <v>15</v>
      </c>
      <c r="Q649" s="257" t="s">
        <v>15</v>
      </c>
      <c r="R649" s="257" t="s">
        <v>15</v>
      </c>
      <c r="S649" s="257" t="s">
        <v>16</v>
      </c>
      <c r="T649" s="257" t="s">
        <v>330</v>
      </c>
      <c r="U649" s="257" t="s">
        <v>250</v>
      </c>
      <c r="V649" s="257" t="s">
        <v>283</v>
      </c>
      <c r="W649" s="258" t="s">
        <v>283</v>
      </c>
      <c r="X649" s="258" t="s">
        <v>283</v>
      </c>
      <c r="Y649" s="259" t="s">
        <v>283</v>
      </c>
    </row>
    <row r="650" spans="1:25">
      <c r="A650" s="253">
        <v>12</v>
      </c>
      <c r="B650" s="254" t="str">
        <f>VLOOKUP(Tabel10[[#This Row],[Code]],Ruimtegroepen[[Code]:[Ruimte omschrijving]],2,FALSE)</f>
        <v>Kantine/Aula</v>
      </c>
      <c r="C650" s="255" t="s">
        <v>823</v>
      </c>
      <c r="D650" s="254" t="s">
        <v>13</v>
      </c>
      <c r="E650" s="255" t="s">
        <v>99</v>
      </c>
      <c r="F650" s="255" t="s">
        <v>825</v>
      </c>
      <c r="G650" s="260" t="s">
        <v>283</v>
      </c>
      <c r="H650" s="256" t="s">
        <v>15</v>
      </c>
      <c r="I650" s="256" t="s">
        <v>283</v>
      </c>
      <c r="J650" s="256" t="s">
        <v>283</v>
      </c>
      <c r="K650" s="256" t="s">
        <v>283</v>
      </c>
      <c r="L650" s="256" t="s">
        <v>283</v>
      </c>
      <c r="M650" s="256" t="s">
        <v>283</v>
      </c>
      <c r="N650" s="256" t="s">
        <v>283</v>
      </c>
      <c r="O650" s="257" t="s">
        <v>15</v>
      </c>
      <c r="P650" s="257" t="s">
        <v>15</v>
      </c>
      <c r="Q650" s="257" t="s">
        <v>15</v>
      </c>
      <c r="R650" s="257" t="s">
        <v>15</v>
      </c>
      <c r="S650" s="257" t="s">
        <v>16</v>
      </c>
      <c r="T650" s="257" t="s">
        <v>330</v>
      </c>
      <c r="U650" s="257" t="s">
        <v>250</v>
      </c>
      <c r="V650" s="257" t="s">
        <v>283</v>
      </c>
      <c r="W650" s="258" t="s">
        <v>283</v>
      </c>
      <c r="X650" s="258" t="s">
        <v>283</v>
      </c>
      <c r="Y650" s="259" t="s">
        <v>283</v>
      </c>
    </row>
    <row r="651" spans="1:25">
      <c r="A651" s="253">
        <v>12</v>
      </c>
      <c r="B651" s="254" t="str">
        <f>VLOOKUP(Tabel10[[#This Row],[Code]],Ruimtegroepen[[Code]:[Ruimte omschrijving]],2,FALSE)</f>
        <v>Kantine/Aula</v>
      </c>
      <c r="C651" s="255" t="s">
        <v>823</v>
      </c>
      <c r="D651" s="254" t="s">
        <v>13</v>
      </c>
      <c r="E651" s="255" t="s">
        <v>1312</v>
      </c>
      <c r="F651" s="255" t="s">
        <v>1371</v>
      </c>
      <c r="G651" s="260" t="s">
        <v>283</v>
      </c>
      <c r="H651" s="256" t="s">
        <v>283</v>
      </c>
      <c r="I651" s="256" t="s">
        <v>15</v>
      </c>
      <c r="J651" s="256" t="s">
        <v>283</v>
      </c>
      <c r="K651" s="256" t="s">
        <v>15</v>
      </c>
      <c r="L651" s="256" t="s">
        <v>283</v>
      </c>
      <c r="M651" s="256" t="s">
        <v>283</v>
      </c>
      <c r="N651" s="256" t="s">
        <v>283</v>
      </c>
      <c r="O651" s="257" t="s">
        <v>15</v>
      </c>
      <c r="P651" s="257" t="s">
        <v>15</v>
      </c>
      <c r="Q651" s="257" t="s">
        <v>15</v>
      </c>
      <c r="R651" s="257" t="s">
        <v>15</v>
      </c>
      <c r="S651" s="257" t="s">
        <v>16</v>
      </c>
      <c r="T651" s="257" t="s">
        <v>330</v>
      </c>
      <c r="U651" s="257" t="s">
        <v>250</v>
      </c>
      <c r="V651" s="257" t="s">
        <v>283</v>
      </c>
      <c r="W651" s="258" t="s">
        <v>283</v>
      </c>
      <c r="X651" s="258" t="s">
        <v>283</v>
      </c>
      <c r="Y651" s="259" t="s">
        <v>283</v>
      </c>
    </row>
    <row r="652" spans="1:25">
      <c r="A652" s="253">
        <v>12</v>
      </c>
      <c r="B652" s="254" t="str">
        <f>VLOOKUP(Tabel10[[#This Row],[Code]],Ruimtegroepen[[Code]:[Ruimte omschrijving]],2,FALSE)</f>
        <v>Kantine/Aula</v>
      </c>
      <c r="C652" s="255" t="s">
        <v>828</v>
      </c>
      <c r="D652" s="254" t="s">
        <v>0</v>
      </c>
      <c r="E652" s="255" t="s">
        <v>100</v>
      </c>
      <c r="F652" s="255" t="s">
        <v>829</v>
      </c>
      <c r="G652" s="260" t="s">
        <v>283</v>
      </c>
      <c r="H652" s="256" t="s">
        <v>283</v>
      </c>
      <c r="I652" s="256" t="s">
        <v>283</v>
      </c>
      <c r="J652" s="256" t="s">
        <v>16</v>
      </c>
      <c r="K652" s="256" t="s">
        <v>283</v>
      </c>
      <c r="L652" s="256" t="s">
        <v>283</v>
      </c>
      <c r="M652" s="256" t="s">
        <v>283</v>
      </c>
      <c r="N652" s="256" t="s">
        <v>283</v>
      </c>
      <c r="O652" s="257" t="s">
        <v>16</v>
      </c>
      <c r="P652" s="257" t="s">
        <v>16</v>
      </c>
      <c r="Q652" s="257" t="s">
        <v>16</v>
      </c>
      <c r="R652" s="257" t="s">
        <v>16</v>
      </c>
      <c r="S652" s="257" t="s">
        <v>16</v>
      </c>
      <c r="T652" s="257" t="s">
        <v>330</v>
      </c>
      <c r="U652" s="257" t="s">
        <v>250</v>
      </c>
      <c r="V652" s="257" t="s">
        <v>283</v>
      </c>
      <c r="W652" s="258" t="s">
        <v>283</v>
      </c>
      <c r="X652" s="258" t="s">
        <v>283</v>
      </c>
      <c r="Y652" s="259" t="s">
        <v>283</v>
      </c>
    </row>
    <row r="653" spans="1:25">
      <c r="A653" s="253">
        <v>12</v>
      </c>
      <c r="B653" s="254" t="str">
        <f>VLOOKUP(Tabel10[[#This Row],[Code]],Ruimtegroepen[[Code]:[Ruimte omschrijving]],2,FALSE)</f>
        <v>Kantine/Aula</v>
      </c>
      <c r="C653" s="255" t="s">
        <v>828</v>
      </c>
      <c r="D653" s="254" t="s">
        <v>0</v>
      </c>
      <c r="E653" s="255" t="s">
        <v>99</v>
      </c>
      <c r="F653" s="255" t="s">
        <v>830</v>
      </c>
      <c r="G653" s="260" t="s">
        <v>283</v>
      </c>
      <c r="H653" s="256" t="s">
        <v>16</v>
      </c>
      <c r="I653" s="256" t="s">
        <v>283</v>
      </c>
      <c r="J653" s="256" t="s">
        <v>283</v>
      </c>
      <c r="K653" s="256" t="s">
        <v>283</v>
      </c>
      <c r="L653" s="256" t="s">
        <v>283</v>
      </c>
      <c r="M653" s="256" t="s">
        <v>283</v>
      </c>
      <c r="N653" s="256" t="s">
        <v>283</v>
      </c>
      <c r="O653" s="257" t="s">
        <v>16</v>
      </c>
      <c r="P653" s="257" t="s">
        <v>16</v>
      </c>
      <c r="Q653" s="257" t="s">
        <v>16</v>
      </c>
      <c r="R653" s="257" t="s">
        <v>16</v>
      </c>
      <c r="S653" s="257" t="s">
        <v>16</v>
      </c>
      <c r="T653" s="257" t="s">
        <v>330</v>
      </c>
      <c r="U653" s="257" t="s">
        <v>250</v>
      </c>
      <c r="V653" s="257" t="s">
        <v>283</v>
      </c>
      <c r="W653" s="258" t="s">
        <v>283</v>
      </c>
      <c r="X653" s="258" t="s">
        <v>283</v>
      </c>
      <c r="Y653" s="259" t="s">
        <v>283</v>
      </c>
    </row>
    <row r="654" spans="1:25">
      <c r="A654" s="253">
        <v>12</v>
      </c>
      <c r="B654" s="254" t="str">
        <f>VLOOKUP(Tabel10[[#This Row],[Code]],Ruimtegroepen[[Code]:[Ruimte omschrijving]],2,FALSE)</f>
        <v>Kantine/Aula</v>
      </c>
      <c r="C654" s="255" t="s">
        <v>828</v>
      </c>
      <c r="D654" s="254" t="s">
        <v>0</v>
      </c>
      <c r="E654" s="255" t="s">
        <v>101</v>
      </c>
      <c r="F654" s="255" t="s">
        <v>831</v>
      </c>
      <c r="G654" s="260" t="s">
        <v>283</v>
      </c>
      <c r="H654" s="256" t="s">
        <v>283</v>
      </c>
      <c r="I654" s="256" t="s">
        <v>16</v>
      </c>
      <c r="J654" s="256" t="s">
        <v>362</v>
      </c>
      <c r="K654" s="256" t="s">
        <v>16</v>
      </c>
      <c r="L654" s="256" t="s">
        <v>283</v>
      </c>
      <c r="M654" s="256" t="s">
        <v>283</v>
      </c>
      <c r="N654" s="256" t="s">
        <v>283</v>
      </c>
      <c r="O654" s="257" t="s">
        <v>16</v>
      </c>
      <c r="P654" s="257" t="s">
        <v>16</v>
      </c>
      <c r="Q654" s="257" t="s">
        <v>16</v>
      </c>
      <c r="R654" s="257" t="s">
        <v>16</v>
      </c>
      <c r="S654" s="257" t="s">
        <v>16</v>
      </c>
      <c r="T654" s="257" t="s">
        <v>330</v>
      </c>
      <c r="U654" s="257" t="s">
        <v>250</v>
      </c>
      <c r="V654" s="257" t="s">
        <v>283</v>
      </c>
      <c r="W654" s="258" t="s">
        <v>283</v>
      </c>
      <c r="X654" s="258" t="s">
        <v>283</v>
      </c>
      <c r="Y654" s="259" t="s">
        <v>283</v>
      </c>
    </row>
    <row r="655" spans="1:25">
      <c r="A655" s="253">
        <v>12</v>
      </c>
      <c r="B655" s="254" t="str">
        <f>VLOOKUP(Tabel10[[#This Row],[Code]],Ruimtegroepen[[Code]:[Ruimte omschrijving]],2,FALSE)</f>
        <v>Kantine/Aula</v>
      </c>
      <c r="C655" s="255" t="s">
        <v>828</v>
      </c>
      <c r="D655" s="254" t="s">
        <v>0</v>
      </c>
      <c r="E655" s="255" t="s">
        <v>102</v>
      </c>
      <c r="F655" s="255" t="s">
        <v>832</v>
      </c>
      <c r="G655" s="260" t="s">
        <v>283</v>
      </c>
      <c r="H655" s="256" t="s">
        <v>283</v>
      </c>
      <c r="I655" s="256" t="s">
        <v>16</v>
      </c>
      <c r="J655" s="256" t="s">
        <v>283</v>
      </c>
      <c r="K655" s="256" t="s">
        <v>16</v>
      </c>
      <c r="L655" s="256" t="s">
        <v>283</v>
      </c>
      <c r="M655" s="256" t="s">
        <v>283</v>
      </c>
      <c r="N655" s="256" t="s">
        <v>283</v>
      </c>
      <c r="O655" s="257" t="s">
        <v>16</v>
      </c>
      <c r="P655" s="257" t="s">
        <v>16</v>
      </c>
      <c r="Q655" s="257" t="s">
        <v>16</v>
      </c>
      <c r="R655" s="257" t="s">
        <v>16</v>
      </c>
      <c r="S655" s="257" t="s">
        <v>16</v>
      </c>
      <c r="T655" s="257" t="s">
        <v>330</v>
      </c>
      <c r="U655" s="257" t="s">
        <v>250</v>
      </c>
      <c r="V655" s="257" t="s">
        <v>283</v>
      </c>
      <c r="W655" s="258" t="s">
        <v>283</v>
      </c>
      <c r="X655" s="258" t="s">
        <v>283</v>
      </c>
      <c r="Y655" s="259" t="s">
        <v>283</v>
      </c>
    </row>
    <row r="656" spans="1:25">
      <c r="A656" s="253">
        <v>12</v>
      </c>
      <c r="B656" s="254" t="str">
        <f>VLOOKUP(Tabel10[[#This Row],[Code]],Ruimtegroepen[[Code]:[Ruimte omschrijving]],2,FALSE)</f>
        <v>Kantine/Aula</v>
      </c>
      <c r="C656" s="255" t="s">
        <v>828</v>
      </c>
      <c r="D656" s="254" t="s">
        <v>0</v>
      </c>
      <c r="E656" s="255" t="s">
        <v>99</v>
      </c>
      <c r="F656" s="255" t="s">
        <v>830</v>
      </c>
      <c r="G656" s="260" t="s">
        <v>283</v>
      </c>
      <c r="H656" s="256" t="s">
        <v>16</v>
      </c>
      <c r="I656" s="256" t="s">
        <v>283</v>
      </c>
      <c r="J656" s="256" t="s">
        <v>283</v>
      </c>
      <c r="K656" s="256" t="s">
        <v>283</v>
      </c>
      <c r="L656" s="256" t="s">
        <v>283</v>
      </c>
      <c r="M656" s="256" t="s">
        <v>283</v>
      </c>
      <c r="N656" s="256" t="s">
        <v>283</v>
      </c>
      <c r="O656" s="257" t="s">
        <v>16</v>
      </c>
      <c r="P656" s="257" t="s">
        <v>16</v>
      </c>
      <c r="Q656" s="257" t="s">
        <v>16</v>
      </c>
      <c r="R656" s="257" t="s">
        <v>16</v>
      </c>
      <c r="S656" s="257" t="s">
        <v>16</v>
      </c>
      <c r="T656" s="257" t="s">
        <v>330</v>
      </c>
      <c r="U656" s="257" t="s">
        <v>250</v>
      </c>
      <c r="V656" s="257" t="s">
        <v>283</v>
      </c>
      <c r="W656" s="258" t="s">
        <v>283</v>
      </c>
      <c r="X656" s="258" t="s">
        <v>283</v>
      </c>
      <c r="Y656" s="259" t="s">
        <v>283</v>
      </c>
    </row>
    <row r="657" spans="1:25">
      <c r="A657" s="253">
        <v>12</v>
      </c>
      <c r="B657" s="254" t="str">
        <f>VLOOKUP(Tabel10[[#This Row],[Code]],Ruimtegroepen[[Code]:[Ruimte omschrijving]],2,FALSE)</f>
        <v>Kantine/Aula</v>
      </c>
      <c r="C657" s="255" t="s">
        <v>828</v>
      </c>
      <c r="D657" s="254" t="s">
        <v>0</v>
      </c>
      <c r="E657" s="255" t="s">
        <v>1312</v>
      </c>
      <c r="F657" s="255" t="s">
        <v>1355</v>
      </c>
      <c r="G657" s="260" t="s">
        <v>283</v>
      </c>
      <c r="H657" s="256" t="s">
        <v>283</v>
      </c>
      <c r="I657" s="256" t="s">
        <v>16</v>
      </c>
      <c r="J657" s="256" t="s">
        <v>283</v>
      </c>
      <c r="K657" s="256" t="s">
        <v>16</v>
      </c>
      <c r="L657" s="256" t="s">
        <v>283</v>
      </c>
      <c r="M657" s="256" t="s">
        <v>283</v>
      </c>
      <c r="N657" s="256" t="s">
        <v>283</v>
      </c>
      <c r="O657" s="257" t="s">
        <v>16</v>
      </c>
      <c r="P657" s="257" t="s">
        <v>16</v>
      </c>
      <c r="Q657" s="257" t="s">
        <v>16</v>
      </c>
      <c r="R657" s="257" t="s">
        <v>16</v>
      </c>
      <c r="S657" s="257" t="s">
        <v>16</v>
      </c>
      <c r="T657" s="257" t="s">
        <v>330</v>
      </c>
      <c r="U657" s="257" t="s">
        <v>250</v>
      </c>
      <c r="V657" s="257" t="s">
        <v>283</v>
      </c>
      <c r="W657" s="258" t="s">
        <v>283</v>
      </c>
      <c r="X657" s="258" t="s">
        <v>283</v>
      </c>
      <c r="Y657" s="259" t="s">
        <v>283</v>
      </c>
    </row>
    <row r="658" spans="1:25">
      <c r="A658" s="253">
        <v>12</v>
      </c>
      <c r="B658" s="254" t="str">
        <f>VLOOKUP(Tabel10[[#This Row],[Code]],Ruimtegroepen[[Code]:[Ruimte omschrijving]],2,FALSE)</f>
        <v>Kantine/Aula</v>
      </c>
      <c r="C658" s="255" t="s">
        <v>833</v>
      </c>
      <c r="D658" s="254" t="s">
        <v>27</v>
      </c>
      <c r="E658" s="255" t="s">
        <v>100</v>
      </c>
      <c r="F658" s="255" t="s">
        <v>834</v>
      </c>
      <c r="G658" s="260" t="s">
        <v>283</v>
      </c>
      <c r="H658" s="256" t="s">
        <v>283</v>
      </c>
      <c r="I658" s="256" t="s">
        <v>15</v>
      </c>
      <c r="J658" s="256" t="s">
        <v>283</v>
      </c>
      <c r="K658" s="256" t="s">
        <v>283</v>
      </c>
      <c r="L658" s="256" t="s">
        <v>283</v>
      </c>
      <c r="M658" s="256" t="s">
        <v>283</v>
      </c>
      <c r="N658" s="256" t="s">
        <v>283</v>
      </c>
      <c r="O658" s="257" t="s">
        <v>15</v>
      </c>
      <c r="P658" s="257" t="s">
        <v>15</v>
      </c>
      <c r="Q658" s="257" t="s">
        <v>15</v>
      </c>
      <c r="R658" s="257" t="s">
        <v>283</v>
      </c>
      <c r="S658" s="257" t="s">
        <v>283</v>
      </c>
      <c r="T658" s="257" t="s">
        <v>283</v>
      </c>
      <c r="U658" s="257" t="s">
        <v>283</v>
      </c>
      <c r="V658" s="257" t="s">
        <v>283</v>
      </c>
      <c r="W658" s="258" t="s">
        <v>283</v>
      </c>
      <c r="X658" s="258" t="s">
        <v>283</v>
      </c>
      <c r="Y658" s="259" t="s">
        <v>283</v>
      </c>
    </row>
    <row r="659" spans="1:25">
      <c r="A659" s="253">
        <v>12</v>
      </c>
      <c r="B659" s="254" t="str">
        <f>VLOOKUP(Tabel10[[#This Row],[Code]],Ruimtegroepen[[Code]:[Ruimte omschrijving]],2,FALSE)</f>
        <v>Kantine/Aula</v>
      </c>
      <c r="C659" s="255" t="s">
        <v>833</v>
      </c>
      <c r="D659" s="254" t="s">
        <v>27</v>
      </c>
      <c r="E659" s="255" t="s">
        <v>99</v>
      </c>
      <c r="F659" s="255" t="s">
        <v>835</v>
      </c>
      <c r="G659" s="260" t="s">
        <v>283</v>
      </c>
      <c r="H659" s="256" t="s">
        <v>15</v>
      </c>
      <c r="I659" s="256" t="s">
        <v>283</v>
      </c>
      <c r="J659" s="256" t="s">
        <v>283</v>
      </c>
      <c r="K659" s="256" t="s">
        <v>283</v>
      </c>
      <c r="L659" s="256" t="s">
        <v>283</v>
      </c>
      <c r="M659" s="256" t="s">
        <v>283</v>
      </c>
      <c r="N659" s="256" t="s">
        <v>283</v>
      </c>
      <c r="O659" s="257" t="s">
        <v>15</v>
      </c>
      <c r="P659" s="257" t="s">
        <v>15</v>
      </c>
      <c r="Q659" s="257" t="s">
        <v>15</v>
      </c>
      <c r="R659" s="257" t="s">
        <v>283</v>
      </c>
      <c r="S659" s="257" t="s">
        <v>283</v>
      </c>
      <c r="T659" s="257" t="s">
        <v>283</v>
      </c>
      <c r="U659" s="257" t="s">
        <v>283</v>
      </c>
      <c r="V659" s="257" t="s">
        <v>283</v>
      </c>
      <c r="W659" s="258" t="s">
        <v>283</v>
      </c>
      <c r="X659" s="258" t="s">
        <v>283</v>
      </c>
      <c r="Y659" s="259" t="s">
        <v>283</v>
      </c>
    </row>
    <row r="660" spans="1:25">
      <c r="A660" s="253">
        <v>12</v>
      </c>
      <c r="B660" s="254" t="str">
        <f>VLOOKUP(Tabel10[[#This Row],[Code]],Ruimtegroepen[[Code]:[Ruimte omschrijving]],2,FALSE)</f>
        <v>Kantine/Aula</v>
      </c>
      <c r="C660" s="255" t="s">
        <v>833</v>
      </c>
      <c r="D660" s="254" t="s">
        <v>27</v>
      </c>
      <c r="E660" s="255" t="s">
        <v>101</v>
      </c>
      <c r="F660" s="255" t="s">
        <v>836</v>
      </c>
      <c r="G660" s="260" t="s">
        <v>283</v>
      </c>
      <c r="H660" s="256" t="s">
        <v>283</v>
      </c>
      <c r="I660" s="256" t="s">
        <v>15</v>
      </c>
      <c r="J660" s="256" t="s">
        <v>283</v>
      </c>
      <c r="K660" s="256" t="s">
        <v>283</v>
      </c>
      <c r="L660" s="256" t="s">
        <v>283</v>
      </c>
      <c r="M660" s="256" t="s">
        <v>283</v>
      </c>
      <c r="N660" s="256" t="s">
        <v>283</v>
      </c>
      <c r="O660" s="257" t="s">
        <v>15</v>
      </c>
      <c r="P660" s="257" t="s">
        <v>15</v>
      </c>
      <c r="Q660" s="257" t="s">
        <v>15</v>
      </c>
      <c r="R660" s="257" t="s">
        <v>283</v>
      </c>
      <c r="S660" s="257" t="s">
        <v>283</v>
      </c>
      <c r="T660" s="257" t="s">
        <v>283</v>
      </c>
      <c r="U660" s="257" t="s">
        <v>283</v>
      </c>
      <c r="V660" s="257" t="s">
        <v>283</v>
      </c>
      <c r="W660" s="258" t="s">
        <v>283</v>
      </c>
      <c r="X660" s="258" t="s">
        <v>283</v>
      </c>
      <c r="Y660" s="259" t="s">
        <v>283</v>
      </c>
    </row>
    <row r="661" spans="1:25">
      <c r="A661" s="253">
        <v>12</v>
      </c>
      <c r="B661" s="254" t="str">
        <f>VLOOKUP(Tabel10[[#This Row],[Code]],Ruimtegroepen[[Code]:[Ruimte omschrijving]],2,FALSE)</f>
        <v>Kantine/Aula</v>
      </c>
      <c r="C661" s="255" t="s">
        <v>833</v>
      </c>
      <c r="D661" s="254" t="s">
        <v>27</v>
      </c>
      <c r="E661" s="255" t="s">
        <v>102</v>
      </c>
      <c r="F661" s="255" t="s">
        <v>837</v>
      </c>
      <c r="G661" s="260" t="s">
        <v>283</v>
      </c>
      <c r="H661" s="256" t="s">
        <v>283</v>
      </c>
      <c r="I661" s="256" t="s">
        <v>15</v>
      </c>
      <c r="J661" s="256" t="s">
        <v>283</v>
      </c>
      <c r="K661" s="256" t="s">
        <v>283</v>
      </c>
      <c r="L661" s="256" t="s">
        <v>283</v>
      </c>
      <c r="M661" s="256" t="s">
        <v>283</v>
      </c>
      <c r="N661" s="256" t="s">
        <v>283</v>
      </c>
      <c r="O661" s="257" t="s">
        <v>15</v>
      </c>
      <c r="P661" s="257" t="s">
        <v>15</v>
      </c>
      <c r="Q661" s="257" t="s">
        <v>15</v>
      </c>
      <c r="R661" s="257" t="s">
        <v>283</v>
      </c>
      <c r="S661" s="257" t="s">
        <v>283</v>
      </c>
      <c r="T661" s="257" t="s">
        <v>283</v>
      </c>
      <c r="U661" s="257" t="s">
        <v>283</v>
      </c>
      <c r="V661" s="257" t="s">
        <v>283</v>
      </c>
      <c r="W661" s="258" t="s">
        <v>283</v>
      </c>
      <c r="X661" s="258" t="s">
        <v>283</v>
      </c>
      <c r="Y661" s="259" t="s">
        <v>283</v>
      </c>
    </row>
    <row r="662" spans="1:25">
      <c r="A662" s="253">
        <v>12</v>
      </c>
      <c r="B662" s="254" t="str">
        <f>VLOOKUP(Tabel10[[#This Row],[Code]],Ruimtegroepen[[Code]:[Ruimte omschrijving]],2,FALSE)</f>
        <v>Kantine/Aula</v>
      </c>
      <c r="C662" s="255" t="s">
        <v>833</v>
      </c>
      <c r="D662" s="254" t="s">
        <v>27</v>
      </c>
      <c r="E662" s="255" t="s">
        <v>99</v>
      </c>
      <c r="F662" s="255" t="s">
        <v>835</v>
      </c>
      <c r="G662" s="260" t="s">
        <v>283</v>
      </c>
      <c r="H662" s="256" t="s">
        <v>15</v>
      </c>
      <c r="I662" s="256" t="s">
        <v>283</v>
      </c>
      <c r="J662" s="256" t="s">
        <v>283</v>
      </c>
      <c r="K662" s="256" t="s">
        <v>283</v>
      </c>
      <c r="L662" s="256" t="s">
        <v>283</v>
      </c>
      <c r="M662" s="256" t="s">
        <v>283</v>
      </c>
      <c r="N662" s="256" t="s">
        <v>283</v>
      </c>
      <c r="O662" s="257" t="s">
        <v>15</v>
      </c>
      <c r="P662" s="257" t="s">
        <v>15</v>
      </c>
      <c r="Q662" s="257" t="s">
        <v>15</v>
      </c>
      <c r="R662" s="257" t="s">
        <v>283</v>
      </c>
      <c r="S662" s="257" t="s">
        <v>283</v>
      </c>
      <c r="T662" s="257" t="s">
        <v>283</v>
      </c>
      <c r="U662" s="257" t="s">
        <v>283</v>
      </c>
      <c r="V662" s="257" t="s">
        <v>283</v>
      </c>
      <c r="W662" s="258" t="s">
        <v>283</v>
      </c>
      <c r="X662" s="258" t="s">
        <v>283</v>
      </c>
      <c r="Y662" s="259" t="s">
        <v>283</v>
      </c>
    </row>
    <row r="663" spans="1:25">
      <c r="A663" s="253">
        <v>12</v>
      </c>
      <c r="B663" s="254" t="str">
        <f>VLOOKUP(Tabel10[[#This Row],[Code]],Ruimtegroepen[[Code]:[Ruimte omschrijving]],2,FALSE)</f>
        <v>Kantine/Aula</v>
      </c>
      <c r="C663" s="255" t="s">
        <v>833</v>
      </c>
      <c r="D663" s="254" t="s">
        <v>27</v>
      </c>
      <c r="E663" s="255" t="s">
        <v>1312</v>
      </c>
      <c r="F663" s="255" t="s">
        <v>1388</v>
      </c>
      <c r="G663" s="260" t="s">
        <v>283</v>
      </c>
      <c r="H663" s="256" t="s">
        <v>283</v>
      </c>
      <c r="I663" s="256" t="s">
        <v>15</v>
      </c>
      <c r="J663" s="256" t="s">
        <v>283</v>
      </c>
      <c r="K663" s="256" t="s">
        <v>283</v>
      </c>
      <c r="L663" s="256" t="s">
        <v>283</v>
      </c>
      <c r="M663" s="256" t="s">
        <v>283</v>
      </c>
      <c r="N663" s="256" t="s">
        <v>283</v>
      </c>
      <c r="O663" s="257" t="s">
        <v>15</v>
      </c>
      <c r="P663" s="257" t="s">
        <v>15</v>
      </c>
      <c r="Q663" s="257" t="s">
        <v>15</v>
      </c>
      <c r="R663" s="257" t="s">
        <v>283</v>
      </c>
      <c r="S663" s="257" t="s">
        <v>283</v>
      </c>
      <c r="T663" s="257" t="s">
        <v>283</v>
      </c>
      <c r="U663" s="257" t="s">
        <v>283</v>
      </c>
      <c r="V663" s="257" t="s">
        <v>283</v>
      </c>
      <c r="W663" s="258" t="s">
        <v>283</v>
      </c>
      <c r="X663" s="258" t="s">
        <v>283</v>
      </c>
      <c r="Y663" s="259" t="s">
        <v>283</v>
      </c>
    </row>
    <row r="664" spans="1:25">
      <c r="A664" s="253">
        <v>12</v>
      </c>
      <c r="B664" s="254" t="str">
        <f>VLOOKUP(Tabel10[[#This Row],[Code]],Ruimtegroepen[[Code]:[Ruimte omschrijving]],2,FALSE)</f>
        <v>Kantine/Aula</v>
      </c>
      <c r="C664" s="255" t="s">
        <v>838</v>
      </c>
      <c r="D664" s="254" t="s">
        <v>28</v>
      </c>
      <c r="E664" s="255" t="s">
        <v>100</v>
      </c>
      <c r="F664" s="255" t="s">
        <v>839</v>
      </c>
      <c r="G664" s="260" t="s">
        <v>283</v>
      </c>
      <c r="H664" s="256" t="s">
        <v>283</v>
      </c>
      <c r="I664" s="256" t="s">
        <v>17</v>
      </c>
      <c r="J664" s="256" t="s">
        <v>283</v>
      </c>
      <c r="K664" s="256" t="s">
        <v>283</v>
      </c>
      <c r="L664" s="256" t="s">
        <v>283</v>
      </c>
      <c r="M664" s="256" t="s">
        <v>283</v>
      </c>
      <c r="N664" s="256" t="s">
        <v>283</v>
      </c>
      <c r="O664" s="257" t="s">
        <v>17</v>
      </c>
      <c r="P664" s="257" t="s">
        <v>17</v>
      </c>
      <c r="Q664" s="257" t="s">
        <v>15</v>
      </c>
      <c r="R664" s="257" t="s">
        <v>283</v>
      </c>
      <c r="S664" s="257" t="s">
        <v>283</v>
      </c>
      <c r="T664" s="257" t="s">
        <v>283</v>
      </c>
      <c r="U664" s="257" t="s">
        <v>283</v>
      </c>
      <c r="V664" s="257" t="s">
        <v>283</v>
      </c>
      <c r="W664" s="258" t="s">
        <v>283</v>
      </c>
      <c r="X664" s="258" t="s">
        <v>283</v>
      </c>
      <c r="Y664" s="259" t="s">
        <v>283</v>
      </c>
    </row>
    <row r="665" spans="1:25">
      <c r="A665" s="253">
        <v>12</v>
      </c>
      <c r="B665" s="254" t="str">
        <f>VLOOKUP(Tabel10[[#This Row],[Code]],Ruimtegroepen[[Code]:[Ruimte omschrijving]],2,FALSE)</f>
        <v>Kantine/Aula</v>
      </c>
      <c r="C665" s="255" t="s">
        <v>838</v>
      </c>
      <c r="D665" s="254" t="s">
        <v>28</v>
      </c>
      <c r="E665" s="255" t="s">
        <v>99</v>
      </c>
      <c r="F665" s="255" t="s">
        <v>840</v>
      </c>
      <c r="G665" s="260" t="s">
        <v>283</v>
      </c>
      <c r="H665" s="256" t="s">
        <v>17</v>
      </c>
      <c r="I665" s="256" t="s">
        <v>283</v>
      </c>
      <c r="J665" s="256" t="s">
        <v>283</v>
      </c>
      <c r="K665" s="256" t="s">
        <v>283</v>
      </c>
      <c r="L665" s="256" t="s">
        <v>283</v>
      </c>
      <c r="M665" s="256" t="s">
        <v>283</v>
      </c>
      <c r="N665" s="256" t="s">
        <v>283</v>
      </c>
      <c r="O665" s="257" t="s">
        <v>17</v>
      </c>
      <c r="P665" s="257" t="s">
        <v>17</v>
      </c>
      <c r="Q665" s="257" t="s">
        <v>15</v>
      </c>
      <c r="R665" s="257" t="s">
        <v>283</v>
      </c>
      <c r="S665" s="257" t="s">
        <v>283</v>
      </c>
      <c r="T665" s="257" t="s">
        <v>283</v>
      </c>
      <c r="U665" s="257" t="s">
        <v>283</v>
      </c>
      <c r="V665" s="257" t="s">
        <v>283</v>
      </c>
      <c r="W665" s="258" t="s">
        <v>283</v>
      </c>
      <c r="X665" s="258" t="s">
        <v>283</v>
      </c>
      <c r="Y665" s="259" t="s">
        <v>283</v>
      </c>
    </row>
    <row r="666" spans="1:25">
      <c r="A666" s="253">
        <v>12</v>
      </c>
      <c r="B666" s="254" t="str">
        <f>VLOOKUP(Tabel10[[#This Row],[Code]],Ruimtegroepen[[Code]:[Ruimte omschrijving]],2,FALSE)</f>
        <v>Kantine/Aula</v>
      </c>
      <c r="C666" s="255" t="s">
        <v>838</v>
      </c>
      <c r="D666" s="254" t="s">
        <v>28</v>
      </c>
      <c r="E666" s="255" t="s">
        <v>101</v>
      </c>
      <c r="F666" s="255" t="s">
        <v>841</v>
      </c>
      <c r="G666" s="260" t="s">
        <v>283</v>
      </c>
      <c r="H666" s="256" t="s">
        <v>283</v>
      </c>
      <c r="I666" s="256" t="s">
        <v>17</v>
      </c>
      <c r="J666" s="256" t="s">
        <v>283</v>
      </c>
      <c r="K666" s="256" t="s">
        <v>283</v>
      </c>
      <c r="L666" s="256" t="s">
        <v>283</v>
      </c>
      <c r="M666" s="256" t="s">
        <v>283</v>
      </c>
      <c r="N666" s="256" t="s">
        <v>283</v>
      </c>
      <c r="O666" s="257" t="s">
        <v>17</v>
      </c>
      <c r="P666" s="257" t="s">
        <v>17</v>
      </c>
      <c r="Q666" s="257" t="s">
        <v>15</v>
      </c>
      <c r="R666" s="257" t="s">
        <v>283</v>
      </c>
      <c r="S666" s="257" t="s">
        <v>283</v>
      </c>
      <c r="T666" s="257" t="s">
        <v>283</v>
      </c>
      <c r="U666" s="257" t="s">
        <v>283</v>
      </c>
      <c r="V666" s="257" t="s">
        <v>283</v>
      </c>
      <c r="W666" s="258" t="s">
        <v>283</v>
      </c>
      <c r="X666" s="258" t="s">
        <v>283</v>
      </c>
      <c r="Y666" s="259" t="s">
        <v>283</v>
      </c>
    </row>
    <row r="667" spans="1:25">
      <c r="A667" s="253">
        <v>12</v>
      </c>
      <c r="B667" s="254" t="str">
        <f>VLOOKUP(Tabel10[[#This Row],[Code]],Ruimtegroepen[[Code]:[Ruimte omschrijving]],2,FALSE)</f>
        <v>Kantine/Aula</v>
      </c>
      <c r="C667" s="255" t="s">
        <v>838</v>
      </c>
      <c r="D667" s="254" t="s">
        <v>28</v>
      </c>
      <c r="E667" s="255" t="s">
        <v>102</v>
      </c>
      <c r="F667" s="255" t="s">
        <v>842</v>
      </c>
      <c r="G667" s="260" t="s">
        <v>283</v>
      </c>
      <c r="H667" s="256" t="s">
        <v>283</v>
      </c>
      <c r="I667" s="256" t="s">
        <v>17</v>
      </c>
      <c r="J667" s="256" t="s">
        <v>283</v>
      </c>
      <c r="K667" s="256" t="s">
        <v>283</v>
      </c>
      <c r="L667" s="256" t="s">
        <v>283</v>
      </c>
      <c r="M667" s="256" t="s">
        <v>283</v>
      </c>
      <c r="N667" s="256" t="s">
        <v>283</v>
      </c>
      <c r="O667" s="257" t="s">
        <v>17</v>
      </c>
      <c r="P667" s="257" t="s">
        <v>17</v>
      </c>
      <c r="Q667" s="257" t="s">
        <v>15</v>
      </c>
      <c r="R667" s="257" t="s">
        <v>283</v>
      </c>
      <c r="S667" s="257" t="s">
        <v>283</v>
      </c>
      <c r="T667" s="257" t="s">
        <v>283</v>
      </c>
      <c r="U667" s="257" t="s">
        <v>283</v>
      </c>
      <c r="V667" s="257" t="s">
        <v>283</v>
      </c>
      <c r="W667" s="258" t="s">
        <v>283</v>
      </c>
      <c r="X667" s="258" t="s">
        <v>283</v>
      </c>
      <c r="Y667" s="259" t="s">
        <v>283</v>
      </c>
    </row>
    <row r="668" spans="1:25">
      <c r="A668" s="253">
        <v>12</v>
      </c>
      <c r="B668" s="254" t="str">
        <f>VLOOKUP(Tabel10[[#This Row],[Code]],Ruimtegroepen[[Code]:[Ruimte omschrijving]],2,FALSE)</f>
        <v>Kantine/Aula</v>
      </c>
      <c r="C668" s="255" t="s">
        <v>838</v>
      </c>
      <c r="D668" s="254" t="s">
        <v>28</v>
      </c>
      <c r="E668" s="255" t="s">
        <v>99</v>
      </c>
      <c r="F668" s="255" t="s">
        <v>840</v>
      </c>
      <c r="G668" s="260" t="s">
        <v>283</v>
      </c>
      <c r="H668" s="256" t="s">
        <v>17</v>
      </c>
      <c r="I668" s="256" t="s">
        <v>283</v>
      </c>
      <c r="J668" s="256" t="s">
        <v>283</v>
      </c>
      <c r="K668" s="256" t="s">
        <v>283</v>
      </c>
      <c r="L668" s="256" t="s">
        <v>283</v>
      </c>
      <c r="M668" s="256" t="s">
        <v>283</v>
      </c>
      <c r="N668" s="256" t="s">
        <v>283</v>
      </c>
      <c r="O668" s="257" t="s">
        <v>17</v>
      </c>
      <c r="P668" s="257" t="s">
        <v>17</v>
      </c>
      <c r="Q668" s="257" t="s">
        <v>15</v>
      </c>
      <c r="R668" s="257" t="s">
        <v>283</v>
      </c>
      <c r="S668" s="257" t="s">
        <v>283</v>
      </c>
      <c r="T668" s="257" t="s">
        <v>283</v>
      </c>
      <c r="U668" s="257" t="s">
        <v>283</v>
      </c>
      <c r="V668" s="257" t="s">
        <v>283</v>
      </c>
      <c r="W668" s="258" t="s">
        <v>283</v>
      </c>
      <c r="X668" s="258" t="s">
        <v>283</v>
      </c>
      <c r="Y668" s="259" t="s">
        <v>283</v>
      </c>
    </row>
    <row r="669" spans="1:25">
      <c r="A669" s="253">
        <v>12</v>
      </c>
      <c r="B669" s="254" t="str">
        <f>VLOOKUP(Tabel10[[#This Row],[Code]],Ruimtegroepen[[Code]:[Ruimte omschrijving]],2,FALSE)</f>
        <v>Kantine/Aula</v>
      </c>
      <c r="C669" s="255" t="s">
        <v>838</v>
      </c>
      <c r="D669" s="254" t="s">
        <v>28</v>
      </c>
      <c r="E669" s="255" t="s">
        <v>1312</v>
      </c>
      <c r="F669" s="255" t="s">
        <v>1421</v>
      </c>
      <c r="G669" s="260" t="s">
        <v>283</v>
      </c>
      <c r="H669" s="256" t="s">
        <v>283</v>
      </c>
      <c r="I669" s="256" t="s">
        <v>17</v>
      </c>
      <c r="J669" s="256" t="s">
        <v>283</v>
      </c>
      <c r="K669" s="256" t="s">
        <v>283</v>
      </c>
      <c r="L669" s="256" t="s">
        <v>283</v>
      </c>
      <c r="M669" s="256" t="s">
        <v>283</v>
      </c>
      <c r="N669" s="256" t="s">
        <v>283</v>
      </c>
      <c r="O669" s="257" t="s">
        <v>17</v>
      </c>
      <c r="P669" s="257" t="s">
        <v>17</v>
      </c>
      <c r="Q669" s="257" t="s">
        <v>15</v>
      </c>
      <c r="R669" s="257" t="s">
        <v>283</v>
      </c>
      <c r="S669" s="257" t="s">
        <v>283</v>
      </c>
      <c r="T669" s="257" t="s">
        <v>283</v>
      </c>
      <c r="U669" s="257" t="s">
        <v>283</v>
      </c>
      <c r="V669" s="257" t="s">
        <v>283</v>
      </c>
      <c r="W669" s="258" t="s">
        <v>283</v>
      </c>
      <c r="X669" s="258" t="s">
        <v>283</v>
      </c>
      <c r="Y669" s="259" t="s">
        <v>283</v>
      </c>
    </row>
    <row r="670" spans="1:25">
      <c r="A670" s="253">
        <v>13</v>
      </c>
      <c r="B670" s="254" t="str">
        <f>VLOOKUP(Tabel10[[#This Row],[Code]],Ruimtegroepen[[Code]:[Ruimte omschrijving]],2,FALSE)</f>
        <v>Personeelskamer</v>
      </c>
      <c r="C670" s="255" t="s">
        <v>843</v>
      </c>
      <c r="D670" s="254" t="s">
        <v>29</v>
      </c>
      <c r="E670" s="255" t="s">
        <v>100</v>
      </c>
      <c r="F670" s="255" t="s">
        <v>844</v>
      </c>
      <c r="G670" s="260" t="s">
        <v>283</v>
      </c>
      <c r="H670" s="256" t="s">
        <v>283</v>
      </c>
      <c r="I670" s="256" t="s">
        <v>20</v>
      </c>
      <c r="J670" s="256" t="s">
        <v>15</v>
      </c>
      <c r="K670" s="256" t="s">
        <v>283</v>
      </c>
      <c r="L670" s="256" t="s">
        <v>283</v>
      </c>
      <c r="M670" s="256" t="s">
        <v>283</v>
      </c>
      <c r="N670" s="256" t="s">
        <v>2</v>
      </c>
      <c r="O670" s="257" t="s">
        <v>2</v>
      </c>
      <c r="P670" s="257" t="s">
        <v>2</v>
      </c>
      <c r="Q670" s="257" t="s">
        <v>15</v>
      </c>
      <c r="R670" s="257" t="s">
        <v>15</v>
      </c>
      <c r="S670" s="257" t="s">
        <v>16</v>
      </c>
      <c r="T670" s="257" t="s">
        <v>330</v>
      </c>
      <c r="U670" s="257" t="s">
        <v>250</v>
      </c>
      <c r="V670" s="257" t="s">
        <v>2</v>
      </c>
      <c r="W670" s="258" t="s">
        <v>283</v>
      </c>
      <c r="X670" s="258" t="s">
        <v>283</v>
      </c>
      <c r="Y670" s="259" t="s">
        <v>283</v>
      </c>
    </row>
    <row r="671" spans="1:25">
      <c r="A671" s="253">
        <v>13</v>
      </c>
      <c r="B671" s="254" t="str">
        <f>VLOOKUP(Tabel10[[#This Row],[Code]],Ruimtegroepen[[Code]:[Ruimte omschrijving]],2,FALSE)</f>
        <v>Personeelskamer</v>
      </c>
      <c r="C671" s="255" t="s">
        <v>843</v>
      </c>
      <c r="D671" s="254" t="s">
        <v>29</v>
      </c>
      <c r="E671" s="255" t="s">
        <v>99</v>
      </c>
      <c r="F671" s="255" t="s">
        <v>845</v>
      </c>
      <c r="G671" s="256" t="s">
        <v>20</v>
      </c>
      <c r="H671" s="256" t="s">
        <v>15</v>
      </c>
      <c r="I671" s="256" t="s">
        <v>283</v>
      </c>
      <c r="J671" s="256" t="s">
        <v>283</v>
      </c>
      <c r="K671" s="256" t="s">
        <v>283</v>
      </c>
      <c r="L671" s="256" t="s">
        <v>283</v>
      </c>
      <c r="M671" s="256" t="s">
        <v>283</v>
      </c>
      <c r="N671" s="256" t="s">
        <v>2</v>
      </c>
      <c r="O671" s="257" t="s">
        <v>2</v>
      </c>
      <c r="P671" s="257" t="s">
        <v>2</v>
      </c>
      <c r="Q671" s="257" t="s">
        <v>15</v>
      </c>
      <c r="R671" s="257" t="s">
        <v>15</v>
      </c>
      <c r="S671" s="257" t="s">
        <v>16</v>
      </c>
      <c r="T671" s="257" t="s">
        <v>330</v>
      </c>
      <c r="U671" s="257" t="s">
        <v>250</v>
      </c>
      <c r="V671" s="257" t="s">
        <v>2</v>
      </c>
      <c r="W671" s="258" t="s">
        <v>283</v>
      </c>
      <c r="X671" s="258" t="s">
        <v>283</v>
      </c>
      <c r="Y671" s="259" t="s">
        <v>283</v>
      </c>
    </row>
    <row r="672" spans="1:25">
      <c r="A672" s="253">
        <v>13</v>
      </c>
      <c r="B672" s="254" t="str">
        <f>VLOOKUP(Tabel10[[#This Row],[Code]],Ruimtegroepen[[Code]:[Ruimte omschrijving]],2,FALSE)</f>
        <v>Personeelskamer</v>
      </c>
      <c r="C672" s="255" t="s">
        <v>843</v>
      </c>
      <c r="D672" s="254" t="s">
        <v>29</v>
      </c>
      <c r="E672" s="255" t="s">
        <v>101</v>
      </c>
      <c r="F672" s="255" t="s">
        <v>846</v>
      </c>
      <c r="G672" s="260" t="s">
        <v>283</v>
      </c>
      <c r="H672" s="256" t="s">
        <v>283</v>
      </c>
      <c r="I672" s="256" t="s">
        <v>20</v>
      </c>
      <c r="J672" s="256" t="s">
        <v>15</v>
      </c>
      <c r="K672" s="256" t="s">
        <v>250</v>
      </c>
      <c r="L672" s="256" t="s">
        <v>283</v>
      </c>
      <c r="M672" s="256" t="s">
        <v>283</v>
      </c>
      <c r="N672" s="256" t="s">
        <v>2</v>
      </c>
      <c r="O672" s="257" t="s">
        <v>2</v>
      </c>
      <c r="P672" s="257" t="s">
        <v>2</v>
      </c>
      <c r="Q672" s="257" t="s">
        <v>15</v>
      </c>
      <c r="R672" s="257" t="s">
        <v>15</v>
      </c>
      <c r="S672" s="257" t="s">
        <v>16</v>
      </c>
      <c r="T672" s="257" t="s">
        <v>330</v>
      </c>
      <c r="U672" s="257" t="s">
        <v>250</v>
      </c>
      <c r="V672" s="257" t="s">
        <v>2</v>
      </c>
      <c r="W672" s="258" t="s">
        <v>283</v>
      </c>
      <c r="X672" s="258" t="s">
        <v>283</v>
      </c>
      <c r="Y672" s="259" t="s">
        <v>283</v>
      </c>
    </row>
    <row r="673" spans="1:25">
      <c r="A673" s="253">
        <v>13</v>
      </c>
      <c r="B673" s="254" t="str">
        <f>VLOOKUP(Tabel10[[#This Row],[Code]],Ruimtegroepen[[Code]:[Ruimte omschrijving]],2,FALSE)</f>
        <v>Personeelskamer</v>
      </c>
      <c r="C673" s="255" t="s">
        <v>843</v>
      </c>
      <c r="D673" s="254" t="s">
        <v>29</v>
      </c>
      <c r="E673" s="255" t="s">
        <v>102</v>
      </c>
      <c r="F673" s="255" t="s">
        <v>847</v>
      </c>
      <c r="G673" s="260" t="s">
        <v>283</v>
      </c>
      <c r="H673" s="256" t="s">
        <v>283</v>
      </c>
      <c r="I673" s="256" t="s">
        <v>20</v>
      </c>
      <c r="J673" s="256" t="s">
        <v>15</v>
      </c>
      <c r="K673" s="256" t="s">
        <v>250</v>
      </c>
      <c r="L673" s="256" t="s">
        <v>283</v>
      </c>
      <c r="M673" s="256" t="s">
        <v>283</v>
      </c>
      <c r="N673" s="256" t="s">
        <v>2</v>
      </c>
      <c r="O673" s="257" t="s">
        <v>2</v>
      </c>
      <c r="P673" s="257" t="s">
        <v>2</v>
      </c>
      <c r="Q673" s="257" t="s">
        <v>15</v>
      </c>
      <c r="R673" s="257" t="s">
        <v>15</v>
      </c>
      <c r="S673" s="257" t="s">
        <v>16</v>
      </c>
      <c r="T673" s="257" t="s">
        <v>330</v>
      </c>
      <c r="U673" s="257" t="s">
        <v>250</v>
      </c>
      <c r="V673" s="257" t="s">
        <v>2</v>
      </c>
      <c r="W673" s="258" t="s">
        <v>283</v>
      </c>
      <c r="X673" s="258" t="s">
        <v>283</v>
      </c>
      <c r="Y673" s="259" t="s">
        <v>283</v>
      </c>
    </row>
    <row r="674" spans="1:25">
      <c r="A674" s="253">
        <v>13</v>
      </c>
      <c r="B674" s="254" t="str">
        <f>VLOOKUP(Tabel10[[#This Row],[Code]],Ruimtegroepen[[Code]:[Ruimte omschrijving]],2,FALSE)</f>
        <v>Personeelskamer</v>
      </c>
      <c r="C674" s="255" t="s">
        <v>843</v>
      </c>
      <c r="D674" s="254" t="s">
        <v>29</v>
      </c>
      <c r="E674" s="255" t="s">
        <v>99</v>
      </c>
      <c r="F674" s="255" t="s">
        <v>845</v>
      </c>
      <c r="G674" s="256" t="s">
        <v>20</v>
      </c>
      <c r="H674" s="256" t="s">
        <v>15</v>
      </c>
      <c r="I674" s="256" t="s">
        <v>283</v>
      </c>
      <c r="J674" s="256" t="s">
        <v>283</v>
      </c>
      <c r="K674" s="256" t="s">
        <v>283</v>
      </c>
      <c r="L674" s="256" t="s">
        <v>283</v>
      </c>
      <c r="M674" s="256" t="s">
        <v>283</v>
      </c>
      <c r="N674" s="256" t="s">
        <v>2</v>
      </c>
      <c r="O674" s="257" t="s">
        <v>2</v>
      </c>
      <c r="P674" s="257" t="s">
        <v>2</v>
      </c>
      <c r="Q674" s="257" t="s">
        <v>15</v>
      </c>
      <c r="R674" s="257" t="s">
        <v>15</v>
      </c>
      <c r="S674" s="257" t="s">
        <v>16</v>
      </c>
      <c r="T674" s="257" t="s">
        <v>330</v>
      </c>
      <c r="U674" s="257" t="s">
        <v>250</v>
      </c>
      <c r="V674" s="257" t="s">
        <v>2</v>
      </c>
      <c r="W674" s="258" t="s">
        <v>283</v>
      </c>
      <c r="X674" s="258" t="s">
        <v>283</v>
      </c>
      <c r="Y674" s="259" t="s">
        <v>283</v>
      </c>
    </row>
    <row r="675" spans="1:25">
      <c r="A675" s="253">
        <v>13</v>
      </c>
      <c r="B675" s="254" t="str">
        <f>VLOOKUP(Tabel10[[#This Row],[Code]],Ruimtegroepen[[Code]:[Ruimte omschrijving]],2,FALSE)</f>
        <v>Personeelskamer</v>
      </c>
      <c r="C675" s="255" t="s">
        <v>843</v>
      </c>
      <c r="D675" s="254" t="s">
        <v>29</v>
      </c>
      <c r="E675" s="255" t="s">
        <v>1312</v>
      </c>
      <c r="F675" s="255" t="s">
        <v>1489</v>
      </c>
      <c r="G675" s="260" t="s">
        <v>283</v>
      </c>
      <c r="H675" s="256" t="s">
        <v>283</v>
      </c>
      <c r="I675" s="256" t="s">
        <v>20</v>
      </c>
      <c r="J675" s="256" t="s">
        <v>15</v>
      </c>
      <c r="K675" s="256" t="s">
        <v>250</v>
      </c>
      <c r="L675" s="256" t="s">
        <v>283</v>
      </c>
      <c r="M675" s="256" t="s">
        <v>283</v>
      </c>
      <c r="N675" s="256" t="s">
        <v>2</v>
      </c>
      <c r="O675" s="257" t="s">
        <v>2</v>
      </c>
      <c r="P675" s="257" t="s">
        <v>2</v>
      </c>
      <c r="Q675" s="257" t="s">
        <v>15</v>
      </c>
      <c r="R675" s="257" t="s">
        <v>15</v>
      </c>
      <c r="S675" s="257" t="s">
        <v>16</v>
      </c>
      <c r="T675" s="257" t="s">
        <v>330</v>
      </c>
      <c r="U675" s="257" t="s">
        <v>250</v>
      </c>
      <c r="V675" s="257" t="s">
        <v>2</v>
      </c>
      <c r="W675" s="258" t="s">
        <v>283</v>
      </c>
      <c r="X675" s="258" t="s">
        <v>283</v>
      </c>
      <c r="Y675" s="259" t="s">
        <v>283</v>
      </c>
    </row>
    <row r="676" spans="1:25">
      <c r="A676" s="253">
        <v>13</v>
      </c>
      <c r="B676" s="254" t="str">
        <f>VLOOKUP(Tabel10[[#This Row],[Code]],Ruimtegroepen[[Code]:[Ruimte omschrijving]],2,FALSE)</f>
        <v>Personeelskamer</v>
      </c>
      <c r="C676" s="255" t="s">
        <v>848</v>
      </c>
      <c r="D676" s="254" t="s">
        <v>1</v>
      </c>
      <c r="E676" s="255" t="s">
        <v>100</v>
      </c>
      <c r="F676" s="255" t="s">
        <v>849</v>
      </c>
      <c r="G676" s="260" t="s">
        <v>283</v>
      </c>
      <c r="H676" s="256" t="s">
        <v>283</v>
      </c>
      <c r="I676" s="256" t="s">
        <v>20</v>
      </c>
      <c r="J676" s="256" t="s">
        <v>15</v>
      </c>
      <c r="K676" s="256" t="s">
        <v>283</v>
      </c>
      <c r="L676" s="256" t="s">
        <v>283</v>
      </c>
      <c r="M676" s="256" t="s">
        <v>283</v>
      </c>
      <c r="N676" s="256" t="s">
        <v>283</v>
      </c>
      <c r="O676" s="257" t="s">
        <v>2</v>
      </c>
      <c r="P676" s="257" t="s">
        <v>2</v>
      </c>
      <c r="Q676" s="257" t="s">
        <v>15</v>
      </c>
      <c r="R676" s="257" t="s">
        <v>15</v>
      </c>
      <c r="S676" s="257" t="s">
        <v>16</v>
      </c>
      <c r="T676" s="257" t="s">
        <v>330</v>
      </c>
      <c r="U676" s="257" t="s">
        <v>250</v>
      </c>
      <c r="V676" s="257" t="s">
        <v>283</v>
      </c>
      <c r="W676" s="258" t="s">
        <v>283</v>
      </c>
      <c r="X676" s="258" t="s">
        <v>283</v>
      </c>
      <c r="Y676" s="259" t="s">
        <v>283</v>
      </c>
    </row>
    <row r="677" spans="1:25">
      <c r="A677" s="253">
        <v>13</v>
      </c>
      <c r="B677" s="254" t="str">
        <f>VLOOKUP(Tabel10[[#This Row],[Code]],Ruimtegroepen[[Code]:[Ruimte omschrijving]],2,FALSE)</f>
        <v>Personeelskamer</v>
      </c>
      <c r="C677" s="255" t="s">
        <v>848</v>
      </c>
      <c r="D677" s="254" t="s">
        <v>1</v>
      </c>
      <c r="E677" s="255" t="s">
        <v>99</v>
      </c>
      <c r="F677" s="255" t="s">
        <v>850</v>
      </c>
      <c r="G677" s="256" t="s">
        <v>20</v>
      </c>
      <c r="H677" s="256" t="s">
        <v>15</v>
      </c>
      <c r="I677" s="256" t="s">
        <v>283</v>
      </c>
      <c r="J677" s="256" t="s">
        <v>283</v>
      </c>
      <c r="K677" s="256" t="s">
        <v>283</v>
      </c>
      <c r="L677" s="256" t="s">
        <v>283</v>
      </c>
      <c r="M677" s="256" t="s">
        <v>283</v>
      </c>
      <c r="N677" s="256" t="s">
        <v>283</v>
      </c>
      <c r="O677" s="257" t="s">
        <v>2</v>
      </c>
      <c r="P677" s="257" t="s">
        <v>2</v>
      </c>
      <c r="Q677" s="257" t="s">
        <v>15</v>
      </c>
      <c r="R677" s="257" t="s">
        <v>15</v>
      </c>
      <c r="S677" s="257" t="s">
        <v>16</v>
      </c>
      <c r="T677" s="257" t="s">
        <v>330</v>
      </c>
      <c r="U677" s="257" t="s">
        <v>250</v>
      </c>
      <c r="V677" s="257" t="s">
        <v>283</v>
      </c>
      <c r="W677" s="258" t="s">
        <v>283</v>
      </c>
      <c r="X677" s="258" t="s">
        <v>283</v>
      </c>
      <c r="Y677" s="259" t="s">
        <v>283</v>
      </c>
    </row>
    <row r="678" spans="1:25">
      <c r="A678" s="253">
        <v>13</v>
      </c>
      <c r="B678" s="254" t="str">
        <f>VLOOKUP(Tabel10[[#This Row],[Code]],Ruimtegroepen[[Code]:[Ruimte omschrijving]],2,FALSE)</f>
        <v>Personeelskamer</v>
      </c>
      <c r="C678" s="255" t="s">
        <v>848</v>
      </c>
      <c r="D678" s="254" t="s">
        <v>1</v>
      </c>
      <c r="E678" s="255" t="s">
        <v>101</v>
      </c>
      <c r="F678" s="255" t="s">
        <v>851</v>
      </c>
      <c r="G678" s="260" t="s">
        <v>283</v>
      </c>
      <c r="H678" s="256" t="s">
        <v>283</v>
      </c>
      <c r="I678" s="256" t="s">
        <v>20</v>
      </c>
      <c r="J678" s="256" t="s">
        <v>15</v>
      </c>
      <c r="K678" s="256" t="s">
        <v>250</v>
      </c>
      <c r="L678" s="256" t="s">
        <v>283</v>
      </c>
      <c r="M678" s="256" t="s">
        <v>283</v>
      </c>
      <c r="N678" s="256" t="s">
        <v>283</v>
      </c>
      <c r="O678" s="257" t="s">
        <v>2</v>
      </c>
      <c r="P678" s="257" t="s">
        <v>2</v>
      </c>
      <c r="Q678" s="257" t="s">
        <v>15</v>
      </c>
      <c r="R678" s="257" t="s">
        <v>15</v>
      </c>
      <c r="S678" s="257" t="s">
        <v>16</v>
      </c>
      <c r="T678" s="257" t="s">
        <v>330</v>
      </c>
      <c r="U678" s="257" t="s">
        <v>250</v>
      </c>
      <c r="V678" s="257" t="s">
        <v>283</v>
      </c>
      <c r="W678" s="258" t="s">
        <v>283</v>
      </c>
      <c r="X678" s="258" t="s">
        <v>283</v>
      </c>
      <c r="Y678" s="259" t="s">
        <v>283</v>
      </c>
    </row>
    <row r="679" spans="1:25">
      <c r="A679" s="253">
        <v>13</v>
      </c>
      <c r="B679" s="254" t="str">
        <f>VLOOKUP(Tabel10[[#This Row],[Code]],Ruimtegroepen[[Code]:[Ruimte omschrijving]],2,FALSE)</f>
        <v>Personeelskamer</v>
      </c>
      <c r="C679" s="255" t="s">
        <v>848</v>
      </c>
      <c r="D679" s="254" t="s">
        <v>1</v>
      </c>
      <c r="E679" s="255" t="s">
        <v>102</v>
      </c>
      <c r="F679" s="255" t="s">
        <v>852</v>
      </c>
      <c r="G679" s="260" t="s">
        <v>283</v>
      </c>
      <c r="H679" s="256" t="s">
        <v>283</v>
      </c>
      <c r="I679" s="256" t="s">
        <v>20</v>
      </c>
      <c r="J679" s="256" t="s">
        <v>15</v>
      </c>
      <c r="K679" s="256" t="s">
        <v>250</v>
      </c>
      <c r="L679" s="256" t="s">
        <v>283</v>
      </c>
      <c r="M679" s="256" t="s">
        <v>283</v>
      </c>
      <c r="N679" s="256" t="s">
        <v>283</v>
      </c>
      <c r="O679" s="257" t="s">
        <v>2</v>
      </c>
      <c r="P679" s="257" t="s">
        <v>2</v>
      </c>
      <c r="Q679" s="257" t="s">
        <v>15</v>
      </c>
      <c r="R679" s="257" t="s">
        <v>15</v>
      </c>
      <c r="S679" s="257" t="s">
        <v>16</v>
      </c>
      <c r="T679" s="257" t="s">
        <v>330</v>
      </c>
      <c r="U679" s="257" t="s">
        <v>250</v>
      </c>
      <c r="V679" s="257" t="s">
        <v>283</v>
      </c>
      <c r="W679" s="258" t="s">
        <v>283</v>
      </c>
      <c r="X679" s="258" t="s">
        <v>283</v>
      </c>
      <c r="Y679" s="259" t="s">
        <v>283</v>
      </c>
    </row>
    <row r="680" spans="1:25">
      <c r="A680" s="253">
        <v>13</v>
      </c>
      <c r="B680" s="254" t="str">
        <f>VLOOKUP(Tabel10[[#This Row],[Code]],Ruimtegroepen[[Code]:[Ruimte omschrijving]],2,FALSE)</f>
        <v>Personeelskamer</v>
      </c>
      <c r="C680" s="255" t="s">
        <v>848</v>
      </c>
      <c r="D680" s="254" t="s">
        <v>1</v>
      </c>
      <c r="E680" s="255" t="s">
        <v>99</v>
      </c>
      <c r="F680" s="255" t="s">
        <v>850</v>
      </c>
      <c r="G680" s="256" t="s">
        <v>20</v>
      </c>
      <c r="H680" s="256" t="s">
        <v>15</v>
      </c>
      <c r="I680" s="256" t="s">
        <v>283</v>
      </c>
      <c r="J680" s="256" t="s">
        <v>283</v>
      </c>
      <c r="K680" s="256" t="s">
        <v>283</v>
      </c>
      <c r="L680" s="256" t="s">
        <v>283</v>
      </c>
      <c r="M680" s="256" t="s">
        <v>283</v>
      </c>
      <c r="N680" s="256" t="s">
        <v>283</v>
      </c>
      <c r="O680" s="257" t="s">
        <v>2</v>
      </c>
      <c r="P680" s="257" t="s">
        <v>2</v>
      </c>
      <c r="Q680" s="257" t="s">
        <v>15</v>
      </c>
      <c r="R680" s="257" t="s">
        <v>15</v>
      </c>
      <c r="S680" s="257" t="s">
        <v>16</v>
      </c>
      <c r="T680" s="257" t="s">
        <v>330</v>
      </c>
      <c r="U680" s="257" t="s">
        <v>250</v>
      </c>
      <c r="V680" s="257" t="s">
        <v>283</v>
      </c>
      <c r="W680" s="258" t="s">
        <v>283</v>
      </c>
      <c r="X680" s="258" t="s">
        <v>283</v>
      </c>
      <c r="Y680" s="259" t="s">
        <v>283</v>
      </c>
    </row>
    <row r="681" spans="1:25">
      <c r="A681" s="253">
        <v>13</v>
      </c>
      <c r="B681" s="254" t="str">
        <f>VLOOKUP(Tabel10[[#This Row],[Code]],Ruimtegroepen[[Code]:[Ruimte omschrijving]],2,FALSE)</f>
        <v>Personeelskamer</v>
      </c>
      <c r="C681" s="255" t="s">
        <v>848</v>
      </c>
      <c r="D681" s="254" t="s">
        <v>1</v>
      </c>
      <c r="E681" s="255" t="s">
        <v>1312</v>
      </c>
      <c r="F681" s="255" t="s">
        <v>1473</v>
      </c>
      <c r="G681" s="260" t="s">
        <v>283</v>
      </c>
      <c r="H681" s="256" t="s">
        <v>283</v>
      </c>
      <c r="I681" s="256" t="s">
        <v>20</v>
      </c>
      <c r="J681" s="256" t="s">
        <v>15</v>
      </c>
      <c r="K681" s="256" t="s">
        <v>250</v>
      </c>
      <c r="L681" s="256" t="s">
        <v>283</v>
      </c>
      <c r="M681" s="256" t="s">
        <v>283</v>
      </c>
      <c r="N681" s="256" t="s">
        <v>283</v>
      </c>
      <c r="O681" s="257" t="s">
        <v>2</v>
      </c>
      <c r="P681" s="257" t="s">
        <v>2</v>
      </c>
      <c r="Q681" s="257" t="s">
        <v>15</v>
      </c>
      <c r="R681" s="257" t="s">
        <v>15</v>
      </c>
      <c r="S681" s="257" t="s">
        <v>16</v>
      </c>
      <c r="T681" s="257" t="s">
        <v>330</v>
      </c>
      <c r="U681" s="257" t="s">
        <v>250</v>
      </c>
      <c r="V681" s="257" t="s">
        <v>283</v>
      </c>
      <c r="W681" s="258" t="s">
        <v>283</v>
      </c>
      <c r="X681" s="258" t="s">
        <v>283</v>
      </c>
      <c r="Y681" s="259" t="s">
        <v>283</v>
      </c>
    </row>
    <row r="682" spans="1:25">
      <c r="A682" s="253">
        <v>13</v>
      </c>
      <c r="B682" s="254" t="str">
        <f>VLOOKUP(Tabel10[[#This Row],[Code]],Ruimtegroepen[[Code]:[Ruimte omschrijving]],2,FALSE)</f>
        <v>Personeelskamer</v>
      </c>
      <c r="C682" s="255" t="s">
        <v>853</v>
      </c>
      <c r="D682" s="254" t="s">
        <v>21</v>
      </c>
      <c r="E682" s="255" t="s">
        <v>100</v>
      </c>
      <c r="F682" s="255" t="s">
        <v>854</v>
      </c>
      <c r="G682" s="260" t="s">
        <v>283</v>
      </c>
      <c r="H682" s="256" t="s">
        <v>283</v>
      </c>
      <c r="I682" s="256" t="s">
        <v>18</v>
      </c>
      <c r="J682" s="256" t="s">
        <v>15</v>
      </c>
      <c r="K682" s="256" t="s">
        <v>283</v>
      </c>
      <c r="L682" s="256" t="s">
        <v>283</v>
      </c>
      <c r="M682" s="256" t="s">
        <v>283</v>
      </c>
      <c r="N682" s="256" t="s">
        <v>283</v>
      </c>
      <c r="O682" s="257" t="s">
        <v>20</v>
      </c>
      <c r="P682" s="257" t="s">
        <v>20</v>
      </c>
      <c r="Q682" s="257" t="s">
        <v>15</v>
      </c>
      <c r="R682" s="257" t="s">
        <v>15</v>
      </c>
      <c r="S682" s="257" t="s">
        <v>16</v>
      </c>
      <c r="T682" s="257" t="s">
        <v>330</v>
      </c>
      <c r="U682" s="257" t="s">
        <v>250</v>
      </c>
      <c r="V682" s="257" t="s">
        <v>283</v>
      </c>
      <c r="W682" s="258" t="s">
        <v>283</v>
      </c>
      <c r="X682" s="258" t="s">
        <v>283</v>
      </c>
      <c r="Y682" s="259" t="s">
        <v>283</v>
      </c>
    </row>
    <row r="683" spans="1:25">
      <c r="A683" s="253">
        <v>13</v>
      </c>
      <c r="B683" s="254" t="str">
        <f>VLOOKUP(Tabel10[[#This Row],[Code]],Ruimtegroepen[[Code]:[Ruimte omschrijving]],2,FALSE)</f>
        <v>Personeelskamer</v>
      </c>
      <c r="C683" s="255" t="s">
        <v>853</v>
      </c>
      <c r="D683" s="254" t="s">
        <v>21</v>
      </c>
      <c r="E683" s="255" t="s">
        <v>99</v>
      </c>
      <c r="F683" s="255" t="s">
        <v>855</v>
      </c>
      <c r="G683" s="256" t="s">
        <v>18</v>
      </c>
      <c r="H683" s="256" t="s">
        <v>15</v>
      </c>
      <c r="I683" s="256" t="s">
        <v>283</v>
      </c>
      <c r="J683" s="256" t="s">
        <v>283</v>
      </c>
      <c r="K683" s="256" t="s">
        <v>283</v>
      </c>
      <c r="L683" s="256" t="s">
        <v>283</v>
      </c>
      <c r="M683" s="256" t="s">
        <v>283</v>
      </c>
      <c r="N683" s="256" t="s">
        <v>283</v>
      </c>
      <c r="O683" s="257" t="s">
        <v>20</v>
      </c>
      <c r="P683" s="257" t="s">
        <v>20</v>
      </c>
      <c r="Q683" s="257" t="s">
        <v>15</v>
      </c>
      <c r="R683" s="257" t="s">
        <v>15</v>
      </c>
      <c r="S683" s="257" t="s">
        <v>16</v>
      </c>
      <c r="T683" s="257" t="s">
        <v>330</v>
      </c>
      <c r="U683" s="257" t="s">
        <v>250</v>
      </c>
      <c r="V683" s="257" t="s">
        <v>283</v>
      </c>
      <c r="W683" s="258" t="s">
        <v>283</v>
      </c>
      <c r="X683" s="258" t="s">
        <v>283</v>
      </c>
      <c r="Y683" s="259" t="s">
        <v>283</v>
      </c>
    </row>
    <row r="684" spans="1:25">
      <c r="A684" s="253">
        <v>13</v>
      </c>
      <c r="B684" s="254" t="str">
        <f>VLOOKUP(Tabel10[[#This Row],[Code]],Ruimtegroepen[[Code]:[Ruimte omschrijving]],2,FALSE)</f>
        <v>Personeelskamer</v>
      </c>
      <c r="C684" s="255" t="s">
        <v>853</v>
      </c>
      <c r="D684" s="254" t="s">
        <v>21</v>
      </c>
      <c r="E684" s="255" t="s">
        <v>101</v>
      </c>
      <c r="F684" s="255" t="s">
        <v>856</v>
      </c>
      <c r="G684" s="260" t="s">
        <v>283</v>
      </c>
      <c r="H684" s="256" t="s">
        <v>283</v>
      </c>
      <c r="I684" s="256" t="s">
        <v>18</v>
      </c>
      <c r="J684" s="256" t="s">
        <v>15</v>
      </c>
      <c r="K684" s="256" t="s">
        <v>250</v>
      </c>
      <c r="L684" s="256" t="s">
        <v>283</v>
      </c>
      <c r="M684" s="256" t="s">
        <v>283</v>
      </c>
      <c r="N684" s="256" t="s">
        <v>283</v>
      </c>
      <c r="O684" s="257" t="s">
        <v>20</v>
      </c>
      <c r="P684" s="257" t="s">
        <v>20</v>
      </c>
      <c r="Q684" s="257" t="s">
        <v>15</v>
      </c>
      <c r="R684" s="257" t="s">
        <v>15</v>
      </c>
      <c r="S684" s="257" t="s">
        <v>16</v>
      </c>
      <c r="T684" s="257" t="s">
        <v>330</v>
      </c>
      <c r="U684" s="257" t="s">
        <v>250</v>
      </c>
      <c r="V684" s="257" t="s">
        <v>283</v>
      </c>
      <c r="W684" s="258" t="s">
        <v>283</v>
      </c>
      <c r="X684" s="258" t="s">
        <v>283</v>
      </c>
      <c r="Y684" s="259" t="s">
        <v>283</v>
      </c>
    </row>
    <row r="685" spans="1:25">
      <c r="A685" s="253">
        <v>13</v>
      </c>
      <c r="B685" s="254" t="str">
        <f>VLOOKUP(Tabel10[[#This Row],[Code]],Ruimtegroepen[[Code]:[Ruimte omschrijving]],2,FALSE)</f>
        <v>Personeelskamer</v>
      </c>
      <c r="C685" s="255" t="s">
        <v>853</v>
      </c>
      <c r="D685" s="254" t="s">
        <v>21</v>
      </c>
      <c r="E685" s="255" t="s">
        <v>102</v>
      </c>
      <c r="F685" s="255" t="s">
        <v>857</v>
      </c>
      <c r="G685" s="260" t="s">
        <v>283</v>
      </c>
      <c r="H685" s="256" t="s">
        <v>283</v>
      </c>
      <c r="I685" s="256" t="s">
        <v>18</v>
      </c>
      <c r="J685" s="256" t="s">
        <v>15</v>
      </c>
      <c r="K685" s="256" t="s">
        <v>250</v>
      </c>
      <c r="L685" s="256" t="s">
        <v>283</v>
      </c>
      <c r="M685" s="256" t="s">
        <v>283</v>
      </c>
      <c r="N685" s="256" t="s">
        <v>283</v>
      </c>
      <c r="O685" s="257" t="s">
        <v>20</v>
      </c>
      <c r="P685" s="257" t="s">
        <v>20</v>
      </c>
      <c r="Q685" s="257" t="s">
        <v>15</v>
      </c>
      <c r="R685" s="257" t="s">
        <v>15</v>
      </c>
      <c r="S685" s="257" t="s">
        <v>16</v>
      </c>
      <c r="T685" s="257" t="s">
        <v>330</v>
      </c>
      <c r="U685" s="257" t="s">
        <v>250</v>
      </c>
      <c r="V685" s="257" t="s">
        <v>283</v>
      </c>
      <c r="W685" s="258" t="s">
        <v>283</v>
      </c>
      <c r="X685" s="258" t="s">
        <v>283</v>
      </c>
      <c r="Y685" s="259" t="s">
        <v>283</v>
      </c>
    </row>
    <row r="686" spans="1:25">
      <c r="A686" s="253">
        <v>13</v>
      </c>
      <c r="B686" s="254" t="str">
        <f>VLOOKUP(Tabel10[[#This Row],[Code]],Ruimtegroepen[[Code]:[Ruimte omschrijving]],2,FALSE)</f>
        <v>Personeelskamer</v>
      </c>
      <c r="C686" s="255" t="s">
        <v>853</v>
      </c>
      <c r="D686" s="254" t="s">
        <v>21</v>
      </c>
      <c r="E686" s="255" t="s">
        <v>99</v>
      </c>
      <c r="F686" s="255" t="s">
        <v>855</v>
      </c>
      <c r="G686" s="256" t="s">
        <v>18</v>
      </c>
      <c r="H686" s="256" t="s">
        <v>15</v>
      </c>
      <c r="I686" s="256" t="s">
        <v>283</v>
      </c>
      <c r="J686" s="256" t="s">
        <v>283</v>
      </c>
      <c r="K686" s="256" t="s">
        <v>283</v>
      </c>
      <c r="L686" s="256" t="s">
        <v>283</v>
      </c>
      <c r="M686" s="256" t="s">
        <v>283</v>
      </c>
      <c r="N686" s="256" t="s">
        <v>283</v>
      </c>
      <c r="O686" s="257" t="s">
        <v>20</v>
      </c>
      <c r="P686" s="257" t="s">
        <v>20</v>
      </c>
      <c r="Q686" s="257" t="s">
        <v>15</v>
      </c>
      <c r="R686" s="257" t="s">
        <v>15</v>
      </c>
      <c r="S686" s="257" t="s">
        <v>16</v>
      </c>
      <c r="T686" s="257" t="s">
        <v>330</v>
      </c>
      <c r="U686" s="257" t="s">
        <v>250</v>
      </c>
      <c r="V686" s="257" t="s">
        <v>283</v>
      </c>
      <c r="W686" s="258" t="s">
        <v>283</v>
      </c>
      <c r="X686" s="258" t="s">
        <v>283</v>
      </c>
      <c r="Y686" s="259" t="s">
        <v>283</v>
      </c>
    </row>
    <row r="687" spans="1:25">
      <c r="A687" s="253">
        <v>13</v>
      </c>
      <c r="B687" s="254" t="str">
        <f>VLOOKUP(Tabel10[[#This Row],[Code]],Ruimtegroepen[[Code]:[Ruimte omschrijving]],2,FALSE)</f>
        <v>Personeelskamer</v>
      </c>
      <c r="C687" s="255" t="s">
        <v>853</v>
      </c>
      <c r="D687" s="254" t="s">
        <v>21</v>
      </c>
      <c r="E687" s="255" t="s">
        <v>1312</v>
      </c>
      <c r="F687" s="255" t="s">
        <v>1456</v>
      </c>
      <c r="G687" s="260" t="s">
        <v>283</v>
      </c>
      <c r="H687" s="256" t="s">
        <v>283</v>
      </c>
      <c r="I687" s="256" t="s">
        <v>18</v>
      </c>
      <c r="J687" s="256" t="s">
        <v>15</v>
      </c>
      <c r="K687" s="256" t="s">
        <v>250</v>
      </c>
      <c r="L687" s="256" t="s">
        <v>283</v>
      </c>
      <c r="M687" s="256" t="s">
        <v>283</v>
      </c>
      <c r="N687" s="256" t="s">
        <v>283</v>
      </c>
      <c r="O687" s="257" t="s">
        <v>20</v>
      </c>
      <c r="P687" s="257" t="s">
        <v>20</v>
      </c>
      <c r="Q687" s="257" t="s">
        <v>15</v>
      </c>
      <c r="R687" s="257" t="s">
        <v>15</v>
      </c>
      <c r="S687" s="257" t="s">
        <v>16</v>
      </c>
      <c r="T687" s="257" t="s">
        <v>330</v>
      </c>
      <c r="U687" s="257" t="s">
        <v>250</v>
      </c>
      <c r="V687" s="257" t="s">
        <v>283</v>
      </c>
      <c r="W687" s="258" t="s">
        <v>283</v>
      </c>
      <c r="X687" s="258" t="s">
        <v>283</v>
      </c>
      <c r="Y687" s="259" t="s">
        <v>283</v>
      </c>
    </row>
    <row r="688" spans="1:25">
      <c r="A688" s="253">
        <v>13</v>
      </c>
      <c r="B688" s="254" t="str">
        <f>VLOOKUP(Tabel10[[#This Row],[Code]],Ruimtegroepen[[Code]:[Ruimte omschrijving]],2,FALSE)</f>
        <v>Personeelskamer</v>
      </c>
      <c r="C688" s="255" t="s">
        <v>858</v>
      </c>
      <c r="D688" s="254" t="s">
        <v>12</v>
      </c>
      <c r="E688" s="255" t="s">
        <v>100</v>
      </c>
      <c r="F688" s="255" t="s">
        <v>859</v>
      </c>
      <c r="G688" s="260" t="s">
        <v>283</v>
      </c>
      <c r="H688" s="256" t="s">
        <v>283</v>
      </c>
      <c r="I688" s="256" t="s">
        <v>17</v>
      </c>
      <c r="J688" s="256" t="s">
        <v>15</v>
      </c>
      <c r="K688" s="256" t="s">
        <v>283</v>
      </c>
      <c r="L688" s="256" t="s">
        <v>283</v>
      </c>
      <c r="M688" s="256" t="s">
        <v>283</v>
      </c>
      <c r="N688" s="256" t="s">
        <v>283</v>
      </c>
      <c r="O688" s="257" t="s">
        <v>18</v>
      </c>
      <c r="P688" s="257" t="s">
        <v>18</v>
      </c>
      <c r="Q688" s="257" t="s">
        <v>15</v>
      </c>
      <c r="R688" s="257" t="s">
        <v>15</v>
      </c>
      <c r="S688" s="257" t="s">
        <v>16</v>
      </c>
      <c r="T688" s="257" t="s">
        <v>330</v>
      </c>
      <c r="U688" s="257" t="s">
        <v>250</v>
      </c>
      <c r="V688" s="257" t="s">
        <v>283</v>
      </c>
      <c r="W688" s="258" t="s">
        <v>283</v>
      </c>
      <c r="X688" s="258" t="s">
        <v>283</v>
      </c>
      <c r="Y688" s="259" t="s">
        <v>283</v>
      </c>
    </row>
    <row r="689" spans="1:25">
      <c r="A689" s="253">
        <v>13</v>
      </c>
      <c r="B689" s="254" t="str">
        <f>VLOOKUP(Tabel10[[#This Row],[Code]],Ruimtegroepen[[Code]:[Ruimte omschrijving]],2,FALSE)</f>
        <v>Personeelskamer</v>
      </c>
      <c r="C689" s="255" t="s">
        <v>858</v>
      </c>
      <c r="D689" s="254" t="s">
        <v>12</v>
      </c>
      <c r="E689" s="255" t="s">
        <v>99</v>
      </c>
      <c r="F689" s="255" t="s">
        <v>860</v>
      </c>
      <c r="G689" s="256" t="s">
        <v>17</v>
      </c>
      <c r="H689" s="256" t="s">
        <v>15</v>
      </c>
      <c r="I689" s="256" t="s">
        <v>283</v>
      </c>
      <c r="J689" s="256" t="s">
        <v>283</v>
      </c>
      <c r="K689" s="256" t="s">
        <v>283</v>
      </c>
      <c r="L689" s="256" t="s">
        <v>283</v>
      </c>
      <c r="M689" s="256" t="s">
        <v>283</v>
      </c>
      <c r="N689" s="256" t="s">
        <v>283</v>
      </c>
      <c r="O689" s="257" t="s">
        <v>18</v>
      </c>
      <c r="P689" s="257" t="s">
        <v>18</v>
      </c>
      <c r="Q689" s="257" t="s">
        <v>15</v>
      </c>
      <c r="R689" s="257" t="s">
        <v>15</v>
      </c>
      <c r="S689" s="257" t="s">
        <v>16</v>
      </c>
      <c r="T689" s="257" t="s">
        <v>330</v>
      </c>
      <c r="U689" s="257" t="s">
        <v>250</v>
      </c>
      <c r="V689" s="257" t="s">
        <v>283</v>
      </c>
      <c r="W689" s="258" t="s">
        <v>283</v>
      </c>
      <c r="X689" s="258" t="s">
        <v>283</v>
      </c>
      <c r="Y689" s="259" t="s">
        <v>283</v>
      </c>
    </row>
    <row r="690" spans="1:25">
      <c r="A690" s="253">
        <v>13</v>
      </c>
      <c r="B690" s="254" t="str">
        <f>VLOOKUP(Tabel10[[#This Row],[Code]],Ruimtegroepen[[Code]:[Ruimte omschrijving]],2,FALSE)</f>
        <v>Personeelskamer</v>
      </c>
      <c r="C690" s="255" t="s">
        <v>858</v>
      </c>
      <c r="D690" s="254" t="s">
        <v>12</v>
      </c>
      <c r="E690" s="255" t="s">
        <v>101</v>
      </c>
      <c r="F690" s="255" t="s">
        <v>861</v>
      </c>
      <c r="G690" s="260" t="s">
        <v>283</v>
      </c>
      <c r="H690" s="256" t="s">
        <v>283</v>
      </c>
      <c r="I690" s="256" t="s">
        <v>17</v>
      </c>
      <c r="J690" s="256" t="s">
        <v>15</v>
      </c>
      <c r="K690" s="256" t="s">
        <v>250</v>
      </c>
      <c r="L690" s="256" t="s">
        <v>283</v>
      </c>
      <c r="M690" s="256" t="s">
        <v>283</v>
      </c>
      <c r="N690" s="256" t="s">
        <v>283</v>
      </c>
      <c r="O690" s="257" t="s">
        <v>18</v>
      </c>
      <c r="P690" s="257" t="s">
        <v>18</v>
      </c>
      <c r="Q690" s="257" t="s">
        <v>15</v>
      </c>
      <c r="R690" s="257" t="s">
        <v>15</v>
      </c>
      <c r="S690" s="257" t="s">
        <v>16</v>
      </c>
      <c r="T690" s="257" t="s">
        <v>330</v>
      </c>
      <c r="U690" s="257" t="s">
        <v>250</v>
      </c>
      <c r="V690" s="257" t="s">
        <v>283</v>
      </c>
      <c r="W690" s="258" t="s">
        <v>283</v>
      </c>
      <c r="X690" s="258" t="s">
        <v>283</v>
      </c>
      <c r="Y690" s="259" t="s">
        <v>283</v>
      </c>
    </row>
    <row r="691" spans="1:25">
      <c r="A691" s="253">
        <v>13</v>
      </c>
      <c r="B691" s="254" t="str">
        <f>VLOOKUP(Tabel10[[#This Row],[Code]],Ruimtegroepen[[Code]:[Ruimte omschrijving]],2,FALSE)</f>
        <v>Personeelskamer</v>
      </c>
      <c r="C691" s="255" t="s">
        <v>858</v>
      </c>
      <c r="D691" s="254" t="s">
        <v>12</v>
      </c>
      <c r="E691" s="255" t="s">
        <v>102</v>
      </c>
      <c r="F691" s="255" t="s">
        <v>862</v>
      </c>
      <c r="G691" s="260" t="s">
        <v>283</v>
      </c>
      <c r="H691" s="256" t="s">
        <v>283</v>
      </c>
      <c r="I691" s="256" t="s">
        <v>17</v>
      </c>
      <c r="J691" s="256" t="s">
        <v>15</v>
      </c>
      <c r="K691" s="256" t="s">
        <v>250</v>
      </c>
      <c r="L691" s="256" t="s">
        <v>283</v>
      </c>
      <c r="M691" s="256" t="s">
        <v>283</v>
      </c>
      <c r="N691" s="256" t="s">
        <v>283</v>
      </c>
      <c r="O691" s="257" t="s">
        <v>18</v>
      </c>
      <c r="P691" s="257" t="s">
        <v>18</v>
      </c>
      <c r="Q691" s="257" t="s">
        <v>15</v>
      </c>
      <c r="R691" s="257" t="s">
        <v>15</v>
      </c>
      <c r="S691" s="257" t="s">
        <v>16</v>
      </c>
      <c r="T691" s="257" t="s">
        <v>330</v>
      </c>
      <c r="U691" s="257" t="s">
        <v>250</v>
      </c>
      <c r="V691" s="257" t="s">
        <v>283</v>
      </c>
      <c r="W691" s="258" t="s">
        <v>283</v>
      </c>
      <c r="X691" s="258" t="s">
        <v>283</v>
      </c>
      <c r="Y691" s="259" t="s">
        <v>283</v>
      </c>
    </row>
    <row r="692" spans="1:25">
      <c r="A692" s="253">
        <v>13</v>
      </c>
      <c r="B692" s="254" t="str">
        <f>VLOOKUP(Tabel10[[#This Row],[Code]],Ruimtegroepen[[Code]:[Ruimte omschrijving]],2,FALSE)</f>
        <v>Personeelskamer</v>
      </c>
      <c r="C692" s="255" t="s">
        <v>858</v>
      </c>
      <c r="D692" s="254" t="s">
        <v>12</v>
      </c>
      <c r="E692" s="255" t="s">
        <v>99</v>
      </c>
      <c r="F692" s="255" t="s">
        <v>860</v>
      </c>
      <c r="G692" s="256" t="s">
        <v>17</v>
      </c>
      <c r="H692" s="256" t="s">
        <v>15</v>
      </c>
      <c r="I692" s="256" t="s">
        <v>283</v>
      </c>
      <c r="J692" s="256" t="s">
        <v>283</v>
      </c>
      <c r="K692" s="256" t="s">
        <v>283</v>
      </c>
      <c r="L692" s="256" t="s">
        <v>283</v>
      </c>
      <c r="M692" s="256" t="s">
        <v>283</v>
      </c>
      <c r="N692" s="256" t="s">
        <v>283</v>
      </c>
      <c r="O692" s="257" t="s">
        <v>18</v>
      </c>
      <c r="P692" s="257" t="s">
        <v>18</v>
      </c>
      <c r="Q692" s="257" t="s">
        <v>15</v>
      </c>
      <c r="R692" s="257" t="s">
        <v>15</v>
      </c>
      <c r="S692" s="257" t="s">
        <v>16</v>
      </c>
      <c r="T692" s="257" t="s">
        <v>330</v>
      </c>
      <c r="U692" s="257" t="s">
        <v>250</v>
      </c>
      <c r="V692" s="257" t="s">
        <v>283</v>
      </c>
      <c r="W692" s="258" t="s">
        <v>283</v>
      </c>
      <c r="X692" s="258" t="s">
        <v>283</v>
      </c>
      <c r="Y692" s="259" t="s">
        <v>283</v>
      </c>
    </row>
    <row r="693" spans="1:25">
      <c r="A693" s="253">
        <v>13</v>
      </c>
      <c r="B693" s="254" t="str">
        <f>VLOOKUP(Tabel10[[#This Row],[Code]],Ruimtegroepen[[Code]:[Ruimte omschrijving]],2,FALSE)</f>
        <v>Personeelskamer</v>
      </c>
      <c r="C693" s="255" t="s">
        <v>858</v>
      </c>
      <c r="D693" s="254" t="s">
        <v>12</v>
      </c>
      <c r="E693" s="255" t="s">
        <v>1312</v>
      </c>
      <c r="F693" s="255" t="s">
        <v>1438</v>
      </c>
      <c r="G693" s="260" t="s">
        <v>283</v>
      </c>
      <c r="H693" s="256" t="s">
        <v>283</v>
      </c>
      <c r="I693" s="256" t="s">
        <v>17</v>
      </c>
      <c r="J693" s="256" t="s">
        <v>15</v>
      </c>
      <c r="K693" s="256" t="s">
        <v>250</v>
      </c>
      <c r="L693" s="256" t="s">
        <v>283</v>
      </c>
      <c r="M693" s="256" t="s">
        <v>283</v>
      </c>
      <c r="N693" s="256" t="s">
        <v>283</v>
      </c>
      <c r="O693" s="257" t="s">
        <v>18</v>
      </c>
      <c r="P693" s="257" t="s">
        <v>18</v>
      </c>
      <c r="Q693" s="257" t="s">
        <v>15</v>
      </c>
      <c r="R693" s="257" t="s">
        <v>15</v>
      </c>
      <c r="S693" s="257" t="s">
        <v>16</v>
      </c>
      <c r="T693" s="257" t="s">
        <v>330</v>
      </c>
      <c r="U693" s="257" t="s">
        <v>250</v>
      </c>
      <c r="V693" s="257" t="s">
        <v>283</v>
      </c>
      <c r="W693" s="258" t="s">
        <v>283</v>
      </c>
      <c r="X693" s="258" t="s">
        <v>283</v>
      </c>
      <c r="Y693" s="259" t="s">
        <v>283</v>
      </c>
    </row>
    <row r="694" spans="1:25">
      <c r="A694" s="253">
        <v>13</v>
      </c>
      <c r="B694" s="254" t="str">
        <f>VLOOKUP(Tabel10[[#This Row],[Code]],Ruimtegroepen[[Code]:[Ruimte omschrijving]],2,FALSE)</f>
        <v>Personeelskamer</v>
      </c>
      <c r="C694" s="255" t="s">
        <v>863</v>
      </c>
      <c r="D694" s="254" t="s">
        <v>14</v>
      </c>
      <c r="E694" s="255" t="s">
        <v>100</v>
      </c>
      <c r="F694" s="255" t="s">
        <v>864</v>
      </c>
      <c r="G694" s="260" t="s">
        <v>283</v>
      </c>
      <c r="H694" s="256" t="s">
        <v>283</v>
      </c>
      <c r="I694" s="256" t="s">
        <v>15</v>
      </c>
      <c r="J694" s="256" t="s">
        <v>15</v>
      </c>
      <c r="K694" s="256" t="s">
        <v>283</v>
      </c>
      <c r="L694" s="256" t="s">
        <v>283</v>
      </c>
      <c r="M694" s="256" t="s">
        <v>283</v>
      </c>
      <c r="N694" s="256" t="s">
        <v>283</v>
      </c>
      <c r="O694" s="257" t="s">
        <v>17</v>
      </c>
      <c r="P694" s="257" t="s">
        <v>17</v>
      </c>
      <c r="Q694" s="257" t="s">
        <v>15</v>
      </c>
      <c r="R694" s="257" t="s">
        <v>15</v>
      </c>
      <c r="S694" s="257" t="s">
        <v>16</v>
      </c>
      <c r="T694" s="257" t="s">
        <v>330</v>
      </c>
      <c r="U694" s="257" t="s">
        <v>250</v>
      </c>
      <c r="V694" s="257" t="s">
        <v>283</v>
      </c>
      <c r="W694" s="258" t="s">
        <v>283</v>
      </c>
      <c r="X694" s="258" t="s">
        <v>283</v>
      </c>
      <c r="Y694" s="259" t="s">
        <v>283</v>
      </c>
    </row>
    <row r="695" spans="1:25">
      <c r="A695" s="253">
        <v>13</v>
      </c>
      <c r="B695" s="254" t="str">
        <f>VLOOKUP(Tabel10[[#This Row],[Code]],Ruimtegroepen[[Code]:[Ruimte omschrijving]],2,FALSE)</f>
        <v>Personeelskamer</v>
      </c>
      <c r="C695" s="255" t="s">
        <v>863</v>
      </c>
      <c r="D695" s="254" t="s">
        <v>14</v>
      </c>
      <c r="E695" s="255" t="s">
        <v>99</v>
      </c>
      <c r="F695" s="255" t="s">
        <v>865</v>
      </c>
      <c r="G695" s="256" t="s">
        <v>15</v>
      </c>
      <c r="H695" s="256" t="s">
        <v>15</v>
      </c>
      <c r="I695" s="256" t="s">
        <v>283</v>
      </c>
      <c r="J695" s="256" t="s">
        <v>283</v>
      </c>
      <c r="K695" s="256" t="s">
        <v>283</v>
      </c>
      <c r="L695" s="256" t="s">
        <v>283</v>
      </c>
      <c r="M695" s="256" t="s">
        <v>283</v>
      </c>
      <c r="N695" s="256" t="s">
        <v>283</v>
      </c>
      <c r="O695" s="257" t="s">
        <v>17</v>
      </c>
      <c r="P695" s="257" t="s">
        <v>17</v>
      </c>
      <c r="Q695" s="257" t="s">
        <v>15</v>
      </c>
      <c r="R695" s="257" t="s">
        <v>15</v>
      </c>
      <c r="S695" s="257" t="s">
        <v>16</v>
      </c>
      <c r="T695" s="257" t="s">
        <v>330</v>
      </c>
      <c r="U695" s="257" t="s">
        <v>250</v>
      </c>
      <c r="V695" s="257" t="s">
        <v>283</v>
      </c>
      <c r="W695" s="258" t="s">
        <v>283</v>
      </c>
      <c r="X695" s="258" t="s">
        <v>283</v>
      </c>
      <c r="Y695" s="259" t="s">
        <v>283</v>
      </c>
    </row>
    <row r="696" spans="1:25">
      <c r="A696" s="253">
        <v>13</v>
      </c>
      <c r="B696" s="254" t="str">
        <f>VLOOKUP(Tabel10[[#This Row],[Code]],Ruimtegroepen[[Code]:[Ruimte omschrijving]],2,FALSE)</f>
        <v>Personeelskamer</v>
      </c>
      <c r="C696" s="255" t="s">
        <v>863</v>
      </c>
      <c r="D696" s="254" t="s">
        <v>14</v>
      </c>
      <c r="E696" s="255" t="s">
        <v>101</v>
      </c>
      <c r="F696" s="255" t="s">
        <v>866</v>
      </c>
      <c r="G696" s="260" t="s">
        <v>283</v>
      </c>
      <c r="H696" s="256" t="s">
        <v>283</v>
      </c>
      <c r="I696" s="256" t="s">
        <v>15</v>
      </c>
      <c r="J696" s="256" t="s">
        <v>15</v>
      </c>
      <c r="K696" s="256" t="s">
        <v>250</v>
      </c>
      <c r="L696" s="256" t="s">
        <v>283</v>
      </c>
      <c r="M696" s="256" t="s">
        <v>283</v>
      </c>
      <c r="N696" s="256" t="s">
        <v>283</v>
      </c>
      <c r="O696" s="257" t="s">
        <v>17</v>
      </c>
      <c r="P696" s="257" t="s">
        <v>17</v>
      </c>
      <c r="Q696" s="257" t="s">
        <v>15</v>
      </c>
      <c r="R696" s="257" t="s">
        <v>15</v>
      </c>
      <c r="S696" s="257" t="s">
        <v>16</v>
      </c>
      <c r="T696" s="257" t="s">
        <v>330</v>
      </c>
      <c r="U696" s="257" t="s">
        <v>250</v>
      </c>
      <c r="V696" s="257" t="s">
        <v>283</v>
      </c>
      <c r="W696" s="258" t="s">
        <v>283</v>
      </c>
      <c r="X696" s="258" t="s">
        <v>283</v>
      </c>
      <c r="Y696" s="259" t="s">
        <v>283</v>
      </c>
    </row>
    <row r="697" spans="1:25">
      <c r="A697" s="253">
        <v>13</v>
      </c>
      <c r="B697" s="254" t="str">
        <f>VLOOKUP(Tabel10[[#This Row],[Code]],Ruimtegroepen[[Code]:[Ruimte omschrijving]],2,FALSE)</f>
        <v>Personeelskamer</v>
      </c>
      <c r="C697" s="255" t="s">
        <v>863</v>
      </c>
      <c r="D697" s="254" t="s">
        <v>14</v>
      </c>
      <c r="E697" s="255" t="s">
        <v>102</v>
      </c>
      <c r="F697" s="255" t="s">
        <v>867</v>
      </c>
      <c r="G697" s="260" t="s">
        <v>283</v>
      </c>
      <c r="H697" s="256" t="s">
        <v>283</v>
      </c>
      <c r="I697" s="256" t="s">
        <v>15</v>
      </c>
      <c r="J697" s="256" t="s">
        <v>15</v>
      </c>
      <c r="K697" s="256" t="s">
        <v>250</v>
      </c>
      <c r="L697" s="256" t="s">
        <v>283</v>
      </c>
      <c r="M697" s="256" t="s">
        <v>283</v>
      </c>
      <c r="N697" s="256" t="s">
        <v>283</v>
      </c>
      <c r="O697" s="257" t="s">
        <v>17</v>
      </c>
      <c r="P697" s="257" t="s">
        <v>17</v>
      </c>
      <c r="Q697" s="257" t="s">
        <v>15</v>
      </c>
      <c r="R697" s="257" t="s">
        <v>15</v>
      </c>
      <c r="S697" s="257" t="s">
        <v>16</v>
      </c>
      <c r="T697" s="257" t="s">
        <v>330</v>
      </c>
      <c r="U697" s="257" t="s">
        <v>250</v>
      </c>
      <c r="V697" s="257" t="s">
        <v>283</v>
      </c>
      <c r="W697" s="258" t="s">
        <v>283</v>
      </c>
      <c r="X697" s="258" t="s">
        <v>283</v>
      </c>
      <c r="Y697" s="259" t="s">
        <v>283</v>
      </c>
    </row>
    <row r="698" spans="1:25">
      <c r="A698" s="253">
        <v>13</v>
      </c>
      <c r="B698" s="254" t="str">
        <f>VLOOKUP(Tabel10[[#This Row],[Code]],Ruimtegroepen[[Code]:[Ruimte omschrijving]],2,FALSE)</f>
        <v>Personeelskamer</v>
      </c>
      <c r="C698" s="255" t="s">
        <v>863</v>
      </c>
      <c r="D698" s="254" t="s">
        <v>14</v>
      </c>
      <c r="E698" s="255" t="s">
        <v>99</v>
      </c>
      <c r="F698" s="255" t="s">
        <v>865</v>
      </c>
      <c r="G698" s="256" t="s">
        <v>15</v>
      </c>
      <c r="H698" s="256" t="s">
        <v>15</v>
      </c>
      <c r="I698" s="256" t="s">
        <v>283</v>
      </c>
      <c r="J698" s="256" t="s">
        <v>283</v>
      </c>
      <c r="K698" s="256" t="s">
        <v>283</v>
      </c>
      <c r="L698" s="256" t="s">
        <v>283</v>
      </c>
      <c r="M698" s="256" t="s">
        <v>283</v>
      </c>
      <c r="N698" s="256" t="s">
        <v>283</v>
      </c>
      <c r="O698" s="257" t="s">
        <v>17</v>
      </c>
      <c r="P698" s="257" t="s">
        <v>17</v>
      </c>
      <c r="Q698" s="257" t="s">
        <v>15</v>
      </c>
      <c r="R698" s="257" t="s">
        <v>15</v>
      </c>
      <c r="S698" s="257" t="s">
        <v>16</v>
      </c>
      <c r="T698" s="257" t="s">
        <v>330</v>
      </c>
      <c r="U698" s="257" t="s">
        <v>250</v>
      </c>
      <c r="V698" s="257" t="s">
        <v>283</v>
      </c>
      <c r="W698" s="258" t="s">
        <v>283</v>
      </c>
      <c r="X698" s="258" t="s">
        <v>283</v>
      </c>
      <c r="Y698" s="259" t="s">
        <v>283</v>
      </c>
    </row>
    <row r="699" spans="1:25">
      <c r="A699" s="253">
        <v>13</v>
      </c>
      <c r="B699" s="254" t="str">
        <f>VLOOKUP(Tabel10[[#This Row],[Code]],Ruimtegroepen[[Code]:[Ruimte omschrijving]],2,FALSE)</f>
        <v>Personeelskamer</v>
      </c>
      <c r="C699" s="255" t="s">
        <v>863</v>
      </c>
      <c r="D699" s="254" t="s">
        <v>14</v>
      </c>
      <c r="E699" s="255" t="s">
        <v>1312</v>
      </c>
      <c r="F699" s="255" t="s">
        <v>1405</v>
      </c>
      <c r="G699" s="260" t="s">
        <v>283</v>
      </c>
      <c r="H699" s="256" t="s">
        <v>283</v>
      </c>
      <c r="I699" s="256" t="s">
        <v>15</v>
      </c>
      <c r="J699" s="256" t="s">
        <v>15</v>
      </c>
      <c r="K699" s="256" t="s">
        <v>250</v>
      </c>
      <c r="L699" s="256" t="s">
        <v>283</v>
      </c>
      <c r="M699" s="256" t="s">
        <v>283</v>
      </c>
      <c r="N699" s="256" t="s">
        <v>283</v>
      </c>
      <c r="O699" s="257" t="s">
        <v>17</v>
      </c>
      <c r="P699" s="257" t="s">
        <v>17</v>
      </c>
      <c r="Q699" s="257" t="s">
        <v>15</v>
      </c>
      <c r="R699" s="257" t="s">
        <v>15</v>
      </c>
      <c r="S699" s="257" t="s">
        <v>16</v>
      </c>
      <c r="T699" s="257" t="s">
        <v>330</v>
      </c>
      <c r="U699" s="257" t="s">
        <v>250</v>
      </c>
      <c r="V699" s="257" t="s">
        <v>283</v>
      </c>
      <c r="W699" s="258" t="s">
        <v>283</v>
      </c>
      <c r="X699" s="258" t="s">
        <v>283</v>
      </c>
      <c r="Y699" s="259" t="s">
        <v>283</v>
      </c>
    </row>
    <row r="700" spans="1:25">
      <c r="A700" s="253">
        <v>13</v>
      </c>
      <c r="B700" s="254" t="str">
        <f>VLOOKUP(Tabel10[[#This Row],[Code]],Ruimtegroepen[[Code]:[Ruimte omschrijving]],2,FALSE)</f>
        <v>Personeelskamer</v>
      </c>
      <c r="C700" s="255" t="s">
        <v>868</v>
      </c>
      <c r="D700" s="254" t="s">
        <v>13</v>
      </c>
      <c r="E700" s="255" t="s">
        <v>100</v>
      </c>
      <c r="F700" s="255" t="s">
        <v>869</v>
      </c>
      <c r="G700" s="260" t="s">
        <v>283</v>
      </c>
      <c r="H700" s="256" t="s">
        <v>283</v>
      </c>
      <c r="I700" s="256" t="s">
        <v>283</v>
      </c>
      <c r="J700" s="256" t="s">
        <v>15</v>
      </c>
      <c r="K700" s="256" t="s">
        <v>283</v>
      </c>
      <c r="L700" s="256" t="s">
        <v>283</v>
      </c>
      <c r="M700" s="256" t="s">
        <v>283</v>
      </c>
      <c r="N700" s="256" t="s">
        <v>283</v>
      </c>
      <c r="O700" s="257" t="s">
        <v>15</v>
      </c>
      <c r="P700" s="257" t="s">
        <v>15</v>
      </c>
      <c r="Q700" s="257" t="s">
        <v>15</v>
      </c>
      <c r="R700" s="257" t="s">
        <v>15</v>
      </c>
      <c r="S700" s="257" t="s">
        <v>16</v>
      </c>
      <c r="T700" s="257" t="s">
        <v>330</v>
      </c>
      <c r="U700" s="257" t="s">
        <v>250</v>
      </c>
      <c r="V700" s="257" t="s">
        <v>283</v>
      </c>
      <c r="W700" s="258" t="s">
        <v>283</v>
      </c>
      <c r="X700" s="258" t="s">
        <v>283</v>
      </c>
      <c r="Y700" s="259" t="s">
        <v>283</v>
      </c>
    </row>
    <row r="701" spans="1:25">
      <c r="A701" s="253">
        <v>13</v>
      </c>
      <c r="B701" s="254" t="str">
        <f>VLOOKUP(Tabel10[[#This Row],[Code]],Ruimtegroepen[[Code]:[Ruimte omschrijving]],2,FALSE)</f>
        <v>Personeelskamer</v>
      </c>
      <c r="C701" s="255" t="s">
        <v>868</v>
      </c>
      <c r="D701" s="254" t="s">
        <v>13</v>
      </c>
      <c r="E701" s="255" t="s">
        <v>99</v>
      </c>
      <c r="F701" s="255" t="s">
        <v>870</v>
      </c>
      <c r="G701" s="260" t="s">
        <v>283</v>
      </c>
      <c r="H701" s="256" t="s">
        <v>15</v>
      </c>
      <c r="I701" s="256" t="s">
        <v>283</v>
      </c>
      <c r="J701" s="256" t="s">
        <v>283</v>
      </c>
      <c r="K701" s="256" t="s">
        <v>283</v>
      </c>
      <c r="L701" s="256" t="s">
        <v>283</v>
      </c>
      <c r="M701" s="256" t="s">
        <v>283</v>
      </c>
      <c r="N701" s="256" t="s">
        <v>283</v>
      </c>
      <c r="O701" s="257" t="s">
        <v>15</v>
      </c>
      <c r="P701" s="257" t="s">
        <v>15</v>
      </c>
      <c r="Q701" s="257" t="s">
        <v>15</v>
      </c>
      <c r="R701" s="257" t="s">
        <v>15</v>
      </c>
      <c r="S701" s="257" t="s">
        <v>16</v>
      </c>
      <c r="T701" s="257" t="s">
        <v>330</v>
      </c>
      <c r="U701" s="257" t="s">
        <v>250</v>
      </c>
      <c r="V701" s="257" t="s">
        <v>283</v>
      </c>
      <c r="W701" s="258" t="s">
        <v>283</v>
      </c>
      <c r="X701" s="258" t="s">
        <v>283</v>
      </c>
      <c r="Y701" s="259" t="s">
        <v>283</v>
      </c>
    </row>
    <row r="702" spans="1:25">
      <c r="A702" s="253">
        <v>13</v>
      </c>
      <c r="B702" s="254" t="str">
        <f>VLOOKUP(Tabel10[[#This Row],[Code]],Ruimtegroepen[[Code]:[Ruimte omschrijving]],2,FALSE)</f>
        <v>Personeelskamer</v>
      </c>
      <c r="C702" s="255" t="s">
        <v>868</v>
      </c>
      <c r="D702" s="254" t="s">
        <v>13</v>
      </c>
      <c r="E702" s="255" t="s">
        <v>101</v>
      </c>
      <c r="F702" s="255" t="s">
        <v>871</v>
      </c>
      <c r="G702" s="260" t="s">
        <v>283</v>
      </c>
      <c r="H702" s="256" t="s">
        <v>283</v>
      </c>
      <c r="I702" s="256" t="s">
        <v>283</v>
      </c>
      <c r="J702" s="256" t="s">
        <v>15</v>
      </c>
      <c r="K702" s="256" t="s">
        <v>250</v>
      </c>
      <c r="L702" s="256" t="s">
        <v>283</v>
      </c>
      <c r="M702" s="256" t="s">
        <v>283</v>
      </c>
      <c r="N702" s="256" t="s">
        <v>283</v>
      </c>
      <c r="O702" s="257" t="s">
        <v>15</v>
      </c>
      <c r="P702" s="257" t="s">
        <v>15</v>
      </c>
      <c r="Q702" s="257" t="s">
        <v>15</v>
      </c>
      <c r="R702" s="257" t="s">
        <v>15</v>
      </c>
      <c r="S702" s="257" t="s">
        <v>16</v>
      </c>
      <c r="T702" s="257" t="s">
        <v>330</v>
      </c>
      <c r="U702" s="257" t="s">
        <v>250</v>
      </c>
      <c r="V702" s="257" t="s">
        <v>283</v>
      </c>
      <c r="W702" s="258" t="s">
        <v>283</v>
      </c>
      <c r="X702" s="258" t="s">
        <v>283</v>
      </c>
      <c r="Y702" s="259" t="s">
        <v>283</v>
      </c>
    </row>
    <row r="703" spans="1:25">
      <c r="A703" s="253">
        <v>13</v>
      </c>
      <c r="B703" s="254" t="str">
        <f>VLOOKUP(Tabel10[[#This Row],[Code]],Ruimtegroepen[[Code]:[Ruimte omschrijving]],2,FALSE)</f>
        <v>Personeelskamer</v>
      </c>
      <c r="C703" s="255" t="s">
        <v>868</v>
      </c>
      <c r="D703" s="254" t="s">
        <v>13</v>
      </c>
      <c r="E703" s="255" t="s">
        <v>102</v>
      </c>
      <c r="F703" s="255" t="s">
        <v>872</v>
      </c>
      <c r="G703" s="260" t="s">
        <v>283</v>
      </c>
      <c r="H703" s="256" t="s">
        <v>283</v>
      </c>
      <c r="I703" s="256" t="s">
        <v>283</v>
      </c>
      <c r="J703" s="256" t="s">
        <v>15</v>
      </c>
      <c r="K703" s="256" t="s">
        <v>250</v>
      </c>
      <c r="L703" s="256" t="s">
        <v>283</v>
      </c>
      <c r="M703" s="256" t="s">
        <v>283</v>
      </c>
      <c r="N703" s="256" t="s">
        <v>283</v>
      </c>
      <c r="O703" s="257" t="s">
        <v>15</v>
      </c>
      <c r="P703" s="257" t="s">
        <v>15</v>
      </c>
      <c r="Q703" s="257" t="s">
        <v>15</v>
      </c>
      <c r="R703" s="257" t="s">
        <v>15</v>
      </c>
      <c r="S703" s="257" t="s">
        <v>16</v>
      </c>
      <c r="T703" s="257" t="s">
        <v>330</v>
      </c>
      <c r="U703" s="257" t="s">
        <v>250</v>
      </c>
      <c r="V703" s="257" t="s">
        <v>283</v>
      </c>
      <c r="W703" s="258" t="s">
        <v>283</v>
      </c>
      <c r="X703" s="258" t="s">
        <v>283</v>
      </c>
      <c r="Y703" s="259" t="s">
        <v>283</v>
      </c>
    </row>
    <row r="704" spans="1:25">
      <c r="A704" s="253">
        <v>13</v>
      </c>
      <c r="B704" s="254" t="str">
        <f>VLOOKUP(Tabel10[[#This Row],[Code]],Ruimtegroepen[[Code]:[Ruimte omschrijving]],2,FALSE)</f>
        <v>Personeelskamer</v>
      </c>
      <c r="C704" s="255" t="s">
        <v>868</v>
      </c>
      <c r="D704" s="254" t="s">
        <v>13</v>
      </c>
      <c r="E704" s="255" t="s">
        <v>99</v>
      </c>
      <c r="F704" s="255" t="s">
        <v>870</v>
      </c>
      <c r="G704" s="260" t="s">
        <v>283</v>
      </c>
      <c r="H704" s="256" t="s">
        <v>15</v>
      </c>
      <c r="I704" s="256" t="s">
        <v>283</v>
      </c>
      <c r="J704" s="256" t="s">
        <v>283</v>
      </c>
      <c r="K704" s="256" t="s">
        <v>283</v>
      </c>
      <c r="L704" s="256" t="s">
        <v>283</v>
      </c>
      <c r="M704" s="256" t="s">
        <v>283</v>
      </c>
      <c r="N704" s="256" t="s">
        <v>283</v>
      </c>
      <c r="O704" s="257" t="s">
        <v>15</v>
      </c>
      <c r="P704" s="257" t="s">
        <v>15</v>
      </c>
      <c r="Q704" s="257" t="s">
        <v>15</v>
      </c>
      <c r="R704" s="257" t="s">
        <v>15</v>
      </c>
      <c r="S704" s="257" t="s">
        <v>16</v>
      </c>
      <c r="T704" s="257" t="s">
        <v>330</v>
      </c>
      <c r="U704" s="257" t="s">
        <v>250</v>
      </c>
      <c r="V704" s="257" t="s">
        <v>283</v>
      </c>
      <c r="W704" s="258" t="s">
        <v>283</v>
      </c>
      <c r="X704" s="258" t="s">
        <v>283</v>
      </c>
      <c r="Y704" s="259" t="s">
        <v>283</v>
      </c>
    </row>
    <row r="705" spans="1:25">
      <c r="A705" s="253">
        <v>13</v>
      </c>
      <c r="B705" s="254" t="str">
        <f>VLOOKUP(Tabel10[[#This Row],[Code]],Ruimtegroepen[[Code]:[Ruimte omschrijving]],2,FALSE)</f>
        <v>Personeelskamer</v>
      </c>
      <c r="C705" s="255" t="s">
        <v>868</v>
      </c>
      <c r="D705" s="254" t="s">
        <v>13</v>
      </c>
      <c r="E705" s="255" t="s">
        <v>1312</v>
      </c>
      <c r="F705" s="255" t="s">
        <v>1372</v>
      </c>
      <c r="G705" s="260" t="s">
        <v>283</v>
      </c>
      <c r="H705" s="256" t="s">
        <v>283</v>
      </c>
      <c r="I705" s="256" t="s">
        <v>283</v>
      </c>
      <c r="J705" s="256" t="s">
        <v>15</v>
      </c>
      <c r="K705" s="256" t="s">
        <v>250</v>
      </c>
      <c r="L705" s="256" t="s">
        <v>283</v>
      </c>
      <c r="M705" s="256" t="s">
        <v>283</v>
      </c>
      <c r="N705" s="256" t="s">
        <v>283</v>
      </c>
      <c r="O705" s="257" t="s">
        <v>15</v>
      </c>
      <c r="P705" s="257" t="s">
        <v>15</v>
      </c>
      <c r="Q705" s="257" t="s">
        <v>15</v>
      </c>
      <c r="R705" s="257" t="s">
        <v>15</v>
      </c>
      <c r="S705" s="257" t="s">
        <v>16</v>
      </c>
      <c r="T705" s="257" t="s">
        <v>330</v>
      </c>
      <c r="U705" s="257" t="s">
        <v>250</v>
      </c>
      <c r="V705" s="257" t="s">
        <v>283</v>
      </c>
      <c r="W705" s="258" t="s">
        <v>283</v>
      </c>
      <c r="X705" s="258" t="s">
        <v>283</v>
      </c>
      <c r="Y705" s="259" t="s">
        <v>283</v>
      </c>
    </row>
    <row r="706" spans="1:25">
      <c r="A706" s="253">
        <v>13</v>
      </c>
      <c r="B706" s="254" t="str">
        <f>VLOOKUP(Tabel10[[#This Row],[Code]],Ruimtegroepen[[Code]:[Ruimte omschrijving]],2,FALSE)</f>
        <v>Personeelskamer</v>
      </c>
      <c r="C706" s="255" t="s">
        <v>873</v>
      </c>
      <c r="D706" s="254" t="s">
        <v>0</v>
      </c>
      <c r="E706" s="255" t="s">
        <v>100</v>
      </c>
      <c r="F706" s="255" t="s">
        <v>874</v>
      </c>
      <c r="G706" s="260" t="s">
        <v>283</v>
      </c>
      <c r="H706" s="256" t="s">
        <v>283</v>
      </c>
      <c r="I706" s="256" t="s">
        <v>16</v>
      </c>
      <c r="J706" s="256" t="s">
        <v>283</v>
      </c>
      <c r="K706" s="256" t="s">
        <v>283</v>
      </c>
      <c r="L706" s="256" t="s">
        <v>283</v>
      </c>
      <c r="M706" s="256" t="s">
        <v>283</v>
      </c>
      <c r="N706" s="256" t="s">
        <v>283</v>
      </c>
      <c r="O706" s="257" t="s">
        <v>16</v>
      </c>
      <c r="P706" s="257" t="s">
        <v>16</v>
      </c>
      <c r="Q706" s="257" t="s">
        <v>16</v>
      </c>
      <c r="R706" s="257" t="s">
        <v>16</v>
      </c>
      <c r="S706" s="257" t="s">
        <v>16</v>
      </c>
      <c r="T706" s="257" t="s">
        <v>330</v>
      </c>
      <c r="U706" s="257" t="s">
        <v>250</v>
      </c>
      <c r="V706" s="257" t="s">
        <v>283</v>
      </c>
      <c r="W706" s="258" t="s">
        <v>283</v>
      </c>
      <c r="X706" s="258" t="s">
        <v>283</v>
      </c>
      <c r="Y706" s="259" t="s">
        <v>283</v>
      </c>
    </row>
    <row r="707" spans="1:25">
      <c r="A707" s="253">
        <v>13</v>
      </c>
      <c r="B707" s="254" t="str">
        <f>VLOOKUP(Tabel10[[#This Row],[Code]],Ruimtegroepen[[Code]:[Ruimte omschrijving]],2,FALSE)</f>
        <v>Personeelskamer</v>
      </c>
      <c r="C707" s="255" t="s">
        <v>873</v>
      </c>
      <c r="D707" s="254" t="s">
        <v>0</v>
      </c>
      <c r="E707" s="255" t="s">
        <v>99</v>
      </c>
      <c r="F707" s="255" t="s">
        <v>875</v>
      </c>
      <c r="G707" s="260" t="s">
        <v>283</v>
      </c>
      <c r="H707" s="256" t="s">
        <v>16</v>
      </c>
      <c r="I707" s="256" t="s">
        <v>283</v>
      </c>
      <c r="J707" s="256" t="s">
        <v>283</v>
      </c>
      <c r="K707" s="256" t="s">
        <v>283</v>
      </c>
      <c r="L707" s="256" t="s">
        <v>283</v>
      </c>
      <c r="M707" s="256" t="s">
        <v>283</v>
      </c>
      <c r="N707" s="256" t="s">
        <v>283</v>
      </c>
      <c r="O707" s="257" t="s">
        <v>16</v>
      </c>
      <c r="P707" s="257" t="s">
        <v>16</v>
      </c>
      <c r="Q707" s="257" t="s">
        <v>16</v>
      </c>
      <c r="R707" s="257" t="s">
        <v>16</v>
      </c>
      <c r="S707" s="257" t="s">
        <v>16</v>
      </c>
      <c r="T707" s="257" t="s">
        <v>330</v>
      </c>
      <c r="U707" s="257" t="s">
        <v>250</v>
      </c>
      <c r="V707" s="257" t="s">
        <v>283</v>
      </c>
      <c r="W707" s="258" t="s">
        <v>283</v>
      </c>
      <c r="X707" s="258" t="s">
        <v>283</v>
      </c>
      <c r="Y707" s="259" t="s">
        <v>283</v>
      </c>
    </row>
    <row r="708" spans="1:25">
      <c r="A708" s="253">
        <v>13</v>
      </c>
      <c r="B708" s="254" t="str">
        <f>VLOOKUP(Tabel10[[#This Row],[Code]],Ruimtegroepen[[Code]:[Ruimte omschrijving]],2,FALSE)</f>
        <v>Personeelskamer</v>
      </c>
      <c r="C708" s="255" t="s">
        <v>873</v>
      </c>
      <c r="D708" s="254" t="s">
        <v>0</v>
      </c>
      <c r="E708" s="255" t="s">
        <v>101</v>
      </c>
      <c r="F708" s="255" t="s">
        <v>876</v>
      </c>
      <c r="G708" s="260" t="s">
        <v>283</v>
      </c>
      <c r="H708" s="256" t="s">
        <v>283</v>
      </c>
      <c r="I708" s="256" t="s">
        <v>283</v>
      </c>
      <c r="J708" s="256" t="s">
        <v>16</v>
      </c>
      <c r="K708" s="256" t="s">
        <v>250</v>
      </c>
      <c r="L708" s="256" t="s">
        <v>283</v>
      </c>
      <c r="M708" s="256" t="s">
        <v>283</v>
      </c>
      <c r="N708" s="256" t="s">
        <v>283</v>
      </c>
      <c r="O708" s="257" t="s">
        <v>16</v>
      </c>
      <c r="P708" s="257" t="s">
        <v>16</v>
      </c>
      <c r="Q708" s="257" t="s">
        <v>16</v>
      </c>
      <c r="R708" s="257" t="s">
        <v>16</v>
      </c>
      <c r="S708" s="257" t="s">
        <v>16</v>
      </c>
      <c r="T708" s="257" t="s">
        <v>330</v>
      </c>
      <c r="U708" s="257" t="s">
        <v>250</v>
      </c>
      <c r="V708" s="257" t="s">
        <v>283</v>
      </c>
      <c r="W708" s="258" t="s">
        <v>283</v>
      </c>
      <c r="X708" s="258" t="s">
        <v>283</v>
      </c>
      <c r="Y708" s="259" t="s">
        <v>283</v>
      </c>
    </row>
    <row r="709" spans="1:25">
      <c r="A709" s="253">
        <v>13</v>
      </c>
      <c r="B709" s="254" t="str">
        <f>VLOOKUP(Tabel10[[#This Row],[Code]],Ruimtegroepen[[Code]:[Ruimte omschrijving]],2,FALSE)</f>
        <v>Personeelskamer</v>
      </c>
      <c r="C709" s="255" t="s">
        <v>873</v>
      </c>
      <c r="D709" s="254" t="s">
        <v>0</v>
      </c>
      <c r="E709" s="255" t="s">
        <v>102</v>
      </c>
      <c r="F709" s="255" t="s">
        <v>877</v>
      </c>
      <c r="G709" s="260" t="s">
        <v>283</v>
      </c>
      <c r="H709" s="256" t="s">
        <v>283</v>
      </c>
      <c r="I709" s="256" t="s">
        <v>16</v>
      </c>
      <c r="J709" s="256" t="s">
        <v>283</v>
      </c>
      <c r="K709" s="256" t="s">
        <v>250</v>
      </c>
      <c r="L709" s="256" t="s">
        <v>283</v>
      </c>
      <c r="M709" s="256" t="s">
        <v>283</v>
      </c>
      <c r="N709" s="256" t="s">
        <v>283</v>
      </c>
      <c r="O709" s="257" t="s">
        <v>16</v>
      </c>
      <c r="P709" s="257" t="s">
        <v>16</v>
      </c>
      <c r="Q709" s="257" t="s">
        <v>16</v>
      </c>
      <c r="R709" s="257" t="s">
        <v>16</v>
      </c>
      <c r="S709" s="257" t="s">
        <v>16</v>
      </c>
      <c r="T709" s="257" t="s">
        <v>330</v>
      </c>
      <c r="U709" s="257" t="s">
        <v>250</v>
      </c>
      <c r="V709" s="257" t="s">
        <v>283</v>
      </c>
      <c r="W709" s="258" t="s">
        <v>283</v>
      </c>
      <c r="X709" s="258" t="s">
        <v>283</v>
      </c>
      <c r="Y709" s="259" t="s">
        <v>283</v>
      </c>
    </row>
    <row r="710" spans="1:25">
      <c r="A710" s="253">
        <v>13</v>
      </c>
      <c r="B710" s="254" t="str">
        <f>VLOOKUP(Tabel10[[#This Row],[Code]],Ruimtegroepen[[Code]:[Ruimte omschrijving]],2,FALSE)</f>
        <v>Personeelskamer</v>
      </c>
      <c r="C710" s="255" t="s">
        <v>873</v>
      </c>
      <c r="D710" s="254" t="s">
        <v>0</v>
      </c>
      <c r="E710" s="255" t="s">
        <v>99</v>
      </c>
      <c r="F710" s="255" t="s">
        <v>875</v>
      </c>
      <c r="G710" s="260" t="s">
        <v>283</v>
      </c>
      <c r="H710" s="256" t="s">
        <v>16</v>
      </c>
      <c r="I710" s="256" t="s">
        <v>283</v>
      </c>
      <c r="J710" s="256" t="s">
        <v>283</v>
      </c>
      <c r="K710" s="256" t="s">
        <v>283</v>
      </c>
      <c r="L710" s="256" t="s">
        <v>283</v>
      </c>
      <c r="M710" s="256" t="s">
        <v>283</v>
      </c>
      <c r="N710" s="256" t="s">
        <v>283</v>
      </c>
      <c r="O710" s="257" t="s">
        <v>16</v>
      </c>
      <c r="P710" s="257" t="s">
        <v>16</v>
      </c>
      <c r="Q710" s="257" t="s">
        <v>16</v>
      </c>
      <c r="R710" s="257" t="s">
        <v>16</v>
      </c>
      <c r="S710" s="257" t="s">
        <v>16</v>
      </c>
      <c r="T710" s="257" t="s">
        <v>330</v>
      </c>
      <c r="U710" s="257" t="s">
        <v>250</v>
      </c>
      <c r="V710" s="257" t="s">
        <v>283</v>
      </c>
      <c r="W710" s="258" t="s">
        <v>283</v>
      </c>
      <c r="X710" s="258" t="s">
        <v>283</v>
      </c>
      <c r="Y710" s="259" t="s">
        <v>283</v>
      </c>
    </row>
    <row r="711" spans="1:25">
      <c r="A711" s="253">
        <v>13</v>
      </c>
      <c r="B711" s="254" t="str">
        <f>VLOOKUP(Tabel10[[#This Row],[Code]],Ruimtegroepen[[Code]:[Ruimte omschrijving]],2,FALSE)</f>
        <v>Personeelskamer</v>
      </c>
      <c r="C711" s="255" t="s">
        <v>873</v>
      </c>
      <c r="D711" s="254" t="s">
        <v>0</v>
      </c>
      <c r="E711" s="255" t="s">
        <v>1312</v>
      </c>
      <c r="F711" s="255" t="s">
        <v>1356</v>
      </c>
      <c r="G711" s="260" t="s">
        <v>283</v>
      </c>
      <c r="H711" s="256" t="s">
        <v>283</v>
      </c>
      <c r="I711" s="256" t="s">
        <v>16</v>
      </c>
      <c r="J711" s="256" t="s">
        <v>283</v>
      </c>
      <c r="K711" s="256" t="s">
        <v>250</v>
      </c>
      <c r="L711" s="256" t="s">
        <v>283</v>
      </c>
      <c r="M711" s="256" t="s">
        <v>283</v>
      </c>
      <c r="N711" s="256" t="s">
        <v>283</v>
      </c>
      <c r="O711" s="257" t="s">
        <v>16</v>
      </c>
      <c r="P711" s="257" t="s">
        <v>16</v>
      </c>
      <c r="Q711" s="257" t="s">
        <v>16</v>
      </c>
      <c r="R711" s="257" t="s">
        <v>16</v>
      </c>
      <c r="S711" s="257" t="s">
        <v>16</v>
      </c>
      <c r="T711" s="257" t="s">
        <v>330</v>
      </c>
      <c r="U711" s="257" t="s">
        <v>250</v>
      </c>
      <c r="V711" s="257" t="s">
        <v>283</v>
      </c>
      <c r="W711" s="258" t="s">
        <v>283</v>
      </c>
      <c r="X711" s="258" t="s">
        <v>283</v>
      </c>
      <c r="Y711" s="259" t="s">
        <v>283</v>
      </c>
    </row>
    <row r="712" spans="1:25">
      <c r="A712" s="253">
        <v>13</v>
      </c>
      <c r="B712" s="254" t="str">
        <f>VLOOKUP(Tabel10[[#This Row],[Code]],Ruimtegroepen[[Code]:[Ruimte omschrijving]],2,FALSE)</f>
        <v>Personeelskamer</v>
      </c>
      <c r="C712" s="255" t="s">
        <v>878</v>
      </c>
      <c r="D712" s="254" t="s">
        <v>27</v>
      </c>
      <c r="E712" s="255" t="s">
        <v>100</v>
      </c>
      <c r="F712" s="255" t="s">
        <v>879</v>
      </c>
      <c r="G712" s="260" t="s">
        <v>283</v>
      </c>
      <c r="H712" s="256" t="s">
        <v>283</v>
      </c>
      <c r="I712" s="256" t="s">
        <v>15</v>
      </c>
      <c r="J712" s="256" t="s">
        <v>283</v>
      </c>
      <c r="K712" s="256" t="s">
        <v>283</v>
      </c>
      <c r="L712" s="256" t="s">
        <v>283</v>
      </c>
      <c r="M712" s="256" t="s">
        <v>283</v>
      </c>
      <c r="N712" s="256" t="s">
        <v>283</v>
      </c>
      <c r="O712" s="257" t="s">
        <v>15</v>
      </c>
      <c r="P712" s="257" t="s">
        <v>15</v>
      </c>
      <c r="Q712" s="257" t="s">
        <v>15</v>
      </c>
      <c r="R712" s="257" t="s">
        <v>283</v>
      </c>
      <c r="S712" s="257" t="s">
        <v>283</v>
      </c>
      <c r="T712" s="257" t="s">
        <v>283</v>
      </c>
      <c r="U712" s="257" t="s">
        <v>283</v>
      </c>
      <c r="V712" s="257" t="s">
        <v>283</v>
      </c>
      <c r="W712" s="258" t="s">
        <v>283</v>
      </c>
      <c r="X712" s="258" t="s">
        <v>283</v>
      </c>
      <c r="Y712" s="259" t="s">
        <v>283</v>
      </c>
    </row>
    <row r="713" spans="1:25">
      <c r="A713" s="253">
        <v>13</v>
      </c>
      <c r="B713" s="254" t="str">
        <f>VLOOKUP(Tabel10[[#This Row],[Code]],Ruimtegroepen[[Code]:[Ruimte omschrijving]],2,FALSE)</f>
        <v>Personeelskamer</v>
      </c>
      <c r="C713" s="255" t="s">
        <v>878</v>
      </c>
      <c r="D713" s="254" t="s">
        <v>27</v>
      </c>
      <c r="E713" s="255" t="s">
        <v>99</v>
      </c>
      <c r="F713" s="255" t="s">
        <v>880</v>
      </c>
      <c r="G713" s="260" t="s">
        <v>283</v>
      </c>
      <c r="H713" s="256" t="s">
        <v>15</v>
      </c>
      <c r="I713" s="256" t="s">
        <v>283</v>
      </c>
      <c r="J713" s="256" t="s">
        <v>283</v>
      </c>
      <c r="K713" s="256" t="s">
        <v>283</v>
      </c>
      <c r="L713" s="256" t="s">
        <v>283</v>
      </c>
      <c r="M713" s="256" t="s">
        <v>283</v>
      </c>
      <c r="N713" s="256" t="s">
        <v>283</v>
      </c>
      <c r="O713" s="257" t="s">
        <v>15</v>
      </c>
      <c r="P713" s="257" t="s">
        <v>15</v>
      </c>
      <c r="Q713" s="257" t="s">
        <v>15</v>
      </c>
      <c r="R713" s="257" t="s">
        <v>283</v>
      </c>
      <c r="S713" s="257" t="s">
        <v>283</v>
      </c>
      <c r="T713" s="257" t="s">
        <v>283</v>
      </c>
      <c r="U713" s="257" t="s">
        <v>283</v>
      </c>
      <c r="V713" s="257" t="s">
        <v>283</v>
      </c>
      <c r="W713" s="258" t="s">
        <v>283</v>
      </c>
      <c r="X713" s="258" t="s">
        <v>283</v>
      </c>
      <c r="Y713" s="259" t="s">
        <v>283</v>
      </c>
    </row>
    <row r="714" spans="1:25">
      <c r="A714" s="253">
        <v>13</v>
      </c>
      <c r="B714" s="254" t="str">
        <f>VLOOKUP(Tabel10[[#This Row],[Code]],Ruimtegroepen[[Code]:[Ruimte omschrijving]],2,FALSE)</f>
        <v>Personeelskamer</v>
      </c>
      <c r="C714" s="255" t="s">
        <v>878</v>
      </c>
      <c r="D714" s="254" t="s">
        <v>27</v>
      </c>
      <c r="E714" s="255" t="s">
        <v>101</v>
      </c>
      <c r="F714" s="255" t="s">
        <v>881</v>
      </c>
      <c r="G714" s="260" t="s">
        <v>283</v>
      </c>
      <c r="H714" s="256" t="s">
        <v>283</v>
      </c>
      <c r="I714" s="256" t="s">
        <v>15</v>
      </c>
      <c r="J714" s="256" t="s">
        <v>283</v>
      </c>
      <c r="K714" s="256" t="s">
        <v>283</v>
      </c>
      <c r="L714" s="256" t="s">
        <v>283</v>
      </c>
      <c r="M714" s="256" t="s">
        <v>283</v>
      </c>
      <c r="N714" s="256" t="s">
        <v>283</v>
      </c>
      <c r="O714" s="257" t="s">
        <v>15</v>
      </c>
      <c r="P714" s="257" t="s">
        <v>15</v>
      </c>
      <c r="Q714" s="257" t="s">
        <v>15</v>
      </c>
      <c r="R714" s="257" t="s">
        <v>283</v>
      </c>
      <c r="S714" s="257" t="s">
        <v>283</v>
      </c>
      <c r="T714" s="257" t="s">
        <v>283</v>
      </c>
      <c r="U714" s="257" t="s">
        <v>283</v>
      </c>
      <c r="V714" s="257" t="s">
        <v>283</v>
      </c>
      <c r="W714" s="258" t="s">
        <v>283</v>
      </c>
      <c r="X714" s="258" t="s">
        <v>283</v>
      </c>
      <c r="Y714" s="259" t="s">
        <v>283</v>
      </c>
    </row>
    <row r="715" spans="1:25">
      <c r="A715" s="253">
        <v>13</v>
      </c>
      <c r="B715" s="254" t="str">
        <f>VLOOKUP(Tabel10[[#This Row],[Code]],Ruimtegroepen[[Code]:[Ruimte omschrijving]],2,FALSE)</f>
        <v>Personeelskamer</v>
      </c>
      <c r="C715" s="255" t="s">
        <v>878</v>
      </c>
      <c r="D715" s="254" t="s">
        <v>27</v>
      </c>
      <c r="E715" s="255" t="s">
        <v>102</v>
      </c>
      <c r="F715" s="255" t="s">
        <v>882</v>
      </c>
      <c r="G715" s="260" t="s">
        <v>283</v>
      </c>
      <c r="H715" s="256" t="s">
        <v>283</v>
      </c>
      <c r="I715" s="256" t="s">
        <v>15</v>
      </c>
      <c r="J715" s="256" t="s">
        <v>283</v>
      </c>
      <c r="K715" s="256" t="s">
        <v>283</v>
      </c>
      <c r="L715" s="256" t="s">
        <v>283</v>
      </c>
      <c r="M715" s="256" t="s">
        <v>283</v>
      </c>
      <c r="N715" s="256" t="s">
        <v>283</v>
      </c>
      <c r="O715" s="257" t="s">
        <v>15</v>
      </c>
      <c r="P715" s="257" t="s">
        <v>15</v>
      </c>
      <c r="Q715" s="257" t="s">
        <v>15</v>
      </c>
      <c r="R715" s="257" t="s">
        <v>283</v>
      </c>
      <c r="S715" s="257" t="s">
        <v>283</v>
      </c>
      <c r="T715" s="257" t="s">
        <v>283</v>
      </c>
      <c r="U715" s="257" t="s">
        <v>283</v>
      </c>
      <c r="V715" s="257" t="s">
        <v>283</v>
      </c>
      <c r="W715" s="258" t="s">
        <v>283</v>
      </c>
      <c r="X715" s="258" t="s">
        <v>283</v>
      </c>
      <c r="Y715" s="259" t="s">
        <v>283</v>
      </c>
    </row>
    <row r="716" spans="1:25">
      <c r="A716" s="253">
        <v>13</v>
      </c>
      <c r="B716" s="254" t="str">
        <f>VLOOKUP(Tabel10[[#This Row],[Code]],Ruimtegroepen[[Code]:[Ruimte omschrijving]],2,FALSE)</f>
        <v>Personeelskamer</v>
      </c>
      <c r="C716" s="255" t="s">
        <v>878</v>
      </c>
      <c r="D716" s="254" t="s">
        <v>27</v>
      </c>
      <c r="E716" s="255" t="s">
        <v>99</v>
      </c>
      <c r="F716" s="255" t="s">
        <v>880</v>
      </c>
      <c r="G716" s="260" t="s">
        <v>283</v>
      </c>
      <c r="H716" s="256" t="s">
        <v>15</v>
      </c>
      <c r="I716" s="256" t="s">
        <v>283</v>
      </c>
      <c r="J716" s="256" t="s">
        <v>283</v>
      </c>
      <c r="K716" s="256" t="s">
        <v>283</v>
      </c>
      <c r="L716" s="256" t="s">
        <v>283</v>
      </c>
      <c r="M716" s="256" t="s">
        <v>283</v>
      </c>
      <c r="N716" s="256" t="s">
        <v>283</v>
      </c>
      <c r="O716" s="257" t="s">
        <v>15</v>
      </c>
      <c r="P716" s="257" t="s">
        <v>15</v>
      </c>
      <c r="Q716" s="257" t="s">
        <v>15</v>
      </c>
      <c r="R716" s="257" t="s">
        <v>283</v>
      </c>
      <c r="S716" s="257" t="s">
        <v>283</v>
      </c>
      <c r="T716" s="257" t="s">
        <v>283</v>
      </c>
      <c r="U716" s="257" t="s">
        <v>283</v>
      </c>
      <c r="V716" s="257" t="s">
        <v>283</v>
      </c>
      <c r="W716" s="258" t="s">
        <v>283</v>
      </c>
      <c r="X716" s="258" t="s">
        <v>283</v>
      </c>
      <c r="Y716" s="259" t="s">
        <v>283</v>
      </c>
    </row>
    <row r="717" spans="1:25">
      <c r="A717" s="253">
        <v>13</v>
      </c>
      <c r="B717" s="254" t="str">
        <f>VLOOKUP(Tabel10[[#This Row],[Code]],Ruimtegroepen[[Code]:[Ruimte omschrijving]],2,FALSE)</f>
        <v>Personeelskamer</v>
      </c>
      <c r="C717" s="255" t="s">
        <v>878</v>
      </c>
      <c r="D717" s="254" t="s">
        <v>27</v>
      </c>
      <c r="E717" s="255" t="s">
        <v>1312</v>
      </c>
      <c r="F717" s="255" t="s">
        <v>1389</v>
      </c>
      <c r="G717" s="260" t="s">
        <v>283</v>
      </c>
      <c r="H717" s="256" t="s">
        <v>283</v>
      </c>
      <c r="I717" s="256" t="s">
        <v>15</v>
      </c>
      <c r="J717" s="256" t="s">
        <v>283</v>
      </c>
      <c r="K717" s="256" t="s">
        <v>283</v>
      </c>
      <c r="L717" s="256" t="s">
        <v>283</v>
      </c>
      <c r="M717" s="256" t="s">
        <v>283</v>
      </c>
      <c r="N717" s="256" t="s">
        <v>283</v>
      </c>
      <c r="O717" s="257" t="s">
        <v>15</v>
      </c>
      <c r="P717" s="257" t="s">
        <v>15</v>
      </c>
      <c r="Q717" s="257" t="s">
        <v>15</v>
      </c>
      <c r="R717" s="257" t="s">
        <v>283</v>
      </c>
      <c r="S717" s="257" t="s">
        <v>283</v>
      </c>
      <c r="T717" s="257" t="s">
        <v>283</v>
      </c>
      <c r="U717" s="257" t="s">
        <v>283</v>
      </c>
      <c r="V717" s="257" t="s">
        <v>283</v>
      </c>
      <c r="W717" s="258" t="s">
        <v>283</v>
      </c>
      <c r="X717" s="258" t="s">
        <v>283</v>
      </c>
      <c r="Y717" s="259" t="s">
        <v>283</v>
      </c>
    </row>
    <row r="718" spans="1:25">
      <c r="A718" s="253">
        <v>13</v>
      </c>
      <c r="B718" s="254" t="str">
        <f>VLOOKUP(Tabel10[[#This Row],[Code]],Ruimtegroepen[[Code]:[Ruimte omschrijving]],2,FALSE)</f>
        <v>Personeelskamer</v>
      </c>
      <c r="C718" s="255" t="s">
        <v>883</v>
      </c>
      <c r="D718" s="254" t="s">
        <v>28</v>
      </c>
      <c r="E718" s="255" t="s">
        <v>100</v>
      </c>
      <c r="F718" s="255" t="s">
        <v>884</v>
      </c>
      <c r="G718" s="260" t="s">
        <v>283</v>
      </c>
      <c r="H718" s="256" t="s">
        <v>283</v>
      </c>
      <c r="I718" s="256" t="s">
        <v>17</v>
      </c>
      <c r="J718" s="256" t="s">
        <v>283</v>
      </c>
      <c r="K718" s="256" t="s">
        <v>283</v>
      </c>
      <c r="L718" s="256" t="s">
        <v>283</v>
      </c>
      <c r="M718" s="256" t="s">
        <v>283</v>
      </c>
      <c r="N718" s="256" t="s">
        <v>283</v>
      </c>
      <c r="O718" s="257" t="s">
        <v>17</v>
      </c>
      <c r="P718" s="257" t="s">
        <v>17</v>
      </c>
      <c r="Q718" s="257" t="s">
        <v>15</v>
      </c>
      <c r="R718" s="257" t="s">
        <v>283</v>
      </c>
      <c r="S718" s="257" t="s">
        <v>283</v>
      </c>
      <c r="T718" s="257" t="s">
        <v>283</v>
      </c>
      <c r="U718" s="257" t="s">
        <v>283</v>
      </c>
      <c r="V718" s="257" t="s">
        <v>283</v>
      </c>
      <c r="W718" s="258" t="s">
        <v>283</v>
      </c>
      <c r="X718" s="258" t="s">
        <v>283</v>
      </c>
      <c r="Y718" s="259" t="s">
        <v>283</v>
      </c>
    </row>
    <row r="719" spans="1:25">
      <c r="A719" s="253">
        <v>13</v>
      </c>
      <c r="B719" s="254" t="str">
        <f>VLOOKUP(Tabel10[[#This Row],[Code]],Ruimtegroepen[[Code]:[Ruimte omschrijving]],2,FALSE)</f>
        <v>Personeelskamer</v>
      </c>
      <c r="C719" s="255" t="s">
        <v>883</v>
      </c>
      <c r="D719" s="254" t="s">
        <v>28</v>
      </c>
      <c r="E719" s="255" t="s">
        <v>99</v>
      </c>
      <c r="F719" s="255" t="s">
        <v>885</v>
      </c>
      <c r="G719" s="260" t="s">
        <v>283</v>
      </c>
      <c r="H719" s="256" t="s">
        <v>17</v>
      </c>
      <c r="I719" s="256" t="s">
        <v>283</v>
      </c>
      <c r="J719" s="256" t="s">
        <v>283</v>
      </c>
      <c r="K719" s="256" t="s">
        <v>283</v>
      </c>
      <c r="L719" s="256" t="s">
        <v>283</v>
      </c>
      <c r="M719" s="256" t="s">
        <v>283</v>
      </c>
      <c r="N719" s="256" t="s">
        <v>283</v>
      </c>
      <c r="O719" s="257" t="s">
        <v>17</v>
      </c>
      <c r="P719" s="257" t="s">
        <v>17</v>
      </c>
      <c r="Q719" s="257" t="s">
        <v>15</v>
      </c>
      <c r="R719" s="257" t="s">
        <v>283</v>
      </c>
      <c r="S719" s="257" t="s">
        <v>283</v>
      </c>
      <c r="T719" s="257" t="s">
        <v>283</v>
      </c>
      <c r="U719" s="257" t="s">
        <v>283</v>
      </c>
      <c r="V719" s="257" t="s">
        <v>283</v>
      </c>
      <c r="W719" s="258" t="s">
        <v>283</v>
      </c>
      <c r="X719" s="258" t="s">
        <v>283</v>
      </c>
      <c r="Y719" s="259" t="s">
        <v>283</v>
      </c>
    </row>
    <row r="720" spans="1:25">
      <c r="A720" s="253">
        <v>13</v>
      </c>
      <c r="B720" s="254" t="str">
        <f>VLOOKUP(Tabel10[[#This Row],[Code]],Ruimtegroepen[[Code]:[Ruimte omschrijving]],2,FALSE)</f>
        <v>Personeelskamer</v>
      </c>
      <c r="C720" s="255" t="s">
        <v>883</v>
      </c>
      <c r="D720" s="254" t="s">
        <v>28</v>
      </c>
      <c r="E720" s="255" t="s">
        <v>101</v>
      </c>
      <c r="F720" s="255" t="s">
        <v>886</v>
      </c>
      <c r="G720" s="260" t="s">
        <v>283</v>
      </c>
      <c r="H720" s="256" t="s">
        <v>283</v>
      </c>
      <c r="I720" s="256" t="s">
        <v>17</v>
      </c>
      <c r="J720" s="256" t="s">
        <v>283</v>
      </c>
      <c r="K720" s="256" t="s">
        <v>283</v>
      </c>
      <c r="L720" s="256" t="s">
        <v>283</v>
      </c>
      <c r="M720" s="256" t="s">
        <v>283</v>
      </c>
      <c r="N720" s="256" t="s">
        <v>283</v>
      </c>
      <c r="O720" s="257" t="s">
        <v>17</v>
      </c>
      <c r="P720" s="257" t="s">
        <v>17</v>
      </c>
      <c r="Q720" s="257" t="s">
        <v>15</v>
      </c>
      <c r="R720" s="257" t="s">
        <v>283</v>
      </c>
      <c r="S720" s="257" t="s">
        <v>283</v>
      </c>
      <c r="T720" s="257" t="s">
        <v>283</v>
      </c>
      <c r="U720" s="257" t="s">
        <v>283</v>
      </c>
      <c r="V720" s="257" t="s">
        <v>283</v>
      </c>
      <c r="W720" s="258" t="s">
        <v>283</v>
      </c>
      <c r="X720" s="258" t="s">
        <v>283</v>
      </c>
      <c r="Y720" s="259" t="s">
        <v>283</v>
      </c>
    </row>
    <row r="721" spans="1:25">
      <c r="A721" s="253">
        <v>13</v>
      </c>
      <c r="B721" s="254" t="str">
        <f>VLOOKUP(Tabel10[[#This Row],[Code]],Ruimtegroepen[[Code]:[Ruimte omschrijving]],2,FALSE)</f>
        <v>Personeelskamer</v>
      </c>
      <c r="C721" s="255" t="s">
        <v>883</v>
      </c>
      <c r="D721" s="254" t="s">
        <v>28</v>
      </c>
      <c r="E721" s="255" t="s">
        <v>102</v>
      </c>
      <c r="F721" s="255" t="s">
        <v>887</v>
      </c>
      <c r="G721" s="260" t="s">
        <v>283</v>
      </c>
      <c r="H721" s="256" t="s">
        <v>283</v>
      </c>
      <c r="I721" s="256" t="s">
        <v>17</v>
      </c>
      <c r="J721" s="256" t="s">
        <v>283</v>
      </c>
      <c r="K721" s="256" t="s">
        <v>283</v>
      </c>
      <c r="L721" s="256" t="s">
        <v>283</v>
      </c>
      <c r="M721" s="256" t="s">
        <v>283</v>
      </c>
      <c r="N721" s="256" t="s">
        <v>283</v>
      </c>
      <c r="O721" s="257" t="s">
        <v>17</v>
      </c>
      <c r="P721" s="257" t="s">
        <v>17</v>
      </c>
      <c r="Q721" s="257" t="s">
        <v>15</v>
      </c>
      <c r="R721" s="257" t="s">
        <v>283</v>
      </c>
      <c r="S721" s="257" t="s">
        <v>283</v>
      </c>
      <c r="T721" s="257" t="s">
        <v>283</v>
      </c>
      <c r="U721" s="257" t="s">
        <v>283</v>
      </c>
      <c r="V721" s="257" t="s">
        <v>283</v>
      </c>
      <c r="W721" s="258" t="s">
        <v>283</v>
      </c>
      <c r="X721" s="258" t="s">
        <v>283</v>
      </c>
      <c r="Y721" s="259" t="s">
        <v>283</v>
      </c>
    </row>
    <row r="722" spans="1:25">
      <c r="A722" s="253">
        <v>13</v>
      </c>
      <c r="B722" s="254" t="str">
        <f>VLOOKUP(Tabel10[[#This Row],[Code]],Ruimtegroepen[[Code]:[Ruimte omschrijving]],2,FALSE)</f>
        <v>Personeelskamer</v>
      </c>
      <c r="C722" s="255" t="s">
        <v>883</v>
      </c>
      <c r="D722" s="254" t="s">
        <v>28</v>
      </c>
      <c r="E722" s="255" t="s">
        <v>99</v>
      </c>
      <c r="F722" s="255" t="s">
        <v>885</v>
      </c>
      <c r="G722" s="260" t="s">
        <v>283</v>
      </c>
      <c r="H722" s="256" t="s">
        <v>17</v>
      </c>
      <c r="I722" s="256" t="s">
        <v>283</v>
      </c>
      <c r="J722" s="256" t="s">
        <v>283</v>
      </c>
      <c r="K722" s="256" t="s">
        <v>283</v>
      </c>
      <c r="L722" s="256" t="s">
        <v>283</v>
      </c>
      <c r="M722" s="256" t="s">
        <v>283</v>
      </c>
      <c r="N722" s="256" t="s">
        <v>283</v>
      </c>
      <c r="O722" s="257" t="s">
        <v>17</v>
      </c>
      <c r="P722" s="257" t="s">
        <v>17</v>
      </c>
      <c r="Q722" s="257" t="s">
        <v>15</v>
      </c>
      <c r="R722" s="257" t="s">
        <v>283</v>
      </c>
      <c r="S722" s="257" t="s">
        <v>283</v>
      </c>
      <c r="T722" s="257" t="s">
        <v>283</v>
      </c>
      <c r="U722" s="257" t="s">
        <v>283</v>
      </c>
      <c r="V722" s="257" t="s">
        <v>283</v>
      </c>
      <c r="W722" s="258" t="s">
        <v>283</v>
      </c>
      <c r="X722" s="258" t="s">
        <v>283</v>
      </c>
      <c r="Y722" s="259" t="s">
        <v>283</v>
      </c>
    </row>
    <row r="723" spans="1:25">
      <c r="A723" s="253">
        <v>13</v>
      </c>
      <c r="B723" s="254" t="str">
        <f>VLOOKUP(Tabel10[[#This Row],[Code]],Ruimtegroepen[[Code]:[Ruimte omschrijving]],2,FALSE)</f>
        <v>Personeelskamer</v>
      </c>
      <c r="C723" s="255" t="s">
        <v>883</v>
      </c>
      <c r="D723" s="254" t="s">
        <v>28</v>
      </c>
      <c r="E723" s="255" t="s">
        <v>1312</v>
      </c>
      <c r="F723" s="255" t="s">
        <v>1422</v>
      </c>
      <c r="G723" s="260" t="s">
        <v>283</v>
      </c>
      <c r="H723" s="256" t="s">
        <v>283</v>
      </c>
      <c r="I723" s="256" t="s">
        <v>17</v>
      </c>
      <c r="J723" s="256" t="s">
        <v>283</v>
      </c>
      <c r="K723" s="256" t="s">
        <v>283</v>
      </c>
      <c r="L723" s="256" t="s">
        <v>283</v>
      </c>
      <c r="M723" s="256" t="s">
        <v>283</v>
      </c>
      <c r="N723" s="256" t="s">
        <v>283</v>
      </c>
      <c r="O723" s="257" t="s">
        <v>17</v>
      </c>
      <c r="P723" s="257" t="s">
        <v>17</v>
      </c>
      <c r="Q723" s="257" t="s">
        <v>15</v>
      </c>
      <c r="R723" s="257" t="s">
        <v>283</v>
      </c>
      <c r="S723" s="257" t="s">
        <v>283</v>
      </c>
      <c r="T723" s="257" t="s">
        <v>283</v>
      </c>
      <c r="U723" s="257" t="s">
        <v>283</v>
      </c>
      <c r="V723" s="257" t="s">
        <v>283</v>
      </c>
      <c r="W723" s="258" t="s">
        <v>283</v>
      </c>
      <c r="X723" s="258" t="s">
        <v>283</v>
      </c>
      <c r="Y723" s="259" t="s">
        <v>283</v>
      </c>
    </row>
    <row r="724" spans="1:25">
      <c r="A724" s="253">
        <v>14</v>
      </c>
      <c r="B724" s="254" t="str">
        <f>VLOOKUP(Tabel10[[#This Row],[Code]],Ruimtegroepen[[Code]:[Ruimte omschrijving]],2,FALSE)</f>
        <v>Praktijklokalen</v>
      </c>
      <c r="C724" s="255" t="s">
        <v>888</v>
      </c>
      <c r="D724" s="254" t="s">
        <v>29</v>
      </c>
      <c r="E724" s="255" t="s">
        <v>100</v>
      </c>
      <c r="F724" s="255" t="s">
        <v>889</v>
      </c>
      <c r="G724" s="260" t="s">
        <v>283</v>
      </c>
      <c r="H724" s="256" t="s">
        <v>283</v>
      </c>
      <c r="I724" s="256" t="s">
        <v>20</v>
      </c>
      <c r="J724" s="256" t="s">
        <v>15</v>
      </c>
      <c r="K724" s="256" t="s">
        <v>283</v>
      </c>
      <c r="L724" s="256" t="s">
        <v>283</v>
      </c>
      <c r="M724" s="256" t="s">
        <v>283</v>
      </c>
      <c r="N724" s="256" t="s">
        <v>2</v>
      </c>
      <c r="O724" s="257" t="s">
        <v>2</v>
      </c>
      <c r="P724" s="257" t="s">
        <v>2</v>
      </c>
      <c r="Q724" s="257" t="s">
        <v>15</v>
      </c>
      <c r="R724" s="257" t="s">
        <v>15</v>
      </c>
      <c r="S724" s="257" t="s">
        <v>16</v>
      </c>
      <c r="T724" s="257" t="s">
        <v>330</v>
      </c>
      <c r="U724" s="257" t="s">
        <v>250</v>
      </c>
      <c r="V724" s="257" t="s">
        <v>2</v>
      </c>
      <c r="W724" s="258" t="s">
        <v>283</v>
      </c>
      <c r="X724" s="258" t="s">
        <v>283</v>
      </c>
      <c r="Y724" s="259" t="s">
        <v>283</v>
      </c>
    </row>
    <row r="725" spans="1:25">
      <c r="A725" s="253">
        <v>14</v>
      </c>
      <c r="B725" s="254" t="str">
        <f>VLOOKUP(Tabel10[[#This Row],[Code]],Ruimtegroepen[[Code]:[Ruimte omschrijving]],2,FALSE)</f>
        <v>Praktijklokalen</v>
      </c>
      <c r="C725" s="255" t="s">
        <v>888</v>
      </c>
      <c r="D725" s="254" t="s">
        <v>29</v>
      </c>
      <c r="E725" s="255" t="s">
        <v>99</v>
      </c>
      <c r="F725" s="255" t="s">
        <v>890</v>
      </c>
      <c r="G725" s="256" t="s">
        <v>18</v>
      </c>
      <c r="H725" s="256" t="s">
        <v>17</v>
      </c>
      <c r="I725" s="256" t="s">
        <v>283</v>
      </c>
      <c r="J725" s="256" t="s">
        <v>283</v>
      </c>
      <c r="K725" s="256" t="s">
        <v>283</v>
      </c>
      <c r="L725" s="256" t="s">
        <v>283</v>
      </c>
      <c r="M725" s="256" t="s">
        <v>283</v>
      </c>
      <c r="N725" s="256" t="s">
        <v>2</v>
      </c>
      <c r="O725" s="257" t="s">
        <v>2</v>
      </c>
      <c r="P725" s="257" t="s">
        <v>2</v>
      </c>
      <c r="Q725" s="257" t="s">
        <v>15</v>
      </c>
      <c r="R725" s="257" t="s">
        <v>15</v>
      </c>
      <c r="S725" s="257" t="s">
        <v>16</v>
      </c>
      <c r="T725" s="257" t="s">
        <v>330</v>
      </c>
      <c r="U725" s="257" t="s">
        <v>250</v>
      </c>
      <c r="V725" s="257" t="s">
        <v>2</v>
      </c>
      <c r="W725" s="258" t="s">
        <v>283</v>
      </c>
      <c r="X725" s="258" t="s">
        <v>283</v>
      </c>
      <c r="Y725" s="259" t="s">
        <v>283</v>
      </c>
    </row>
    <row r="726" spans="1:25">
      <c r="A726" s="253">
        <v>14</v>
      </c>
      <c r="B726" s="254" t="str">
        <f>VLOOKUP(Tabel10[[#This Row],[Code]],Ruimtegroepen[[Code]:[Ruimte omschrijving]],2,FALSE)</f>
        <v>Praktijklokalen</v>
      </c>
      <c r="C726" s="255" t="s">
        <v>888</v>
      </c>
      <c r="D726" s="254" t="s">
        <v>29</v>
      </c>
      <c r="E726" s="255" t="s">
        <v>101</v>
      </c>
      <c r="F726" s="255" t="s">
        <v>891</v>
      </c>
      <c r="G726" s="260" t="s">
        <v>283</v>
      </c>
      <c r="H726" s="256" t="s">
        <v>283</v>
      </c>
      <c r="I726" s="256" t="s">
        <v>20</v>
      </c>
      <c r="J726" s="256" t="s">
        <v>15</v>
      </c>
      <c r="K726" s="256" t="s">
        <v>16</v>
      </c>
      <c r="L726" s="256" t="s">
        <v>283</v>
      </c>
      <c r="M726" s="256" t="s">
        <v>283</v>
      </c>
      <c r="N726" s="256" t="s">
        <v>2</v>
      </c>
      <c r="O726" s="257" t="s">
        <v>2</v>
      </c>
      <c r="P726" s="257" t="s">
        <v>2</v>
      </c>
      <c r="Q726" s="257" t="s">
        <v>15</v>
      </c>
      <c r="R726" s="257" t="s">
        <v>15</v>
      </c>
      <c r="S726" s="257" t="s">
        <v>16</v>
      </c>
      <c r="T726" s="257" t="s">
        <v>330</v>
      </c>
      <c r="U726" s="257" t="s">
        <v>250</v>
      </c>
      <c r="V726" s="257" t="s">
        <v>2</v>
      </c>
      <c r="W726" s="258" t="s">
        <v>283</v>
      </c>
      <c r="X726" s="258" t="s">
        <v>283</v>
      </c>
      <c r="Y726" s="259" t="s">
        <v>283</v>
      </c>
    </row>
    <row r="727" spans="1:25">
      <c r="A727" s="253">
        <v>14</v>
      </c>
      <c r="B727" s="254" t="str">
        <f>VLOOKUP(Tabel10[[#This Row],[Code]],Ruimtegroepen[[Code]:[Ruimte omschrijving]],2,FALSE)</f>
        <v>Praktijklokalen</v>
      </c>
      <c r="C727" s="255" t="s">
        <v>888</v>
      </c>
      <c r="D727" s="254" t="s">
        <v>29</v>
      </c>
      <c r="E727" s="255" t="s">
        <v>102</v>
      </c>
      <c r="F727" s="255" t="s">
        <v>892</v>
      </c>
      <c r="G727" s="260" t="s">
        <v>283</v>
      </c>
      <c r="H727" s="256" t="s">
        <v>283</v>
      </c>
      <c r="I727" s="256" t="s">
        <v>20</v>
      </c>
      <c r="J727" s="256" t="s">
        <v>15</v>
      </c>
      <c r="K727" s="256" t="s">
        <v>16</v>
      </c>
      <c r="L727" s="256" t="s">
        <v>283</v>
      </c>
      <c r="M727" s="256" t="s">
        <v>283</v>
      </c>
      <c r="N727" s="256" t="s">
        <v>2</v>
      </c>
      <c r="O727" s="257" t="s">
        <v>2</v>
      </c>
      <c r="P727" s="257" t="s">
        <v>2</v>
      </c>
      <c r="Q727" s="257" t="s">
        <v>15</v>
      </c>
      <c r="R727" s="257" t="s">
        <v>15</v>
      </c>
      <c r="S727" s="257" t="s">
        <v>16</v>
      </c>
      <c r="T727" s="257" t="s">
        <v>330</v>
      </c>
      <c r="U727" s="257" t="s">
        <v>250</v>
      </c>
      <c r="V727" s="257" t="s">
        <v>2</v>
      </c>
      <c r="W727" s="258" t="s">
        <v>283</v>
      </c>
      <c r="X727" s="258" t="s">
        <v>283</v>
      </c>
      <c r="Y727" s="259" t="s">
        <v>283</v>
      </c>
    </row>
    <row r="728" spans="1:25">
      <c r="A728" s="253">
        <v>14</v>
      </c>
      <c r="B728" s="254" t="str">
        <f>VLOOKUP(Tabel10[[#This Row],[Code]],Ruimtegroepen[[Code]:[Ruimte omschrijving]],2,FALSE)</f>
        <v>Praktijklokalen</v>
      </c>
      <c r="C728" s="255" t="s">
        <v>888</v>
      </c>
      <c r="D728" s="254" t="s">
        <v>29</v>
      </c>
      <c r="E728" s="255" t="s">
        <v>99</v>
      </c>
      <c r="F728" s="255" t="s">
        <v>890</v>
      </c>
      <c r="G728" s="256" t="s">
        <v>18</v>
      </c>
      <c r="H728" s="256" t="s">
        <v>17</v>
      </c>
      <c r="I728" s="256" t="s">
        <v>283</v>
      </c>
      <c r="J728" s="256" t="s">
        <v>283</v>
      </c>
      <c r="K728" s="256" t="s">
        <v>283</v>
      </c>
      <c r="L728" s="256" t="s">
        <v>283</v>
      </c>
      <c r="M728" s="256" t="s">
        <v>283</v>
      </c>
      <c r="N728" s="256" t="s">
        <v>283</v>
      </c>
      <c r="O728" s="257" t="s">
        <v>283</v>
      </c>
      <c r="P728" s="257" t="s">
        <v>283</v>
      </c>
      <c r="Q728" s="257" t="s">
        <v>283</v>
      </c>
      <c r="R728" s="257" t="s">
        <v>283</v>
      </c>
      <c r="S728" s="257" t="s">
        <v>283</v>
      </c>
      <c r="T728" s="257" t="s">
        <v>283</v>
      </c>
      <c r="U728" s="257" t="s">
        <v>283</v>
      </c>
      <c r="V728" s="257" t="s">
        <v>283</v>
      </c>
      <c r="W728" s="258" t="s">
        <v>283</v>
      </c>
      <c r="X728" s="258" t="s">
        <v>283</v>
      </c>
      <c r="Y728" s="259" t="s">
        <v>283</v>
      </c>
    </row>
    <row r="729" spans="1:25">
      <c r="A729" s="253">
        <v>14</v>
      </c>
      <c r="B729" s="254" t="str">
        <f>VLOOKUP(Tabel10[[#This Row],[Code]],Ruimtegroepen[[Code]:[Ruimte omschrijving]],2,FALSE)</f>
        <v>Praktijklokalen</v>
      </c>
      <c r="C729" s="255" t="s">
        <v>888</v>
      </c>
      <c r="D729" s="254" t="s">
        <v>29</v>
      </c>
      <c r="E729" s="255" t="s">
        <v>1312</v>
      </c>
      <c r="F729" s="255" t="s">
        <v>1490</v>
      </c>
      <c r="G729" s="260" t="s">
        <v>283</v>
      </c>
      <c r="H729" s="256" t="s">
        <v>283</v>
      </c>
      <c r="I729" s="256" t="s">
        <v>20</v>
      </c>
      <c r="J729" s="256" t="s">
        <v>15</v>
      </c>
      <c r="K729" s="256" t="s">
        <v>16</v>
      </c>
      <c r="L729" s="256" t="s">
        <v>283</v>
      </c>
      <c r="M729" s="256" t="s">
        <v>283</v>
      </c>
      <c r="N729" s="256" t="s">
        <v>2</v>
      </c>
      <c r="O729" s="257" t="s">
        <v>2</v>
      </c>
      <c r="P729" s="257" t="s">
        <v>2</v>
      </c>
      <c r="Q729" s="257" t="s">
        <v>15</v>
      </c>
      <c r="R729" s="257" t="s">
        <v>15</v>
      </c>
      <c r="S729" s="257" t="s">
        <v>16</v>
      </c>
      <c r="T729" s="257" t="s">
        <v>330</v>
      </c>
      <c r="U729" s="257" t="s">
        <v>250</v>
      </c>
      <c r="V729" s="257" t="s">
        <v>2</v>
      </c>
      <c r="W729" s="258" t="s">
        <v>283</v>
      </c>
      <c r="X729" s="258" t="s">
        <v>283</v>
      </c>
      <c r="Y729" s="259" t="s">
        <v>283</v>
      </c>
    </row>
    <row r="730" spans="1:25">
      <c r="A730" s="253">
        <v>14</v>
      </c>
      <c r="B730" s="254" t="str">
        <f>VLOOKUP(Tabel10[[#This Row],[Code]],Ruimtegroepen[[Code]:[Ruimte omschrijving]],2,FALSE)</f>
        <v>Praktijklokalen</v>
      </c>
      <c r="C730" s="255" t="s">
        <v>893</v>
      </c>
      <c r="D730" s="254" t="s">
        <v>1</v>
      </c>
      <c r="E730" s="255" t="s">
        <v>100</v>
      </c>
      <c r="F730" s="255" t="s">
        <v>894</v>
      </c>
      <c r="G730" s="260" t="s">
        <v>283</v>
      </c>
      <c r="H730" s="256" t="s">
        <v>283</v>
      </c>
      <c r="I730" s="256" t="s">
        <v>20</v>
      </c>
      <c r="J730" s="256" t="s">
        <v>15</v>
      </c>
      <c r="K730" s="256" t="s">
        <v>283</v>
      </c>
      <c r="L730" s="256" t="s">
        <v>283</v>
      </c>
      <c r="M730" s="256" t="s">
        <v>283</v>
      </c>
      <c r="N730" s="256" t="s">
        <v>283</v>
      </c>
      <c r="O730" s="257" t="s">
        <v>2</v>
      </c>
      <c r="P730" s="257" t="s">
        <v>2</v>
      </c>
      <c r="Q730" s="257" t="s">
        <v>15</v>
      </c>
      <c r="R730" s="257" t="s">
        <v>15</v>
      </c>
      <c r="S730" s="257" t="s">
        <v>16</v>
      </c>
      <c r="T730" s="257" t="s">
        <v>330</v>
      </c>
      <c r="U730" s="257" t="s">
        <v>250</v>
      </c>
      <c r="V730" s="257" t="s">
        <v>283</v>
      </c>
      <c r="W730" s="258" t="s">
        <v>283</v>
      </c>
      <c r="X730" s="258" t="s">
        <v>283</v>
      </c>
      <c r="Y730" s="259" t="s">
        <v>283</v>
      </c>
    </row>
    <row r="731" spans="1:25">
      <c r="A731" s="253">
        <v>14</v>
      </c>
      <c r="B731" s="254" t="str">
        <f>VLOOKUP(Tabel10[[#This Row],[Code]],Ruimtegroepen[[Code]:[Ruimte omschrijving]],2,FALSE)</f>
        <v>Praktijklokalen</v>
      </c>
      <c r="C731" s="255" t="s">
        <v>893</v>
      </c>
      <c r="D731" s="254" t="s">
        <v>1</v>
      </c>
      <c r="E731" s="255" t="s">
        <v>99</v>
      </c>
      <c r="F731" s="255" t="s">
        <v>895</v>
      </c>
      <c r="G731" s="256" t="s">
        <v>18</v>
      </c>
      <c r="H731" s="256" t="s">
        <v>17</v>
      </c>
      <c r="I731" s="256" t="s">
        <v>283</v>
      </c>
      <c r="J731" s="256" t="s">
        <v>283</v>
      </c>
      <c r="K731" s="256" t="s">
        <v>283</v>
      </c>
      <c r="L731" s="256" t="s">
        <v>283</v>
      </c>
      <c r="M731" s="256" t="s">
        <v>283</v>
      </c>
      <c r="N731" s="256" t="s">
        <v>283</v>
      </c>
      <c r="O731" s="257" t="s">
        <v>2</v>
      </c>
      <c r="P731" s="257" t="s">
        <v>2</v>
      </c>
      <c r="Q731" s="257" t="s">
        <v>15</v>
      </c>
      <c r="R731" s="257" t="s">
        <v>15</v>
      </c>
      <c r="S731" s="257" t="s">
        <v>16</v>
      </c>
      <c r="T731" s="257" t="s">
        <v>330</v>
      </c>
      <c r="U731" s="257" t="s">
        <v>250</v>
      </c>
      <c r="V731" s="257" t="s">
        <v>283</v>
      </c>
      <c r="W731" s="258" t="s">
        <v>283</v>
      </c>
      <c r="X731" s="258" t="s">
        <v>283</v>
      </c>
      <c r="Y731" s="259" t="s">
        <v>283</v>
      </c>
    </row>
    <row r="732" spans="1:25">
      <c r="A732" s="253">
        <v>14</v>
      </c>
      <c r="B732" s="254" t="str">
        <f>VLOOKUP(Tabel10[[#This Row],[Code]],Ruimtegroepen[[Code]:[Ruimte omschrijving]],2,FALSE)</f>
        <v>Praktijklokalen</v>
      </c>
      <c r="C732" s="255" t="s">
        <v>893</v>
      </c>
      <c r="D732" s="254" t="s">
        <v>1</v>
      </c>
      <c r="E732" s="255" t="s">
        <v>101</v>
      </c>
      <c r="F732" s="255" t="s">
        <v>896</v>
      </c>
      <c r="G732" s="260" t="s">
        <v>283</v>
      </c>
      <c r="H732" s="256" t="s">
        <v>283</v>
      </c>
      <c r="I732" s="256" t="s">
        <v>20</v>
      </c>
      <c r="J732" s="256" t="s">
        <v>15</v>
      </c>
      <c r="K732" s="256" t="s">
        <v>16</v>
      </c>
      <c r="L732" s="256" t="s">
        <v>283</v>
      </c>
      <c r="M732" s="256" t="s">
        <v>283</v>
      </c>
      <c r="N732" s="256" t="s">
        <v>283</v>
      </c>
      <c r="O732" s="257" t="s">
        <v>2</v>
      </c>
      <c r="P732" s="257" t="s">
        <v>2</v>
      </c>
      <c r="Q732" s="257" t="s">
        <v>15</v>
      </c>
      <c r="R732" s="257" t="s">
        <v>15</v>
      </c>
      <c r="S732" s="257" t="s">
        <v>16</v>
      </c>
      <c r="T732" s="257" t="s">
        <v>330</v>
      </c>
      <c r="U732" s="257" t="s">
        <v>250</v>
      </c>
      <c r="V732" s="257" t="s">
        <v>283</v>
      </c>
      <c r="W732" s="258" t="s">
        <v>283</v>
      </c>
      <c r="X732" s="258" t="s">
        <v>283</v>
      </c>
      <c r="Y732" s="259" t="s">
        <v>283</v>
      </c>
    </row>
    <row r="733" spans="1:25">
      <c r="A733" s="253">
        <v>14</v>
      </c>
      <c r="B733" s="254" t="str">
        <f>VLOOKUP(Tabel10[[#This Row],[Code]],Ruimtegroepen[[Code]:[Ruimte omschrijving]],2,FALSE)</f>
        <v>Praktijklokalen</v>
      </c>
      <c r="C733" s="255" t="s">
        <v>893</v>
      </c>
      <c r="D733" s="254" t="s">
        <v>1</v>
      </c>
      <c r="E733" s="255" t="s">
        <v>102</v>
      </c>
      <c r="F733" s="255" t="s">
        <v>897</v>
      </c>
      <c r="G733" s="260" t="s">
        <v>283</v>
      </c>
      <c r="H733" s="256" t="s">
        <v>283</v>
      </c>
      <c r="I733" s="256" t="s">
        <v>20</v>
      </c>
      <c r="J733" s="256" t="s">
        <v>15</v>
      </c>
      <c r="K733" s="256" t="s">
        <v>16</v>
      </c>
      <c r="L733" s="256" t="s">
        <v>283</v>
      </c>
      <c r="M733" s="256" t="s">
        <v>283</v>
      </c>
      <c r="N733" s="256" t="s">
        <v>283</v>
      </c>
      <c r="O733" s="257" t="s">
        <v>2</v>
      </c>
      <c r="P733" s="257" t="s">
        <v>2</v>
      </c>
      <c r="Q733" s="257" t="s">
        <v>15</v>
      </c>
      <c r="R733" s="257" t="s">
        <v>15</v>
      </c>
      <c r="S733" s="257" t="s">
        <v>16</v>
      </c>
      <c r="T733" s="257" t="s">
        <v>330</v>
      </c>
      <c r="U733" s="257" t="s">
        <v>250</v>
      </c>
      <c r="V733" s="257" t="s">
        <v>283</v>
      </c>
      <c r="W733" s="258" t="s">
        <v>283</v>
      </c>
      <c r="X733" s="258" t="s">
        <v>283</v>
      </c>
      <c r="Y733" s="259" t="s">
        <v>283</v>
      </c>
    </row>
    <row r="734" spans="1:25">
      <c r="A734" s="253">
        <v>14</v>
      </c>
      <c r="B734" s="254" t="str">
        <f>VLOOKUP(Tabel10[[#This Row],[Code]],Ruimtegroepen[[Code]:[Ruimte omschrijving]],2,FALSE)</f>
        <v>Praktijklokalen</v>
      </c>
      <c r="C734" s="255" t="s">
        <v>893</v>
      </c>
      <c r="D734" s="254" t="s">
        <v>1</v>
      </c>
      <c r="E734" s="255" t="s">
        <v>99</v>
      </c>
      <c r="F734" s="255" t="s">
        <v>895</v>
      </c>
      <c r="G734" s="256" t="s">
        <v>18</v>
      </c>
      <c r="H734" s="256" t="s">
        <v>17</v>
      </c>
      <c r="I734" s="256" t="s">
        <v>283</v>
      </c>
      <c r="J734" s="256" t="s">
        <v>283</v>
      </c>
      <c r="K734" s="256" t="s">
        <v>283</v>
      </c>
      <c r="L734" s="256" t="s">
        <v>283</v>
      </c>
      <c r="M734" s="256" t="s">
        <v>283</v>
      </c>
      <c r="N734" s="256" t="s">
        <v>283</v>
      </c>
      <c r="O734" s="257" t="s">
        <v>2</v>
      </c>
      <c r="P734" s="257" t="s">
        <v>2</v>
      </c>
      <c r="Q734" s="257" t="s">
        <v>15</v>
      </c>
      <c r="R734" s="257" t="s">
        <v>15</v>
      </c>
      <c r="S734" s="257" t="s">
        <v>16</v>
      </c>
      <c r="T734" s="257" t="s">
        <v>330</v>
      </c>
      <c r="U734" s="257" t="s">
        <v>250</v>
      </c>
      <c r="V734" s="257" t="s">
        <v>283</v>
      </c>
      <c r="W734" s="258" t="s">
        <v>283</v>
      </c>
      <c r="X734" s="258" t="s">
        <v>283</v>
      </c>
      <c r="Y734" s="259" t="s">
        <v>283</v>
      </c>
    </row>
    <row r="735" spans="1:25">
      <c r="A735" s="253">
        <v>14</v>
      </c>
      <c r="B735" s="254" t="str">
        <f>VLOOKUP(Tabel10[[#This Row],[Code]],Ruimtegroepen[[Code]:[Ruimte omschrijving]],2,FALSE)</f>
        <v>Praktijklokalen</v>
      </c>
      <c r="C735" s="255" t="s">
        <v>893</v>
      </c>
      <c r="D735" s="254" t="s">
        <v>1</v>
      </c>
      <c r="E735" s="255" t="s">
        <v>1312</v>
      </c>
      <c r="F735" s="255" t="s">
        <v>1474</v>
      </c>
      <c r="G735" s="260" t="s">
        <v>283</v>
      </c>
      <c r="H735" s="256" t="s">
        <v>283</v>
      </c>
      <c r="I735" s="256" t="s">
        <v>20</v>
      </c>
      <c r="J735" s="256" t="s">
        <v>15</v>
      </c>
      <c r="K735" s="256" t="s">
        <v>16</v>
      </c>
      <c r="L735" s="256" t="s">
        <v>283</v>
      </c>
      <c r="M735" s="256" t="s">
        <v>283</v>
      </c>
      <c r="N735" s="256" t="s">
        <v>283</v>
      </c>
      <c r="O735" s="257" t="s">
        <v>2</v>
      </c>
      <c r="P735" s="257" t="s">
        <v>2</v>
      </c>
      <c r="Q735" s="257" t="s">
        <v>15</v>
      </c>
      <c r="R735" s="257" t="s">
        <v>15</v>
      </c>
      <c r="S735" s="257" t="s">
        <v>16</v>
      </c>
      <c r="T735" s="257" t="s">
        <v>330</v>
      </c>
      <c r="U735" s="257" t="s">
        <v>250</v>
      </c>
      <c r="V735" s="257" t="s">
        <v>283</v>
      </c>
      <c r="W735" s="258" t="s">
        <v>283</v>
      </c>
      <c r="X735" s="258" t="s">
        <v>283</v>
      </c>
      <c r="Y735" s="259" t="s">
        <v>283</v>
      </c>
    </row>
    <row r="736" spans="1:25">
      <c r="A736" s="253">
        <v>14</v>
      </c>
      <c r="B736" s="254" t="str">
        <f>VLOOKUP(Tabel10[[#This Row],[Code]],Ruimtegroepen[[Code]:[Ruimte omschrijving]],2,FALSE)</f>
        <v>Praktijklokalen</v>
      </c>
      <c r="C736" s="255" t="s">
        <v>898</v>
      </c>
      <c r="D736" s="254" t="s">
        <v>21</v>
      </c>
      <c r="E736" s="255" t="s">
        <v>100</v>
      </c>
      <c r="F736" s="255" t="s">
        <v>899</v>
      </c>
      <c r="G736" s="260" t="s">
        <v>283</v>
      </c>
      <c r="H736" s="256" t="s">
        <v>283</v>
      </c>
      <c r="I736" s="256" t="s">
        <v>18</v>
      </c>
      <c r="J736" s="256" t="s">
        <v>15</v>
      </c>
      <c r="K736" s="256" t="s">
        <v>283</v>
      </c>
      <c r="L736" s="256" t="s">
        <v>283</v>
      </c>
      <c r="M736" s="256" t="s">
        <v>283</v>
      </c>
      <c r="N736" s="256" t="s">
        <v>283</v>
      </c>
      <c r="O736" s="257" t="s">
        <v>20</v>
      </c>
      <c r="P736" s="257" t="s">
        <v>20</v>
      </c>
      <c r="Q736" s="257" t="s">
        <v>15</v>
      </c>
      <c r="R736" s="257" t="s">
        <v>15</v>
      </c>
      <c r="S736" s="257" t="s">
        <v>16</v>
      </c>
      <c r="T736" s="257" t="s">
        <v>330</v>
      </c>
      <c r="U736" s="257" t="s">
        <v>250</v>
      </c>
      <c r="V736" s="257" t="s">
        <v>283</v>
      </c>
      <c r="W736" s="258" t="s">
        <v>283</v>
      </c>
      <c r="X736" s="258" t="s">
        <v>283</v>
      </c>
      <c r="Y736" s="259" t="s">
        <v>283</v>
      </c>
    </row>
    <row r="737" spans="1:25">
      <c r="A737" s="253">
        <v>14</v>
      </c>
      <c r="B737" s="254" t="str">
        <f>VLOOKUP(Tabel10[[#This Row],[Code]],Ruimtegroepen[[Code]:[Ruimte omschrijving]],2,FALSE)</f>
        <v>Praktijklokalen</v>
      </c>
      <c r="C737" s="255" t="s">
        <v>898</v>
      </c>
      <c r="D737" s="254" t="s">
        <v>21</v>
      </c>
      <c r="E737" s="255" t="s">
        <v>99</v>
      </c>
      <c r="F737" s="255" t="s">
        <v>900</v>
      </c>
      <c r="G737" s="256" t="s">
        <v>17</v>
      </c>
      <c r="H737" s="256" t="s">
        <v>17</v>
      </c>
      <c r="I737" s="256" t="s">
        <v>283</v>
      </c>
      <c r="J737" s="256" t="s">
        <v>283</v>
      </c>
      <c r="K737" s="256" t="s">
        <v>283</v>
      </c>
      <c r="L737" s="256" t="s">
        <v>283</v>
      </c>
      <c r="M737" s="256" t="s">
        <v>283</v>
      </c>
      <c r="N737" s="256" t="s">
        <v>283</v>
      </c>
      <c r="O737" s="257" t="s">
        <v>20</v>
      </c>
      <c r="P737" s="257" t="s">
        <v>20</v>
      </c>
      <c r="Q737" s="257" t="s">
        <v>15</v>
      </c>
      <c r="R737" s="257" t="s">
        <v>15</v>
      </c>
      <c r="S737" s="257" t="s">
        <v>16</v>
      </c>
      <c r="T737" s="257" t="s">
        <v>330</v>
      </c>
      <c r="U737" s="257" t="s">
        <v>250</v>
      </c>
      <c r="V737" s="257" t="s">
        <v>283</v>
      </c>
      <c r="W737" s="258" t="s">
        <v>283</v>
      </c>
      <c r="X737" s="258" t="s">
        <v>283</v>
      </c>
      <c r="Y737" s="259" t="s">
        <v>283</v>
      </c>
    </row>
    <row r="738" spans="1:25">
      <c r="A738" s="253">
        <v>14</v>
      </c>
      <c r="B738" s="254" t="str">
        <f>VLOOKUP(Tabel10[[#This Row],[Code]],Ruimtegroepen[[Code]:[Ruimte omschrijving]],2,FALSE)</f>
        <v>Praktijklokalen</v>
      </c>
      <c r="C738" s="255" t="s">
        <v>898</v>
      </c>
      <c r="D738" s="254" t="s">
        <v>21</v>
      </c>
      <c r="E738" s="255" t="s">
        <v>101</v>
      </c>
      <c r="F738" s="255" t="s">
        <v>901</v>
      </c>
      <c r="G738" s="260" t="s">
        <v>283</v>
      </c>
      <c r="H738" s="256" t="s">
        <v>283</v>
      </c>
      <c r="I738" s="256" t="s">
        <v>18</v>
      </c>
      <c r="J738" s="256" t="s">
        <v>15</v>
      </c>
      <c r="K738" s="256" t="s">
        <v>16</v>
      </c>
      <c r="L738" s="256" t="s">
        <v>283</v>
      </c>
      <c r="M738" s="256" t="s">
        <v>283</v>
      </c>
      <c r="N738" s="256" t="s">
        <v>283</v>
      </c>
      <c r="O738" s="257" t="s">
        <v>20</v>
      </c>
      <c r="P738" s="257" t="s">
        <v>20</v>
      </c>
      <c r="Q738" s="257" t="s">
        <v>15</v>
      </c>
      <c r="R738" s="257" t="s">
        <v>15</v>
      </c>
      <c r="S738" s="257" t="s">
        <v>16</v>
      </c>
      <c r="T738" s="257" t="s">
        <v>330</v>
      </c>
      <c r="U738" s="257" t="s">
        <v>250</v>
      </c>
      <c r="V738" s="257" t="s">
        <v>283</v>
      </c>
      <c r="W738" s="258" t="s">
        <v>283</v>
      </c>
      <c r="X738" s="258" t="s">
        <v>283</v>
      </c>
      <c r="Y738" s="259" t="s">
        <v>283</v>
      </c>
    </row>
    <row r="739" spans="1:25">
      <c r="A739" s="253">
        <v>14</v>
      </c>
      <c r="B739" s="254" t="str">
        <f>VLOOKUP(Tabel10[[#This Row],[Code]],Ruimtegroepen[[Code]:[Ruimte omschrijving]],2,FALSE)</f>
        <v>Praktijklokalen</v>
      </c>
      <c r="C739" s="255" t="s">
        <v>898</v>
      </c>
      <c r="D739" s="254" t="s">
        <v>21</v>
      </c>
      <c r="E739" s="255" t="s">
        <v>102</v>
      </c>
      <c r="F739" s="255" t="s">
        <v>902</v>
      </c>
      <c r="G739" s="260" t="s">
        <v>283</v>
      </c>
      <c r="H739" s="256" t="s">
        <v>283</v>
      </c>
      <c r="I739" s="256" t="s">
        <v>18</v>
      </c>
      <c r="J739" s="256" t="s">
        <v>15</v>
      </c>
      <c r="K739" s="256" t="s">
        <v>16</v>
      </c>
      <c r="L739" s="256" t="s">
        <v>283</v>
      </c>
      <c r="M739" s="256" t="s">
        <v>283</v>
      </c>
      <c r="N739" s="256" t="s">
        <v>283</v>
      </c>
      <c r="O739" s="257" t="s">
        <v>20</v>
      </c>
      <c r="P739" s="257" t="s">
        <v>20</v>
      </c>
      <c r="Q739" s="257" t="s">
        <v>15</v>
      </c>
      <c r="R739" s="257" t="s">
        <v>15</v>
      </c>
      <c r="S739" s="257" t="s">
        <v>16</v>
      </c>
      <c r="T739" s="257" t="s">
        <v>330</v>
      </c>
      <c r="U739" s="257" t="s">
        <v>250</v>
      </c>
      <c r="V739" s="257" t="s">
        <v>283</v>
      </c>
      <c r="W739" s="258" t="s">
        <v>283</v>
      </c>
      <c r="X739" s="258" t="s">
        <v>283</v>
      </c>
      <c r="Y739" s="259" t="s">
        <v>283</v>
      </c>
    </row>
    <row r="740" spans="1:25">
      <c r="A740" s="253">
        <v>14</v>
      </c>
      <c r="B740" s="254" t="str">
        <f>VLOOKUP(Tabel10[[#This Row],[Code]],Ruimtegroepen[[Code]:[Ruimte omschrijving]],2,FALSE)</f>
        <v>Praktijklokalen</v>
      </c>
      <c r="C740" s="255" t="s">
        <v>898</v>
      </c>
      <c r="D740" s="254" t="s">
        <v>21</v>
      </c>
      <c r="E740" s="255" t="s">
        <v>99</v>
      </c>
      <c r="F740" s="255" t="s">
        <v>900</v>
      </c>
      <c r="G740" s="256" t="s">
        <v>17</v>
      </c>
      <c r="H740" s="256" t="s">
        <v>17</v>
      </c>
      <c r="I740" s="256" t="s">
        <v>283</v>
      </c>
      <c r="J740" s="256" t="s">
        <v>283</v>
      </c>
      <c r="K740" s="256" t="s">
        <v>283</v>
      </c>
      <c r="L740" s="256" t="s">
        <v>283</v>
      </c>
      <c r="M740" s="256" t="s">
        <v>283</v>
      </c>
      <c r="N740" s="256" t="s">
        <v>283</v>
      </c>
      <c r="O740" s="257" t="s">
        <v>283</v>
      </c>
      <c r="P740" s="257" t="s">
        <v>283</v>
      </c>
      <c r="Q740" s="257" t="s">
        <v>283</v>
      </c>
      <c r="R740" s="257" t="s">
        <v>283</v>
      </c>
      <c r="S740" s="257" t="s">
        <v>283</v>
      </c>
      <c r="T740" s="257" t="s">
        <v>283</v>
      </c>
      <c r="U740" s="257" t="s">
        <v>283</v>
      </c>
      <c r="V740" s="257" t="s">
        <v>283</v>
      </c>
      <c r="W740" s="258" t="s">
        <v>283</v>
      </c>
      <c r="X740" s="258" t="s">
        <v>283</v>
      </c>
      <c r="Y740" s="259" t="s">
        <v>283</v>
      </c>
    </row>
    <row r="741" spans="1:25">
      <c r="A741" s="253">
        <v>14</v>
      </c>
      <c r="B741" s="254" t="str">
        <f>VLOOKUP(Tabel10[[#This Row],[Code]],Ruimtegroepen[[Code]:[Ruimte omschrijving]],2,FALSE)</f>
        <v>Praktijklokalen</v>
      </c>
      <c r="C741" s="255" t="s">
        <v>898</v>
      </c>
      <c r="D741" s="254" t="s">
        <v>21</v>
      </c>
      <c r="E741" s="255" t="s">
        <v>1312</v>
      </c>
      <c r="F741" s="255" t="s">
        <v>1457</v>
      </c>
      <c r="G741" s="260" t="s">
        <v>283</v>
      </c>
      <c r="H741" s="256" t="s">
        <v>283</v>
      </c>
      <c r="I741" s="256" t="s">
        <v>18</v>
      </c>
      <c r="J741" s="256" t="s">
        <v>15</v>
      </c>
      <c r="K741" s="256" t="s">
        <v>16</v>
      </c>
      <c r="L741" s="256" t="s">
        <v>283</v>
      </c>
      <c r="M741" s="256" t="s">
        <v>283</v>
      </c>
      <c r="N741" s="256" t="s">
        <v>283</v>
      </c>
      <c r="O741" s="257" t="s">
        <v>20</v>
      </c>
      <c r="P741" s="257" t="s">
        <v>20</v>
      </c>
      <c r="Q741" s="257" t="s">
        <v>15</v>
      </c>
      <c r="R741" s="257" t="s">
        <v>15</v>
      </c>
      <c r="S741" s="257" t="s">
        <v>16</v>
      </c>
      <c r="T741" s="257" t="s">
        <v>330</v>
      </c>
      <c r="U741" s="257" t="s">
        <v>250</v>
      </c>
      <c r="V741" s="257" t="s">
        <v>283</v>
      </c>
      <c r="W741" s="258" t="s">
        <v>283</v>
      </c>
      <c r="X741" s="258" t="s">
        <v>283</v>
      </c>
      <c r="Y741" s="259" t="s">
        <v>283</v>
      </c>
    </row>
    <row r="742" spans="1:25">
      <c r="A742" s="253">
        <v>14</v>
      </c>
      <c r="B742" s="254" t="str">
        <f>VLOOKUP(Tabel10[[#This Row],[Code]],Ruimtegroepen[[Code]:[Ruimte omschrijving]],2,FALSE)</f>
        <v>Praktijklokalen</v>
      </c>
      <c r="C742" s="255" t="s">
        <v>903</v>
      </c>
      <c r="D742" s="254" t="s">
        <v>12</v>
      </c>
      <c r="E742" s="255" t="s">
        <v>100</v>
      </c>
      <c r="F742" s="255" t="s">
        <v>904</v>
      </c>
      <c r="G742" s="260" t="s">
        <v>283</v>
      </c>
      <c r="H742" s="256" t="s">
        <v>283</v>
      </c>
      <c r="I742" s="256" t="s">
        <v>17</v>
      </c>
      <c r="J742" s="256" t="s">
        <v>15</v>
      </c>
      <c r="K742" s="256" t="s">
        <v>283</v>
      </c>
      <c r="L742" s="256" t="s">
        <v>283</v>
      </c>
      <c r="M742" s="256" t="s">
        <v>283</v>
      </c>
      <c r="N742" s="256" t="s">
        <v>283</v>
      </c>
      <c r="O742" s="257" t="s">
        <v>18</v>
      </c>
      <c r="P742" s="257" t="s">
        <v>18</v>
      </c>
      <c r="Q742" s="257" t="s">
        <v>15</v>
      </c>
      <c r="R742" s="257" t="s">
        <v>15</v>
      </c>
      <c r="S742" s="257" t="s">
        <v>16</v>
      </c>
      <c r="T742" s="257" t="s">
        <v>330</v>
      </c>
      <c r="U742" s="257" t="s">
        <v>250</v>
      </c>
      <c r="V742" s="257" t="s">
        <v>283</v>
      </c>
      <c r="W742" s="258" t="s">
        <v>283</v>
      </c>
      <c r="X742" s="258" t="s">
        <v>283</v>
      </c>
      <c r="Y742" s="259" t="s">
        <v>283</v>
      </c>
    </row>
    <row r="743" spans="1:25">
      <c r="A743" s="253">
        <v>14</v>
      </c>
      <c r="B743" s="254" t="str">
        <f>VLOOKUP(Tabel10[[#This Row],[Code]],Ruimtegroepen[[Code]:[Ruimte omschrijving]],2,FALSE)</f>
        <v>Praktijklokalen</v>
      </c>
      <c r="C743" s="255" t="s">
        <v>903</v>
      </c>
      <c r="D743" s="254" t="s">
        <v>12</v>
      </c>
      <c r="E743" s="255" t="s">
        <v>99</v>
      </c>
      <c r="F743" s="255" t="s">
        <v>905</v>
      </c>
      <c r="G743" s="256" t="s">
        <v>17</v>
      </c>
      <c r="H743" s="256" t="s">
        <v>15</v>
      </c>
      <c r="I743" s="256" t="s">
        <v>283</v>
      </c>
      <c r="J743" s="256" t="s">
        <v>283</v>
      </c>
      <c r="K743" s="256" t="s">
        <v>283</v>
      </c>
      <c r="L743" s="256" t="s">
        <v>283</v>
      </c>
      <c r="M743" s="256" t="s">
        <v>283</v>
      </c>
      <c r="N743" s="256" t="s">
        <v>283</v>
      </c>
      <c r="O743" s="257" t="s">
        <v>18</v>
      </c>
      <c r="P743" s="257" t="s">
        <v>18</v>
      </c>
      <c r="Q743" s="257" t="s">
        <v>15</v>
      </c>
      <c r="R743" s="257" t="s">
        <v>15</v>
      </c>
      <c r="S743" s="257" t="s">
        <v>16</v>
      </c>
      <c r="T743" s="257" t="s">
        <v>330</v>
      </c>
      <c r="U743" s="257" t="s">
        <v>250</v>
      </c>
      <c r="V743" s="257" t="s">
        <v>283</v>
      </c>
      <c r="W743" s="258" t="s">
        <v>283</v>
      </c>
      <c r="X743" s="258" t="s">
        <v>283</v>
      </c>
      <c r="Y743" s="259" t="s">
        <v>283</v>
      </c>
    </row>
    <row r="744" spans="1:25">
      <c r="A744" s="253">
        <v>14</v>
      </c>
      <c r="B744" s="254" t="str">
        <f>VLOOKUP(Tabel10[[#This Row],[Code]],Ruimtegroepen[[Code]:[Ruimte omschrijving]],2,FALSE)</f>
        <v>Praktijklokalen</v>
      </c>
      <c r="C744" s="255" t="s">
        <v>903</v>
      </c>
      <c r="D744" s="254" t="s">
        <v>12</v>
      </c>
      <c r="E744" s="255" t="s">
        <v>101</v>
      </c>
      <c r="F744" s="255" t="s">
        <v>906</v>
      </c>
      <c r="G744" s="260" t="s">
        <v>283</v>
      </c>
      <c r="H744" s="256" t="s">
        <v>283</v>
      </c>
      <c r="I744" s="256" t="s">
        <v>17</v>
      </c>
      <c r="J744" s="256" t="s">
        <v>15</v>
      </c>
      <c r="K744" s="256" t="s">
        <v>16</v>
      </c>
      <c r="L744" s="256" t="s">
        <v>283</v>
      </c>
      <c r="M744" s="256" t="s">
        <v>283</v>
      </c>
      <c r="N744" s="256" t="s">
        <v>283</v>
      </c>
      <c r="O744" s="257" t="s">
        <v>18</v>
      </c>
      <c r="P744" s="257" t="s">
        <v>18</v>
      </c>
      <c r="Q744" s="257" t="s">
        <v>15</v>
      </c>
      <c r="R744" s="257" t="s">
        <v>15</v>
      </c>
      <c r="S744" s="257" t="s">
        <v>16</v>
      </c>
      <c r="T744" s="257" t="s">
        <v>330</v>
      </c>
      <c r="U744" s="257" t="s">
        <v>250</v>
      </c>
      <c r="V744" s="257" t="s">
        <v>283</v>
      </c>
      <c r="W744" s="258" t="s">
        <v>283</v>
      </c>
      <c r="X744" s="258" t="s">
        <v>283</v>
      </c>
      <c r="Y744" s="259" t="s">
        <v>283</v>
      </c>
    </row>
    <row r="745" spans="1:25">
      <c r="A745" s="253">
        <v>14</v>
      </c>
      <c r="B745" s="254" t="str">
        <f>VLOOKUP(Tabel10[[#This Row],[Code]],Ruimtegroepen[[Code]:[Ruimte omschrijving]],2,FALSE)</f>
        <v>Praktijklokalen</v>
      </c>
      <c r="C745" s="255" t="s">
        <v>903</v>
      </c>
      <c r="D745" s="254" t="s">
        <v>12</v>
      </c>
      <c r="E745" s="255" t="s">
        <v>102</v>
      </c>
      <c r="F745" s="255" t="s">
        <v>907</v>
      </c>
      <c r="G745" s="260" t="s">
        <v>283</v>
      </c>
      <c r="H745" s="256" t="s">
        <v>283</v>
      </c>
      <c r="I745" s="256" t="s">
        <v>17</v>
      </c>
      <c r="J745" s="256" t="s">
        <v>15</v>
      </c>
      <c r="K745" s="256" t="s">
        <v>16</v>
      </c>
      <c r="L745" s="256" t="s">
        <v>283</v>
      </c>
      <c r="M745" s="256" t="s">
        <v>283</v>
      </c>
      <c r="N745" s="256" t="s">
        <v>283</v>
      </c>
      <c r="O745" s="257" t="s">
        <v>18</v>
      </c>
      <c r="P745" s="257" t="s">
        <v>18</v>
      </c>
      <c r="Q745" s="257" t="s">
        <v>15</v>
      </c>
      <c r="R745" s="257" t="s">
        <v>15</v>
      </c>
      <c r="S745" s="257" t="s">
        <v>16</v>
      </c>
      <c r="T745" s="257" t="s">
        <v>330</v>
      </c>
      <c r="U745" s="257" t="s">
        <v>250</v>
      </c>
      <c r="V745" s="257" t="s">
        <v>283</v>
      </c>
      <c r="W745" s="258" t="s">
        <v>283</v>
      </c>
      <c r="X745" s="258" t="s">
        <v>283</v>
      </c>
      <c r="Y745" s="259" t="s">
        <v>283</v>
      </c>
    </row>
    <row r="746" spans="1:25">
      <c r="A746" s="253">
        <v>14</v>
      </c>
      <c r="B746" s="254" t="str">
        <f>VLOOKUP(Tabel10[[#This Row],[Code]],Ruimtegroepen[[Code]:[Ruimte omschrijving]],2,FALSE)</f>
        <v>Praktijklokalen</v>
      </c>
      <c r="C746" s="255" t="s">
        <v>903</v>
      </c>
      <c r="D746" s="254" t="s">
        <v>12</v>
      </c>
      <c r="E746" s="255" t="s">
        <v>99</v>
      </c>
      <c r="F746" s="255" t="s">
        <v>905</v>
      </c>
      <c r="G746" s="256" t="s">
        <v>17</v>
      </c>
      <c r="H746" s="256" t="s">
        <v>15</v>
      </c>
      <c r="I746" s="256" t="s">
        <v>283</v>
      </c>
      <c r="J746" s="256" t="s">
        <v>283</v>
      </c>
      <c r="K746" s="256" t="s">
        <v>283</v>
      </c>
      <c r="L746" s="256" t="s">
        <v>283</v>
      </c>
      <c r="M746" s="256" t="s">
        <v>283</v>
      </c>
      <c r="N746" s="256" t="s">
        <v>283</v>
      </c>
      <c r="O746" s="257" t="s">
        <v>283</v>
      </c>
      <c r="P746" s="257" t="s">
        <v>283</v>
      </c>
      <c r="Q746" s="257" t="s">
        <v>283</v>
      </c>
      <c r="R746" s="257" t="s">
        <v>283</v>
      </c>
      <c r="S746" s="257" t="s">
        <v>283</v>
      </c>
      <c r="T746" s="257" t="s">
        <v>283</v>
      </c>
      <c r="U746" s="257" t="s">
        <v>283</v>
      </c>
      <c r="V746" s="257" t="s">
        <v>283</v>
      </c>
      <c r="W746" s="258" t="s">
        <v>283</v>
      </c>
      <c r="X746" s="258" t="s">
        <v>283</v>
      </c>
      <c r="Y746" s="259" t="s">
        <v>283</v>
      </c>
    </row>
    <row r="747" spans="1:25">
      <c r="A747" s="253">
        <v>14</v>
      </c>
      <c r="B747" s="254" t="str">
        <f>VLOOKUP(Tabel10[[#This Row],[Code]],Ruimtegroepen[[Code]:[Ruimte omschrijving]],2,FALSE)</f>
        <v>Praktijklokalen</v>
      </c>
      <c r="C747" s="255" t="s">
        <v>903</v>
      </c>
      <c r="D747" s="254" t="s">
        <v>12</v>
      </c>
      <c r="E747" s="255" t="s">
        <v>1312</v>
      </c>
      <c r="F747" s="255" t="s">
        <v>1439</v>
      </c>
      <c r="G747" s="260" t="s">
        <v>283</v>
      </c>
      <c r="H747" s="256" t="s">
        <v>283</v>
      </c>
      <c r="I747" s="256" t="s">
        <v>17</v>
      </c>
      <c r="J747" s="256" t="s">
        <v>15</v>
      </c>
      <c r="K747" s="256" t="s">
        <v>16</v>
      </c>
      <c r="L747" s="256" t="s">
        <v>283</v>
      </c>
      <c r="M747" s="256" t="s">
        <v>283</v>
      </c>
      <c r="N747" s="256" t="s">
        <v>283</v>
      </c>
      <c r="O747" s="257" t="s">
        <v>18</v>
      </c>
      <c r="P747" s="257" t="s">
        <v>18</v>
      </c>
      <c r="Q747" s="257" t="s">
        <v>15</v>
      </c>
      <c r="R747" s="257" t="s">
        <v>15</v>
      </c>
      <c r="S747" s="257" t="s">
        <v>16</v>
      </c>
      <c r="T747" s="257" t="s">
        <v>330</v>
      </c>
      <c r="U747" s="257" t="s">
        <v>250</v>
      </c>
      <c r="V747" s="257" t="s">
        <v>283</v>
      </c>
      <c r="W747" s="258" t="s">
        <v>283</v>
      </c>
      <c r="X747" s="258" t="s">
        <v>283</v>
      </c>
      <c r="Y747" s="259" t="s">
        <v>283</v>
      </c>
    </row>
    <row r="748" spans="1:25">
      <c r="A748" s="253">
        <v>14</v>
      </c>
      <c r="B748" s="254" t="str">
        <f>VLOOKUP(Tabel10[[#This Row],[Code]],Ruimtegroepen[[Code]:[Ruimte omschrijving]],2,FALSE)</f>
        <v>Praktijklokalen</v>
      </c>
      <c r="C748" s="255" t="s">
        <v>908</v>
      </c>
      <c r="D748" s="254" t="s">
        <v>14</v>
      </c>
      <c r="E748" s="255" t="s">
        <v>100</v>
      </c>
      <c r="F748" s="255" t="s">
        <v>909</v>
      </c>
      <c r="G748" s="260" t="s">
        <v>283</v>
      </c>
      <c r="H748" s="256" t="s">
        <v>283</v>
      </c>
      <c r="I748" s="256" t="s">
        <v>283</v>
      </c>
      <c r="J748" s="256" t="s">
        <v>17</v>
      </c>
      <c r="K748" s="256" t="s">
        <v>283</v>
      </c>
      <c r="L748" s="256" t="s">
        <v>283</v>
      </c>
      <c r="M748" s="256" t="s">
        <v>283</v>
      </c>
      <c r="N748" s="256" t="s">
        <v>283</v>
      </c>
      <c r="O748" s="257" t="s">
        <v>17</v>
      </c>
      <c r="P748" s="257" t="s">
        <v>17</v>
      </c>
      <c r="Q748" s="257" t="s">
        <v>15</v>
      </c>
      <c r="R748" s="257" t="s">
        <v>15</v>
      </c>
      <c r="S748" s="257" t="s">
        <v>16</v>
      </c>
      <c r="T748" s="257" t="s">
        <v>330</v>
      </c>
      <c r="U748" s="257" t="s">
        <v>250</v>
      </c>
      <c r="V748" s="257" t="s">
        <v>283</v>
      </c>
      <c r="W748" s="258" t="s">
        <v>283</v>
      </c>
      <c r="X748" s="258" t="s">
        <v>283</v>
      </c>
      <c r="Y748" s="259" t="s">
        <v>283</v>
      </c>
    </row>
    <row r="749" spans="1:25">
      <c r="A749" s="253">
        <v>14</v>
      </c>
      <c r="B749" s="254" t="str">
        <f>VLOOKUP(Tabel10[[#This Row],[Code]],Ruimtegroepen[[Code]:[Ruimte omschrijving]],2,FALSE)</f>
        <v>Praktijklokalen</v>
      </c>
      <c r="C749" s="255" t="s">
        <v>908</v>
      </c>
      <c r="D749" s="254" t="s">
        <v>14</v>
      </c>
      <c r="E749" s="255" t="s">
        <v>99</v>
      </c>
      <c r="F749" s="255" t="s">
        <v>910</v>
      </c>
      <c r="G749" s="256" t="s">
        <v>15</v>
      </c>
      <c r="H749" s="256" t="s">
        <v>15</v>
      </c>
      <c r="I749" s="256" t="s">
        <v>283</v>
      </c>
      <c r="J749" s="256" t="s">
        <v>283</v>
      </c>
      <c r="K749" s="256" t="s">
        <v>283</v>
      </c>
      <c r="L749" s="256" t="s">
        <v>283</v>
      </c>
      <c r="M749" s="256" t="s">
        <v>283</v>
      </c>
      <c r="N749" s="256" t="s">
        <v>283</v>
      </c>
      <c r="O749" s="257" t="s">
        <v>17</v>
      </c>
      <c r="P749" s="257" t="s">
        <v>17</v>
      </c>
      <c r="Q749" s="257" t="s">
        <v>15</v>
      </c>
      <c r="R749" s="257" t="s">
        <v>15</v>
      </c>
      <c r="S749" s="257" t="s">
        <v>16</v>
      </c>
      <c r="T749" s="257" t="s">
        <v>330</v>
      </c>
      <c r="U749" s="257" t="s">
        <v>250</v>
      </c>
      <c r="V749" s="257" t="s">
        <v>283</v>
      </c>
      <c r="W749" s="258" t="s">
        <v>283</v>
      </c>
      <c r="X749" s="258" t="s">
        <v>283</v>
      </c>
      <c r="Y749" s="259" t="s">
        <v>283</v>
      </c>
    </row>
    <row r="750" spans="1:25">
      <c r="A750" s="253">
        <v>14</v>
      </c>
      <c r="B750" s="254" t="str">
        <f>VLOOKUP(Tabel10[[#This Row],[Code]],Ruimtegroepen[[Code]:[Ruimte omschrijving]],2,FALSE)</f>
        <v>Praktijklokalen</v>
      </c>
      <c r="C750" s="255" t="s">
        <v>908</v>
      </c>
      <c r="D750" s="254" t="s">
        <v>14</v>
      </c>
      <c r="E750" s="255" t="s">
        <v>101</v>
      </c>
      <c r="F750" s="255" t="s">
        <v>911</v>
      </c>
      <c r="G750" s="260" t="s">
        <v>283</v>
      </c>
      <c r="H750" s="256" t="s">
        <v>283</v>
      </c>
      <c r="I750" s="256" t="s">
        <v>283</v>
      </c>
      <c r="J750" s="256" t="s">
        <v>17</v>
      </c>
      <c r="K750" s="256" t="s">
        <v>16</v>
      </c>
      <c r="L750" s="256" t="s">
        <v>283</v>
      </c>
      <c r="M750" s="256" t="s">
        <v>283</v>
      </c>
      <c r="N750" s="256" t="s">
        <v>283</v>
      </c>
      <c r="O750" s="257" t="s">
        <v>17</v>
      </c>
      <c r="P750" s="257" t="s">
        <v>17</v>
      </c>
      <c r="Q750" s="257" t="s">
        <v>15</v>
      </c>
      <c r="R750" s="257" t="s">
        <v>15</v>
      </c>
      <c r="S750" s="257" t="s">
        <v>16</v>
      </c>
      <c r="T750" s="257" t="s">
        <v>330</v>
      </c>
      <c r="U750" s="257" t="s">
        <v>250</v>
      </c>
      <c r="V750" s="257" t="s">
        <v>283</v>
      </c>
      <c r="W750" s="258" t="s">
        <v>283</v>
      </c>
      <c r="X750" s="258" t="s">
        <v>283</v>
      </c>
      <c r="Y750" s="259" t="s">
        <v>283</v>
      </c>
    </row>
    <row r="751" spans="1:25">
      <c r="A751" s="253">
        <v>14</v>
      </c>
      <c r="B751" s="254" t="str">
        <f>VLOOKUP(Tabel10[[#This Row],[Code]],Ruimtegroepen[[Code]:[Ruimte omschrijving]],2,FALSE)</f>
        <v>Praktijklokalen</v>
      </c>
      <c r="C751" s="255" t="s">
        <v>908</v>
      </c>
      <c r="D751" s="254" t="s">
        <v>14</v>
      </c>
      <c r="E751" s="255" t="s">
        <v>102</v>
      </c>
      <c r="F751" s="255" t="s">
        <v>912</v>
      </c>
      <c r="G751" s="260" t="s">
        <v>283</v>
      </c>
      <c r="H751" s="256" t="s">
        <v>283</v>
      </c>
      <c r="I751" s="256" t="s">
        <v>283</v>
      </c>
      <c r="J751" s="256" t="s">
        <v>17</v>
      </c>
      <c r="K751" s="256" t="s">
        <v>16</v>
      </c>
      <c r="L751" s="256" t="s">
        <v>283</v>
      </c>
      <c r="M751" s="256" t="s">
        <v>283</v>
      </c>
      <c r="N751" s="256" t="s">
        <v>283</v>
      </c>
      <c r="O751" s="257" t="s">
        <v>17</v>
      </c>
      <c r="P751" s="257" t="s">
        <v>17</v>
      </c>
      <c r="Q751" s="257" t="s">
        <v>15</v>
      </c>
      <c r="R751" s="257" t="s">
        <v>15</v>
      </c>
      <c r="S751" s="257" t="s">
        <v>16</v>
      </c>
      <c r="T751" s="257" t="s">
        <v>330</v>
      </c>
      <c r="U751" s="257" t="s">
        <v>250</v>
      </c>
      <c r="V751" s="257" t="s">
        <v>283</v>
      </c>
      <c r="W751" s="258" t="s">
        <v>283</v>
      </c>
      <c r="X751" s="258" t="s">
        <v>283</v>
      </c>
      <c r="Y751" s="259" t="s">
        <v>283</v>
      </c>
    </row>
    <row r="752" spans="1:25">
      <c r="A752" s="253">
        <v>14</v>
      </c>
      <c r="B752" s="254" t="str">
        <f>VLOOKUP(Tabel10[[#This Row],[Code]],Ruimtegroepen[[Code]:[Ruimte omschrijving]],2,FALSE)</f>
        <v>Praktijklokalen</v>
      </c>
      <c r="C752" s="255" t="s">
        <v>908</v>
      </c>
      <c r="D752" s="254" t="s">
        <v>14</v>
      </c>
      <c r="E752" s="255" t="s">
        <v>99</v>
      </c>
      <c r="F752" s="255" t="s">
        <v>910</v>
      </c>
      <c r="G752" s="256" t="s">
        <v>15</v>
      </c>
      <c r="H752" s="256" t="s">
        <v>15</v>
      </c>
      <c r="I752" s="256" t="s">
        <v>283</v>
      </c>
      <c r="J752" s="256" t="s">
        <v>283</v>
      </c>
      <c r="K752" s="256" t="s">
        <v>283</v>
      </c>
      <c r="L752" s="256" t="s">
        <v>283</v>
      </c>
      <c r="M752" s="256" t="s">
        <v>283</v>
      </c>
      <c r="N752" s="256" t="s">
        <v>283</v>
      </c>
      <c r="O752" s="257" t="s">
        <v>283</v>
      </c>
      <c r="P752" s="257" t="s">
        <v>283</v>
      </c>
      <c r="Q752" s="257" t="s">
        <v>283</v>
      </c>
      <c r="R752" s="257" t="s">
        <v>283</v>
      </c>
      <c r="S752" s="257" t="s">
        <v>283</v>
      </c>
      <c r="T752" s="257" t="s">
        <v>283</v>
      </c>
      <c r="U752" s="257" t="s">
        <v>283</v>
      </c>
      <c r="V752" s="257" t="s">
        <v>283</v>
      </c>
      <c r="W752" s="258" t="s">
        <v>283</v>
      </c>
      <c r="X752" s="258" t="s">
        <v>283</v>
      </c>
      <c r="Y752" s="259" t="s">
        <v>283</v>
      </c>
    </row>
    <row r="753" spans="1:25">
      <c r="A753" s="253">
        <v>14</v>
      </c>
      <c r="B753" s="254" t="str">
        <f>VLOOKUP(Tabel10[[#This Row],[Code]],Ruimtegroepen[[Code]:[Ruimte omschrijving]],2,FALSE)</f>
        <v>Praktijklokalen</v>
      </c>
      <c r="C753" s="255" t="s">
        <v>908</v>
      </c>
      <c r="D753" s="254" t="s">
        <v>14</v>
      </c>
      <c r="E753" s="255" t="s">
        <v>1312</v>
      </c>
      <c r="F753" s="255" t="s">
        <v>1406</v>
      </c>
      <c r="G753" s="260" t="s">
        <v>283</v>
      </c>
      <c r="H753" s="256" t="s">
        <v>283</v>
      </c>
      <c r="I753" s="256" t="s">
        <v>283</v>
      </c>
      <c r="J753" s="256" t="s">
        <v>17</v>
      </c>
      <c r="K753" s="256" t="s">
        <v>16</v>
      </c>
      <c r="L753" s="256" t="s">
        <v>283</v>
      </c>
      <c r="M753" s="256" t="s">
        <v>283</v>
      </c>
      <c r="N753" s="256" t="s">
        <v>283</v>
      </c>
      <c r="O753" s="257" t="s">
        <v>17</v>
      </c>
      <c r="P753" s="257" t="s">
        <v>17</v>
      </c>
      <c r="Q753" s="257" t="s">
        <v>15</v>
      </c>
      <c r="R753" s="257" t="s">
        <v>15</v>
      </c>
      <c r="S753" s="257" t="s">
        <v>16</v>
      </c>
      <c r="T753" s="257" t="s">
        <v>330</v>
      </c>
      <c r="U753" s="257" t="s">
        <v>250</v>
      </c>
      <c r="V753" s="257" t="s">
        <v>283</v>
      </c>
      <c r="W753" s="258" t="s">
        <v>283</v>
      </c>
      <c r="X753" s="258" t="s">
        <v>283</v>
      </c>
      <c r="Y753" s="259" t="s">
        <v>283</v>
      </c>
    </row>
    <row r="754" spans="1:25">
      <c r="A754" s="253">
        <v>14</v>
      </c>
      <c r="B754" s="254" t="str">
        <f>VLOOKUP(Tabel10[[#This Row],[Code]],Ruimtegroepen[[Code]:[Ruimte omschrijving]],2,FALSE)</f>
        <v>Praktijklokalen</v>
      </c>
      <c r="C754" s="255" t="s">
        <v>913</v>
      </c>
      <c r="D754" s="254" t="s">
        <v>13</v>
      </c>
      <c r="E754" s="255" t="s">
        <v>100</v>
      </c>
      <c r="F754" s="255" t="s">
        <v>914</v>
      </c>
      <c r="G754" s="260" t="s">
        <v>283</v>
      </c>
      <c r="H754" s="256" t="s">
        <v>283</v>
      </c>
      <c r="I754" s="256" t="s">
        <v>283</v>
      </c>
      <c r="J754" s="256" t="s">
        <v>15</v>
      </c>
      <c r="K754" s="256" t="s">
        <v>283</v>
      </c>
      <c r="L754" s="256" t="s">
        <v>283</v>
      </c>
      <c r="M754" s="256" t="s">
        <v>283</v>
      </c>
      <c r="N754" s="256" t="s">
        <v>283</v>
      </c>
      <c r="O754" s="257" t="s">
        <v>15</v>
      </c>
      <c r="P754" s="257" t="s">
        <v>15</v>
      </c>
      <c r="Q754" s="257" t="s">
        <v>15</v>
      </c>
      <c r="R754" s="257" t="s">
        <v>15</v>
      </c>
      <c r="S754" s="257" t="s">
        <v>16</v>
      </c>
      <c r="T754" s="257" t="s">
        <v>330</v>
      </c>
      <c r="U754" s="257" t="s">
        <v>250</v>
      </c>
      <c r="V754" s="257" t="s">
        <v>283</v>
      </c>
      <c r="W754" s="258" t="s">
        <v>283</v>
      </c>
      <c r="X754" s="258" t="s">
        <v>283</v>
      </c>
      <c r="Y754" s="259" t="s">
        <v>283</v>
      </c>
    </row>
    <row r="755" spans="1:25">
      <c r="A755" s="253">
        <v>14</v>
      </c>
      <c r="B755" s="254" t="str">
        <f>VLOOKUP(Tabel10[[#This Row],[Code]],Ruimtegroepen[[Code]:[Ruimte omschrijving]],2,FALSE)</f>
        <v>Praktijklokalen</v>
      </c>
      <c r="C755" s="255" t="s">
        <v>913</v>
      </c>
      <c r="D755" s="254" t="s">
        <v>13</v>
      </c>
      <c r="E755" s="255" t="s">
        <v>99</v>
      </c>
      <c r="F755" s="255" t="s">
        <v>915</v>
      </c>
      <c r="G755" s="260" t="s">
        <v>283</v>
      </c>
      <c r="H755" s="256" t="s">
        <v>15</v>
      </c>
      <c r="I755" s="256" t="s">
        <v>283</v>
      </c>
      <c r="J755" s="256" t="s">
        <v>283</v>
      </c>
      <c r="K755" s="256" t="s">
        <v>283</v>
      </c>
      <c r="L755" s="256" t="s">
        <v>283</v>
      </c>
      <c r="M755" s="256" t="s">
        <v>283</v>
      </c>
      <c r="N755" s="256" t="s">
        <v>283</v>
      </c>
      <c r="O755" s="257" t="s">
        <v>15</v>
      </c>
      <c r="P755" s="257" t="s">
        <v>15</v>
      </c>
      <c r="Q755" s="257" t="s">
        <v>15</v>
      </c>
      <c r="R755" s="257" t="s">
        <v>15</v>
      </c>
      <c r="S755" s="257" t="s">
        <v>16</v>
      </c>
      <c r="T755" s="257" t="s">
        <v>330</v>
      </c>
      <c r="U755" s="257" t="s">
        <v>250</v>
      </c>
      <c r="V755" s="257" t="s">
        <v>283</v>
      </c>
      <c r="W755" s="258" t="s">
        <v>283</v>
      </c>
      <c r="X755" s="258" t="s">
        <v>283</v>
      </c>
      <c r="Y755" s="259" t="s">
        <v>283</v>
      </c>
    </row>
    <row r="756" spans="1:25">
      <c r="A756" s="253">
        <v>14</v>
      </c>
      <c r="B756" s="254" t="str">
        <f>VLOOKUP(Tabel10[[#This Row],[Code]],Ruimtegroepen[[Code]:[Ruimte omschrijving]],2,FALSE)</f>
        <v>Praktijklokalen</v>
      </c>
      <c r="C756" s="255" t="s">
        <v>913</v>
      </c>
      <c r="D756" s="254" t="s">
        <v>13</v>
      </c>
      <c r="E756" s="255" t="s">
        <v>101</v>
      </c>
      <c r="F756" s="255" t="s">
        <v>916</v>
      </c>
      <c r="G756" s="260" t="s">
        <v>283</v>
      </c>
      <c r="H756" s="256" t="s">
        <v>283</v>
      </c>
      <c r="I756" s="256" t="s">
        <v>283</v>
      </c>
      <c r="J756" s="256" t="s">
        <v>15</v>
      </c>
      <c r="K756" s="256" t="s">
        <v>16</v>
      </c>
      <c r="L756" s="256" t="s">
        <v>283</v>
      </c>
      <c r="M756" s="256" t="s">
        <v>283</v>
      </c>
      <c r="N756" s="256" t="s">
        <v>283</v>
      </c>
      <c r="O756" s="257" t="s">
        <v>15</v>
      </c>
      <c r="P756" s="257" t="s">
        <v>15</v>
      </c>
      <c r="Q756" s="257" t="s">
        <v>15</v>
      </c>
      <c r="R756" s="257" t="s">
        <v>15</v>
      </c>
      <c r="S756" s="257" t="s">
        <v>16</v>
      </c>
      <c r="T756" s="257" t="s">
        <v>330</v>
      </c>
      <c r="U756" s="257" t="s">
        <v>250</v>
      </c>
      <c r="V756" s="257" t="s">
        <v>283</v>
      </c>
      <c r="W756" s="258" t="s">
        <v>283</v>
      </c>
      <c r="X756" s="258" t="s">
        <v>283</v>
      </c>
      <c r="Y756" s="259" t="s">
        <v>283</v>
      </c>
    </row>
    <row r="757" spans="1:25">
      <c r="A757" s="253">
        <v>14</v>
      </c>
      <c r="B757" s="254" t="str">
        <f>VLOOKUP(Tabel10[[#This Row],[Code]],Ruimtegroepen[[Code]:[Ruimte omschrijving]],2,FALSE)</f>
        <v>Praktijklokalen</v>
      </c>
      <c r="C757" s="255" t="s">
        <v>913</v>
      </c>
      <c r="D757" s="254" t="s">
        <v>13</v>
      </c>
      <c r="E757" s="255" t="s">
        <v>102</v>
      </c>
      <c r="F757" s="255" t="s">
        <v>917</v>
      </c>
      <c r="G757" s="260" t="s">
        <v>283</v>
      </c>
      <c r="H757" s="256" t="s">
        <v>283</v>
      </c>
      <c r="I757" s="256" t="s">
        <v>283</v>
      </c>
      <c r="J757" s="256" t="s">
        <v>15</v>
      </c>
      <c r="K757" s="256" t="s">
        <v>16</v>
      </c>
      <c r="L757" s="256" t="s">
        <v>283</v>
      </c>
      <c r="M757" s="256" t="s">
        <v>283</v>
      </c>
      <c r="N757" s="256" t="s">
        <v>283</v>
      </c>
      <c r="O757" s="257" t="s">
        <v>15</v>
      </c>
      <c r="P757" s="257" t="s">
        <v>15</v>
      </c>
      <c r="Q757" s="257" t="s">
        <v>15</v>
      </c>
      <c r="R757" s="257" t="s">
        <v>15</v>
      </c>
      <c r="S757" s="257" t="s">
        <v>16</v>
      </c>
      <c r="T757" s="257" t="s">
        <v>330</v>
      </c>
      <c r="U757" s="257" t="s">
        <v>250</v>
      </c>
      <c r="V757" s="257" t="s">
        <v>283</v>
      </c>
      <c r="W757" s="258" t="s">
        <v>283</v>
      </c>
      <c r="X757" s="258" t="s">
        <v>283</v>
      </c>
      <c r="Y757" s="259" t="s">
        <v>283</v>
      </c>
    </row>
    <row r="758" spans="1:25">
      <c r="A758" s="253">
        <v>14</v>
      </c>
      <c r="B758" s="254" t="str">
        <f>VLOOKUP(Tabel10[[#This Row],[Code]],Ruimtegroepen[[Code]:[Ruimte omschrijving]],2,FALSE)</f>
        <v>Praktijklokalen</v>
      </c>
      <c r="C758" s="255" t="s">
        <v>913</v>
      </c>
      <c r="D758" s="254" t="s">
        <v>13</v>
      </c>
      <c r="E758" s="255" t="s">
        <v>99</v>
      </c>
      <c r="F758" s="255" t="s">
        <v>915</v>
      </c>
      <c r="G758" s="260" t="s">
        <v>283</v>
      </c>
      <c r="H758" s="256" t="s">
        <v>15</v>
      </c>
      <c r="I758" s="256" t="s">
        <v>283</v>
      </c>
      <c r="J758" s="256" t="s">
        <v>283</v>
      </c>
      <c r="K758" s="256" t="s">
        <v>283</v>
      </c>
      <c r="L758" s="256" t="s">
        <v>283</v>
      </c>
      <c r="M758" s="256" t="s">
        <v>283</v>
      </c>
      <c r="N758" s="256" t="s">
        <v>283</v>
      </c>
      <c r="O758" s="257" t="s">
        <v>283</v>
      </c>
      <c r="P758" s="257" t="s">
        <v>283</v>
      </c>
      <c r="Q758" s="257" t="s">
        <v>283</v>
      </c>
      <c r="R758" s="257" t="s">
        <v>283</v>
      </c>
      <c r="S758" s="257" t="s">
        <v>283</v>
      </c>
      <c r="T758" s="257" t="s">
        <v>283</v>
      </c>
      <c r="U758" s="257" t="s">
        <v>283</v>
      </c>
      <c r="V758" s="257" t="s">
        <v>283</v>
      </c>
      <c r="W758" s="258" t="s">
        <v>283</v>
      </c>
      <c r="X758" s="258" t="s">
        <v>283</v>
      </c>
      <c r="Y758" s="259" t="s">
        <v>283</v>
      </c>
    </row>
    <row r="759" spans="1:25">
      <c r="A759" s="253">
        <v>14</v>
      </c>
      <c r="B759" s="254" t="str">
        <f>VLOOKUP(Tabel10[[#This Row],[Code]],Ruimtegroepen[[Code]:[Ruimte omschrijving]],2,FALSE)</f>
        <v>Praktijklokalen</v>
      </c>
      <c r="C759" s="255" t="s">
        <v>913</v>
      </c>
      <c r="D759" s="254" t="s">
        <v>13</v>
      </c>
      <c r="E759" s="255" t="s">
        <v>1312</v>
      </c>
      <c r="F759" s="255" t="s">
        <v>1373</v>
      </c>
      <c r="G759" s="260" t="s">
        <v>283</v>
      </c>
      <c r="H759" s="256" t="s">
        <v>283</v>
      </c>
      <c r="I759" s="256" t="s">
        <v>283</v>
      </c>
      <c r="J759" s="256" t="s">
        <v>15</v>
      </c>
      <c r="K759" s="256" t="s">
        <v>16</v>
      </c>
      <c r="L759" s="256" t="s">
        <v>283</v>
      </c>
      <c r="M759" s="256" t="s">
        <v>283</v>
      </c>
      <c r="N759" s="256" t="s">
        <v>283</v>
      </c>
      <c r="O759" s="257" t="s">
        <v>15</v>
      </c>
      <c r="P759" s="257" t="s">
        <v>15</v>
      </c>
      <c r="Q759" s="257" t="s">
        <v>15</v>
      </c>
      <c r="R759" s="257" t="s">
        <v>15</v>
      </c>
      <c r="S759" s="257" t="s">
        <v>16</v>
      </c>
      <c r="T759" s="257" t="s">
        <v>330</v>
      </c>
      <c r="U759" s="257" t="s">
        <v>250</v>
      </c>
      <c r="V759" s="257" t="s">
        <v>283</v>
      </c>
      <c r="W759" s="258" t="s">
        <v>283</v>
      </c>
      <c r="X759" s="258" t="s">
        <v>283</v>
      </c>
      <c r="Y759" s="259" t="s">
        <v>283</v>
      </c>
    </row>
    <row r="760" spans="1:25">
      <c r="A760" s="253">
        <v>14</v>
      </c>
      <c r="B760" s="254" t="str">
        <f>VLOOKUP(Tabel10[[#This Row],[Code]],Ruimtegroepen[[Code]:[Ruimte omschrijving]],2,FALSE)</f>
        <v>Praktijklokalen</v>
      </c>
      <c r="C760" s="255" t="s">
        <v>918</v>
      </c>
      <c r="D760" s="254" t="s">
        <v>0</v>
      </c>
      <c r="E760" s="255" t="s">
        <v>100</v>
      </c>
      <c r="F760" s="255" t="s">
        <v>919</v>
      </c>
      <c r="G760" s="260" t="s">
        <v>283</v>
      </c>
      <c r="H760" s="256" t="s">
        <v>283</v>
      </c>
      <c r="I760" s="256" t="s">
        <v>16</v>
      </c>
      <c r="J760" s="256" t="s">
        <v>283</v>
      </c>
      <c r="K760" s="256" t="s">
        <v>283</v>
      </c>
      <c r="L760" s="256" t="s">
        <v>283</v>
      </c>
      <c r="M760" s="256" t="s">
        <v>283</v>
      </c>
      <c r="N760" s="256" t="s">
        <v>283</v>
      </c>
      <c r="O760" s="257" t="s">
        <v>16</v>
      </c>
      <c r="P760" s="257" t="s">
        <v>16</v>
      </c>
      <c r="Q760" s="257" t="s">
        <v>16</v>
      </c>
      <c r="R760" s="257" t="s">
        <v>16</v>
      </c>
      <c r="S760" s="257" t="s">
        <v>16</v>
      </c>
      <c r="T760" s="257" t="s">
        <v>330</v>
      </c>
      <c r="U760" s="257" t="s">
        <v>250</v>
      </c>
      <c r="V760" s="257" t="s">
        <v>283</v>
      </c>
      <c r="W760" s="258" t="s">
        <v>283</v>
      </c>
      <c r="X760" s="258" t="s">
        <v>283</v>
      </c>
      <c r="Y760" s="259" t="s">
        <v>283</v>
      </c>
    </row>
    <row r="761" spans="1:25">
      <c r="A761" s="253">
        <v>14</v>
      </c>
      <c r="B761" s="254" t="str">
        <f>VLOOKUP(Tabel10[[#This Row],[Code]],Ruimtegroepen[[Code]:[Ruimte omschrijving]],2,FALSE)</f>
        <v>Praktijklokalen</v>
      </c>
      <c r="C761" s="255" t="s">
        <v>918</v>
      </c>
      <c r="D761" s="254" t="s">
        <v>0</v>
      </c>
      <c r="E761" s="255" t="s">
        <v>99</v>
      </c>
      <c r="F761" s="255" t="s">
        <v>920</v>
      </c>
      <c r="G761" s="260" t="s">
        <v>283</v>
      </c>
      <c r="H761" s="256" t="s">
        <v>16</v>
      </c>
      <c r="I761" s="256" t="s">
        <v>283</v>
      </c>
      <c r="J761" s="256" t="s">
        <v>283</v>
      </c>
      <c r="K761" s="256" t="s">
        <v>283</v>
      </c>
      <c r="L761" s="256" t="s">
        <v>283</v>
      </c>
      <c r="M761" s="256" t="s">
        <v>283</v>
      </c>
      <c r="N761" s="256" t="s">
        <v>283</v>
      </c>
      <c r="O761" s="257" t="s">
        <v>16</v>
      </c>
      <c r="P761" s="257" t="s">
        <v>16</v>
      </c>
      <c r="Q761" s="257" t="s">
        <v>16</v>
      </c>
      <c r="R761" s="257" t="s">
        <v>16</v>
      </c>
      <c r="S761" s="257" t="s">
        <v>16</v>
      </c>
      <c r="T761" s="257" t="s">
        <v>330</v>
      </c>
      <c r="U761" s="257" t="s">
        <v>250</v>
      </c>
      <c r="V761" s="257" t="s">
        <v>283</v>
      </c>
      <c r="W761" s="258" t="s">
        <v>283</v>
      </c>
      <c r="X761" s="258" t="s">
        <v>283</v>
      </c>
      <c r="Y761" s="259" t="s">
        <v>283</v>
      </c>
    </row>
    <row r="762" spans="1:25">
      <c r="A762" s="253">
        <v>14</v>
      </c>
      <c r="B762" s="254" t="str">
        <f>VLOOKUP(Tabel10[[#This Row],[Code]],Ruimtegroepen[[Code]:[Ruimte omschrijving]],2,FALSE)</f>
        <v>Praktijklokalen</v>
      </c>
      <c r="C762" s="255" t="s">
        <v>918</v>
      </c>
      <c r="D762" s="254" t="s">
        <v>0</v>
      </c>
      <c r="E762" s="255" t="s">
        <v>101</v>
      </c>
      <c r="F762" s="255" t="s">
        <v>921</v>
      </c>
      <c r="G762" s="260" t="s">
        <v>283</v>
      </c>
      <c r="H762" s="256" t="s">
        <v>283</v>
      </c>
      <c r="I762" s="256" t="s">
        <v>283</v>
      </c>
      <c r="J762" s="256" t="s">
        <v>362</v>
      </c>
      <c r="K762" s="256" t="s">
        <v>16</v>
      </c>
      <c r="L762" s="256" t="s">
        <v>283</v>
      </c>
      <c r="M762" s="256" t="s">
        <v>283</v>
      </c>
      <c r="N762" s="256" t="s">
        <v>283</v>
      </c>
      <c r="O762" s="257" t="s">
        <v>16</v>
      </c>
      <c r="P762" s="257" t="s">
        <v>16</v>
      </c>
      <c r="Q762" s="257" t="s">
        <v>16</v>
      </c>
      <c r="R762" s="257" t="s">
        <v>16</v>
      </c>
      <c r="S762" s="257" t="s">
        <v>16</v>
      </c>
      <c r="T762" s="257" t="s">
        <v>330</v>
      </c>
      <c r="U762" s="257" t="s">
        <v>250</v>
      </c>
      <c r="V762" s="257" t="s">
        <v>283</v>
      </c>
      <c r="W762" s="258" t="s">
        <v>283</v>
      </c>
      <c r="X762" s="258" t="s">
        <v>283</v>
      </c>
      <c r="Y762" s="259" t="s">
        <v>283</v>
      </c>
    </row>
    <row r="763" spans="1:25">
      <c r="A763" s="253">
        <v>14</v>
      </c>
      <c r="B763" s="254" t="str">
        <f>VLOOKUP(Tabel10[[#This Row],[Code]],Ruimtegroepen[[Code]:[Ruimte omschrijving]],2,FALSE)</f>
        <v>Praktijklokalen</v>
      </c>
      <c r="C763" s="255" t="s">
        <v>918</v>
      </c>
      <c r="D763" s="254" t="s">
        <v>0</v>
      </c>
      <c r="E763" s="255" t="s">
        <v>102</v>
      </c>
      <c r="F763" s="255" t="s">
        <v>922</v>
      </c>
      <c r="G763" s="260" t="s">
        <v>283</v>
      </c>
      <c r="H763" s="256" t="s">
        <v>283</v>
      </c>
      <c r="I763" s="256" t="s">
        <v>16</v>
      </c>
      <c r="J763" s="256" t="s">
        <v>283</v>
      </c>
      <c r="K763" s="256" t="s">
        <v>16</v>
      </c>
      <c r="L763" s="256" t="s">
        <v>283</v>
      </c>
      <c r="M763" s="256" t="s">
        <v>283</v>
      </c>
      <c r="N763" s="256" t="s">
        <v>283</v>
      </c>
      <c r="O763" s="257" t="s">
        <v>16</v>
      </c>
      <c r="P763" s="257" t="s">
        <v>16</v>
      </c>
      <c r="Q763" s="257" t="s">
        <v>16</v>
      </c>
      <c r="R763" s="257" t="s">
        <v>16</v>
      </c>
      <c r="S763" s="257" t="s">
        <v>16</v>
      </c>
      <c r="T763" s="257" t="s">
        <v>330</v>
      </c>
      <c r="U763" s="257" t="s">
        <v>250</v>
      </c>
      <c r="V763" s="257" t="s">
        <v>283</v>
      </c>
      <c r="W763" s="258" t="s">
        <v>283</v>
      </c>
      <c r="X763" s="258" t="s">
        <v>283</v>
      </c>
      <c r="Y763" s="259" t="s">
        <v>283</v>
      </c>
    </row>
    <row r="764" spans="1:25">
      <c r="A764" s="253">
        <v>14</v>
      </c>
      <c r="B764" s="254" t="str">
        <f>VLOOKUP(Tabel10[[#This Row],[Code]],Ruimtegroepen[[Code]:[Ruimte omschrijving]],2,FALSE)</f>
        <v>Praktijklokalen</v>
      </c>
      <c r="C764" s="255" t="s">
        <v>918</v>
      </c>
      <c r="D764" s="254" t="s">
        <v>0</v>
      </c>
      <c r="E764" s="255" t="s">
        <v>99</v>
      </c>
      <c r="F764" s="255" t="s">
        <v>920</v>
      </c>
      <c r="G764" s="260" t="s">
        <v>283</v>
      </c>
      <c r="H764" s="256" t="s">
        <v>16</v>
      </c>
      <c r="I764" s="256" t="s">
        <v>283</v>
      </c>
      <c r="J764" s="256" t="s">
        <v>283</v>
      </c>
      <c r="K764" s="256" t="s">
        <v>283</v>
      </c>
      <c r="L764" s="256" t="s">
        <v>283</v>
      </c>
      <c r="M764" s="256" t="s">
        <v>283</v>
      </c>
      <c r="N764" s="256" t="s">
        <v>283</v>
      </c>
      <c r="O764" s="257" t="s">
        <v>283</v>
      </c>
      <c r="P764" s="257" t="s">
        <v>283</v>
      </c>
      <c r="Q764" s="257" t="s">
        <v>283</v>
      </c>
      <c r="R764" s="257" t="s">
        <v>283</v>
      </c>
      <c r="S764" s="257" t="s">
        <v>283</v>
      </c>
      <c r="T764" s="257" t="s">
        <v>283</v>
      </c>
      <c r="U764" s="257" t="s">
        <v>283</v>
      </c>
      <c r="V764" s="257" t="s">
        <v>283</v>
      </c>
      <c r="W764" s="258" t="s">
        <v>283</v>
      </c>
      <c r="X764" s="258" t="s">
        <v>283</v>
      </c>
      <c r="Y764" s="259" t="s">
        <v>283</v>
      </c>
    </row>
    <row r="765" spans="1:25">
      <c r="A765" s="253">
        <v>14</v>
      </c>
      <c r="B765" s="254" t="str">
        <f>VLOOKUP(Tabel10[[#This Row],[Code]],Ruimtegroepen[[Code]:[Ruimte omschrijving]],2,FALSE)</f>
        <v>Praktijklokalen</v>
      </c>
      <c r="C765" s="255" t="s">
        <v>918</v>
      </c>
      <c r="D765" s="254" t="s">
        <v>0</v>
      </c>
      <c r="E765" s="255" t="s">
        <v>1312</v>
      </c>
      <c r="F765" s="255" t="s">
        <v>1357</v>
      </c>
      <c r="G765" s="260" t="s">
        <v>283</v>
      </c>
      <c r="H765" s="256" t="s">
        <v>283</v>
      </c>
      <c r="I765" s="256" t="s">
        <v>16</v>
      </c>
      <c r="J765" s="256" t="s">
        <v>283</v>
      </c>
      <c r="K765" s="256" t="s">
        <v>16</v>
      </c>
      <c r="L765" s="256" t="s">
        <v>283</v>
      </c>
      <c r="M765" s="256" t="s">
        <v>283</v>
      </c>
      <c r="N765" s="256" t="s">
        <v>283</v>
      </c>
      <c r="O765" s="257" t="s">
        <v>16</v>
      </c>
      <c r="P765" s="257" t="s">
        <v>16</v>
      </c>
      <c r="Q765" s="257" t="s">
        <v>16</v>
      </c>
      <c r="R765" s="257" t="s">
        <v>16</v>
      </c>
      <c r="S765" s="257" t="s">
        <v>16</v>
      </c>
      <c r="T765" s="257" t="s">
        <v>330</v>
      </c>
      <c r="U765" s="257" t="s">
        <v>250</v>
      </c>
      <c r="V765" s="257" t="s">
        <v>283</v>
      </c>
      <c r="W765" s="258" t="s">
        <v>283</v>
      </c>
      <c r="X765" s="258" t="s">
        <v>283</v>
      </c>
      <c r="Y765" s="259" t="s">
        <v>283</v>
      </c>
    </row>
    <row r="766" spans="1:25">
      <c r="A766" s="253">
        <v>14</v>
      </c>
      <c r="B766" s="254" t="str">
        <f>VLOOKUP(Tabel10[[#This Row],[Code]],Ruimtegroepen[[Code]:[Ruimte omschrijving]],2,FALSE)</f>
        <v>Praktijklokalen</v>
      </c>
      <c r="C766" s="255" t="s">
        <v>923</v>
      </c>
      <c r="D766" s="254" t="s">
        <v>27</v>
      </c>
      <c r="E766" s="255" t="s">
        <v>100</v>
      </c>
      <c r="F766" s="255" t="s">
        <v>924</v>
      </c>
      <c r="G766" s="260" t="s">
        <v>283</v>
      </c>
      <c r="H766" s="256" t="s">
        <v>283</v>
      </c>
      <c r="I766" s="256" t="s">
        <v>15</v>
      </c>
      <c r="J766" s="256" t="s">
        <v>283</v>
      </c>
      <c r="K766" s="256" t="s">
        <v>283</v>
      </c>
      <c r="L766" s="256" t="s">
        <v>283</v>
      </c>
      <c r="M766" s="256" t="s">
        <v>283</v>
      </c>
      <c r="N766" s="256" t="s">
        <v>283</v>
      </c>
      <c r="O766" s="257" t="s">
        <v>15</v>
      </c>
      <c r="P766" s="257" t="s">
        <v>15</v>
      </c>
      <c r="Q766" s="257" t="s">
        <v>15</v>
      </c>
      <c r="R766" s="257" t="s">
        <v>283</v>
      </c>
      <c r="S766" s="257" t="s">
        <v>283</v>
      </c>
      <c r="T766" s="257" t="s">
        <v>283</v>
      </c>
      <c r="U766" s="257" t="s">
        <v>283</v>
      </c>
      <c r="V766" s="257" t="s">
        <v>283</v>
      </c>
      <c r="W766" s="258" t="s">
        <v>283</v>
      </c>
      <c r="X766" s="258" t="s">
        <v>283</v>
      </c>
      <c r="Y766" s="259" t="s">
        <v>283</v>
      </c>
    </row>
    <row r="767" spans="1:25">
      <c r="A767" s="253">
        <v>14</v>
      </c>
      <c r="B767" s="254" t="str">
        <f>VLOOKUP(Tabel10[[#This Row],[Code]],Ruimtegroepen[[Code]:[Ruimte omschrijving]],2,FALSE)</f>
        <v>Praktijklokalen</v>
      </c>
      <c r="C767" s="255" t="s">
        <v>923</v>
      </c>
      <c r="D767" s="254" t="s">
        <v>27</v>
      </c>
      <c r="E767" s="255" t="s">
        <v>99</v>
      </c>
      <c r="F767" s="255" t="s">
        <v>925</v>
      </c>
      <c r="G767" s="260" t="s">
        <v>283</v>
      </c>
      <c r="H767" s="256" t="s">
        <v>15</v>
      </c>
      <c r="I767" s="256" t="s">
        <v>283</v>
      </c>
      <c r="J767" s="256" t="s">
        <v>283</v>
      </c>
      <c r="K767" s="256" t="s">
        <v>283</v>
      </c>
      <c r="L767" s="256" t="s">
        <v>283</v>
      </c>
      <c r="M767" s="256" t="s">
        <v>283</v>
      </c>
      <c r="N767" s="256" t="s">
        <v>283</v>
      </c>
      <c r="O767" s="257" t="s">
        <v>15</v>
      </c>
      <c r="P767" s="257" t="s">
        <v>15</v>
      </c>
      <c r="Q767" s="257" t="s">
        <v>15</v>
      </c>
      <c r="R767" s="257" t="s">
        <v>283</v>
      </c>
      <c r="S767" s="257" t="s">
        <v>283</v>
      </c>
      <c r="T767" s="257" t="s">
        <v>283</v>
      </c>
      <c r="U767" s="257" t="s">
        <v>283</v>
      </c>
      <c r="V767" s="257" t="s">
        <v>283</v>
      </c>
      <c r="W767" s="258" t="s">
        <v>283</v>
      </c>
      <c r="X767" s="258" t="s">
        <v>283</v>
      </c>
      <c r="Y767" s="259" t="s">
        <v>283</v>
      </c>
    </row>
    <row r="768" spans="1:25">
      <c r="A768" s="253">
        <v>14</v>
      </c>
      <c r="B768" s="254" t="str">
        <f>VLOOKUP(Tabel10[[#This Row],[Code]],Ruimtegroepen[[Code]:[Ruimte omschrijving]],2,FALSE)</f>
        <v>Praktijklokalen</v>
      </c>
      <c r="C768" s="255" t="s">
        <v>923</v>
      </c>
      <c r="D768" s="254" t="s">
        <v>27</v>
      </c>
      <c r="E768" s="255" t="s">
        <v>101</v>
      </c>
      <c r="F768" s="255" t="s">
        <v>926</v>
      </c>
      <c r="G768" s="260" t="s">
        <v>283</v>
      </c>
      <c r="H768" s="256" t="s">
        <v>283</v>
      </c>
      <c r="I768" s="256" t="s">
        <v>15</v>
      </c>
      <c r="J768" s="256" t="s">
        <v>283</v>
      </c>
      <c r="K768" s="256" t="s">
        <v>283</v>
      </c>
      <c r="L768" s="256" t="s">
        <v>283</v>
      </c>
      <c r="M768" s="256" t="s">
        <v>283</v>
      </c>
      <c r="N768" s="256" t="s">
        <v>283</v>
      </c>
      <c r="O768" s="257" t="s">
        <v>15</v>
      </c>
      <c r="P768" s="257" t="s">
        <v>15</v>
      </c>
      <c r="Q768" s="257" t="s">
        <v>15</v>
      </c>
      <c r="R768" s="257" t="s">
        <v>283</v>
      </c>
      <c r="S768" s="257" t="s">
        <v>283</v>
      </c>
      <c r="T768" s="257" t="s">
        <v>283</v>
      </c>
      <c r="U768" s="257" t="s">
        <v>283</v>
      </c>
      <c r="V768" s="257" t="s">
        <v>283</v>
      </c>
      <c r="W768" s="258" t="s">
        <v>283</v>
      </c>
      <c r="X768" s="258" t="s">
        <v>283</v>
      </c>
      <c r="Y768" s="259" t="s">
        <v>283</v>
      </c>
    </row>
    <row r="769" spans="1:25">
      <c r="A769" s="253">
        <v>14</v>
      </c>
      <c r="B769" s="254" t="str">
        <f>VLOOKUP(Tabel10[[#This Row],[Code]],Ruimtegroepen[[Code]:[Ruimte omschrijving]],2,FALSE)</f>
        <v>Praktijklokalen</v>
      </c>
      <c r="C769" s="255" t="s">
        <v>923</v>
      </c>
      <c r="D769" s="254" t="s">
        <v>27</v>
      </c>
      <c r="E769" s="255" t="s">
        <v>102</v>
      </c>
      <c r="F769" s="255" t="s">
        <v>927</v>
      </c>
      <c r="G769" s="260" t="s">
        <v>283</v>
      </c>
      <c r="H769" s="256" t="s">
        <v>283</v>
      </c>
      <c r="I769" s="256" t="s">
        <v>15</v>
      </c>
      <c r="J769" s="256" t="s">
        <v>283</v>
      </c>
      <c r="K769" s="256" t="s">
        <v>283</v>
      </c>
      <c r="L769" s="256" t="s">
        <v>283</v>
      </c>
      <c r="M769" s="256" t="s">
        <v>283</v>
      </c>
      <c r="N769" s="256" t="s">
        <v>283</v>
      </c>
      <c r="O769" s="257" t="s">
        <v>15</v>
      </c>
      <c r="P769" s="257" t="s">
        <v>15</v>
      </c>
      <c r="Q769" s="257" t="s">
        <v>15</v>
      </c>
      <c r="R769" s="257" t="s">
        <v>283</v>
      </c>
      <c r="S769" s="257" t="s">
        <v>283</v>
      </c>
      <c r="T769" s="257" t="s">
        <v>283</v>
      </c>
      <c r="U769" s="257" t="s">
        <v>283</v>
      </c>
      <c r="V769" s="257" t="s">
        <v>283</v>
      </c>
      <c r="W769" s="258" t="s">
        <v>283</v>
      </c>
      <c r="X769" s="258" t="s">
        <v>283</v>
      </c>
      <c r="Y769" s="259" t="s">
        <v>283</v>
      </c>
    </row>
    <row r="770" spans="1:25">
      <c r="A770" s="253">
        <v>14</v>
      </c>
      <c r="B770" s="254" t="str">
        <f>VLOOKUP(Tabel10[[#This Row],[Code]],Ruimtegroepen[[Code]:[Ruimte omschrijving]],2,FALSE)</f>
        <v>Praktijklokalen</v>
      </c>
      <c r="C770" s="255" t="s">
        <v>923</v>
      </c>
      <c r="D770" s="254" t="s">
        <v>27</v>
      </c>
      <c r="E770" s="255" t="s">
        <v>99</v>
      </c>
      <c r="F770" s="255" t="s">
        <v>925</v>
      </c>
      <c r="G770" s="260" t="s">
        <v>283</v>
      </c>
      <c r="H770" s="256" t="s">
        <v>15</v>
      </c>
      <c r="I770" s="256" t="s">
        <v>283</v>
      </c>
      <c r="J770" s="256" t="s">
        <v>283</v>
      </c>
      <c r="K770" s="256" t="s">
        <v>283</v>
      </c>
      <c r="L770" s="256" t="s">
        <v>283</v>
      </c>
      <c r="M770" s="256" t="s">
        <v>283</v>
      </c>
      <c r="N770" s="256" t="s">
        <v>283</v>
      </c>
      <c r="O770" s="257" t="s">
        <v>15</v>
      </c>
      <c r="P770" s="257" t="s">
        <v>15</v>
      </c>
      <c r="Q770" s="257" t="s">
        <v>15</v>
      </c>
      <c r="R770" s="257" t="s">
        <v>283</v>
      </c>
      <c r="S770" s="257" t="s">
        <v>283</v>
      </c>
      <c r="T770" s="257" t="s">
        <v>283</v>
      </c>
      <c r="U770" s="257" t="s">
        <v>283</v>
      </c>
      <c r="V770" s="257" t="s">
        <v>283</v>
      </c>
      <c r="W770" s="258" t="s">
        <v>283</v>
      </c>
      <c r="X770" s="258" t="s">
        <v>283</v>
      </c>
      <c r="Y770" s="259" t="s">
        <v>283</v>
      </c>
    </row>
    <row r="771" spans="1:25">
      <c r="A771" s="253">
        <v>14</v>
      </c>
      <c r="B771" s="254" t="str">
        <f>VLOOKUP(Tabel10[[#This Row],[Code]],Ruimtegroepen[[Code]:[Ruimte omschrijving]],2,FALSE)</f>
        <v>Praktijklokalen</v>
      </c>
      <c r="C771" s="255" t="s">
        <v>923</v>
      </c>
      <c r="D771" s="254" t="s">
        <v>27</v>
      </c>
      <c r="E771" s="255" t="s">
        <v>1312</v>
      </c>
      <c r="F771" s="255" t="s">
        <v>1390</v>
      </c>
      <c r="G771" s="260" t="s">
        <v>283</v>
      </c>
      <c r="H771" s="256" t="s">
        <v>283</v>
      </c>
      <c r="I771" s="256" t="s">
        <v>15</v>
      </c>
      <c r="J771" s="256" t="s">
        <v>283</v>
      </c>
      <c r="K771" s="256" t="s">
        <v>283</v>
      </c>
      <c r="L771" s="256" t="s">
        <v>283</v>
      </c>
      <c r="M771" s="256" t="s">
        <v>283</v>
      </c>
      <c r="N771" s="256" t="s">
        <v>283</v>
      </c>
      <c r="O771" s="257" t="s">
        <v>15</v>
      </c>
      <c r="P771" s="257" t="s">
        <v>15</v>
      </c>
      <c r="Q771" s="257" t="s">
        <v>15</v>
      </c>
      <c r="R771" s="257" t="s">
        <v>283</v>
      </c>
      <c r="S771" s="257" t="s">
        <v>283</v>
      </c>
      <c r="T771" s="257" t="s">
        <v>283</v>
      </c>
      <c r="U771" s="257" t="s">
        <v>283</v>
      </c>
      <c r="V771" s="257" t="s">
        <v>283</v>
      </c>
      <c r="W771" s="258" t="s">
        <v>283</v>
      </c>
      <c r="X771" s="258" t="s">
        <v>283</v>
      </c>
      <c r="Y771" s="259" t="s">
        <v>283</v>
      </c>
    </row>
    <row r="772" spans="1:25">
      <c r="A772" s="253">
        <v>14</v>
      </c>
      <c r="B772" s="254" t="str">
        <f>VLOOKUP(Tabel10[[#This Row],[Code]],Ruimtegroepen[[Code]:[Ruimte omschrijving]],2,FALSE)</f>
        <v>Praktijklokalen</v>
      </c>
      <c r="C772" s="255" t="s">
        <v>928</v>
      </c>
      <c r="D772" s="254" t="s">
        <v>28</v>
      </c>
      <c r="E772" s="255" t="s">
        <v>100</v>
      </c>
      <c r="F772" s="255" t="s">
        <v>929</v>
      </c>
      <c r="G772" s="260" t="s">
        <v>283</v>
      </c>
      <c r="H772" s="256" t="s">
        <v>283</v>
      </c>
      <c r="I772" s="256" t="s">
        <v>17</v>
      </c>
      <c r="J772" s="256" t="s">
        <v>283</v>
      </c>
      <c r="K772" s="256" t="s">
        <v>283</v>
      </c>
      <c r="L772" s="256" t="s">
        <v>283</v>
      </c>
      <c r="M772" s="256" t="s">
        <v>283</v>
      </c>
      <c r="N772" s="256" t="s">
        <v>283</v>
      </c>
      <c r="O772" s="257" t="s">
        <v>17</v>
      </c>
      <c r="P772" s="257" t="s">
        <v>17</v>
      </c>
      <c r="Q772" s="257" t="s">
        <v>15</v>
      </c>
      <c r="R772" s="257" t="s">
        <v>283</v>
      </c>
      <c r="S772" s="257" t="s">
        <v>283</v>
      </c>
      <c r="T772" s="257" t="s">
        <v>283</v>
      </c>
      <c r="U772" s="257" t="s">
        <v>283</v>
      </c>
      <c r="V772" s="257" t="s">
        <v>283</v>
      </c>
      <c r="W772" s="258" t="s">
        <v>283</v>
      </c>
      <c r="X772" s="258" t="s">
        <v>283</v>
      </c>
      <c r="Y772" s="259" t="s">
        <v>283</v>
      </c>
    </row>
    <row r="773" spans="1:25">
      <c r="A773" s="253">
        <v>14</v>
      </c>
      <c r="B773" s="254" t="str">
        <f>VLOOKUP(Tabel10[[#This Row],[Code]],Ruimtegroepen[[Code]:[Ruimte omschrijving]],2,FALSE)</f>
        <v>Praktijklokalen</v>
      </c>
      <c r="C773" s="255" t="s">
        <v>928</v>
      </c>
      <c r="D773" s="254" t="s">
        <v>28</v>
      </c>
      <c r="E773" s="255" t="s">
        <v>99</v>
      </c>
      <c r="F773" s="255" t="s">
        <v>930</v>
      </c>
      <c r="G773" s="260" t="s">
        <v>283</v>
      </c>
      <c r="H773" s="256" t="s">
        <v>17</v>
      </c>
      <c r="I773" s="256" t="s">
        <v>283</v>
      </c>
      <c r="J773" s="256" t="s">
        <v>283</v>
      </c>
      <c r="K773" s="256" t="s">
        <v>283</v>
      </c>
      <c r="L773" s="256" t="s">
        <v>283</v>
      </c>
      <c r="M773" s="256" t="s">
        <v>283</v>
      </c>
      <c r="N773" s="256" t="s">
        <v>283</v>
      </c>
      <c r="O773" s="257" t="s">
        <v>17</v>
      </c>
      <c r="P773" s="257" t="s">
        <v>17</v>
      </c>
      <c r="Q773" s="257" t="s">
        <v>15</v>
      </c>
      <c r="R773" s="257" t="s">
        <v>283</v>
      </c>
      <c r="S773" s="257" t="s">
        <v>283</v>
      </c>
      <c r="T773" s="257" t="s">
        <v>283</v>
      </c>
      <c r="U773" s="257" t="s">
        <v>283</v>
      </c>
      <c r="V773" s="257" t="s">
        <v>283</v>
      </c>
      <c r="W773" s="258" t="s">
        <v>283</v>
      </c>
      <c r="X773" s="258" t="s">
        <v>283</v>
      </c>
      <c r="Y773" s="259" t="s">
        <v>283</v>
      </c>
    </row>
    <row r="774" spans="1:25">
      <c r="A774" s="253">
        <v>14</v>
      </c>
      <c r="B774" s="254" t="str">
        <f>VLOOKUP(Tabel10[[#This Row],[Code]],Ruimtegroepen[[Code]:[Ruimte omschrijving]],2,FALSE)</f>
        <v>Praktijklokalen</v>
      </c>
      <c r="C774" s="255" t="s">
        <v>928</v>
      </c>
      <c r="D774" s="254" t="s">
        <v>28</v>
      </c>
      <c r="E774" s="255" t="s">
        <v>101</v>
      </c>
      <c r="F774" s="255" t="s">
        <v>931</v>
      </c>
      <c r="G774" s="260" t="s">
        <v>283</v>
      </c>
      <c r="H774" s="256" t="s">
        <v>283</v>
      </c>
      <c r="I774" s="256" t="s">
        <v>17</v>
      </c>
      <c r="J774" s="256" t="s">
        <v>283</v>
      </c>
      <c r="K774" s="256" t="s">
        <v>283</v>
      </c>
      <c r="L774" s="256" t="s">
        <v>283</v>
      </c>
      <c r="M774" s="256" t="s">
        <v>283</v>
      </c>
      <c r="N774" s="256" t="s">
        <v>283</v>
      </c>
      <c r="O774" s="257" t="s">
        <v>17</v>
      </c>
      <c r="P774" s="257" t="s">
        <v>17</v>
      </c>
      <c r="Q774" s="257" t="s">
        <v>15</v>
      </c>
      <c r="R774" s="257" t="s">
        <v>283</v>
      </c>
      <c r="S774" s="257" t="s">
        <v>283</v>
      </c>
      <c r="T774" s="257" t="s">
        <v>283</v>
      </c>
      <c r="U774" s="257" t="s">
        <v>283</v>
      </c>
      <c r="V774" s="257" t="s">
        <v>283</v>
      </c>
      <c r="W774" s="258" t="s">
        <v>283</v>
      </c>
      <c r="X774" s="258" t="s">
        <v>283</v>
      </c>
      <c r="Y774" s="259" t="s">
        <v>283</v>
      </c>
    </row>
    <row r="775" spans="1:25">
      <c r="A775" s="253">
        <v>14</v>
      </c>
      <c r="B775" s="254" t="str">
        <f>VLOOKUP(Tabel10[[#This Row],[Code]],Ruimtegroepen[[Code]:[Ruimte omschrijving]],2,FALSE)</f>
        <v>Praktijklokalen</v>
      </c>
      <c r="C775" s="255" t="s">
        <v>928</v>
      </c>
      <c r="D775" s="254" t="s">
        <v>28</v>
      </c>
      <c r="E775" s="255" t="s">
        <v>102</v>
      </c>
      <c r="F775" s="255" t="s">
        <v>932</v>
      </c>
      <c r="G775" s="260" t="s">
        <v>283</v>
      </c>
      <c r="H775" s="256" t="s">
        <v>283</v>
      </c>
      <c r="I775" s="256" t="s">
        <v>17</v>
      </c>
      <c r="J775" s="256" t="s">
        <v>283</v>
      </c>
      <c r="K775" s="256" t="s">
        <v>283</v>
      </c>
      <c r="L775" s="256" t="s">
        <v>283</v>
      </c>
      <c r="M775" s="256" t="s">
        <v>283</v>
      </c>
      <c r="N775" s="256" t="s">
        <v>283</v>
      </c>
      <c r="O775" s="257" t="s">
        <v>17</v>
      </c>
      <c r="P775" s="257" t="s">
        <v>17</v>
      </c>
      <c r="Q775" s="257" t="s">
        <v>15</v>
      </c>
      <c r="R775" s="257" t="s">
        <v>283</v>
      </c>
      <c r="S775" s="257" t="s">
        <v>283</v>
      </c>
      <c r="T775" s="257" t="s">
        <v>283</v>
      </c>
      <c r="U775" s="257" t="s">
        <v>283</v>
      </c>
      <c r="V775" s="257" t="s">
        <v>283</v>
      </c>
      <c r="W775" s="258" t="s">
        <v>283</v>
      </c>
      <c r="X775" s="258" t="s">
        <v>283</v>
      </c>
      <c r="Y775" s="259" t="s">
        <v>283</v>
      </c>
    </row>
    <row r="776" spans="1:25">
      <c r="A776" s="253">
        <v>14</v>
      </c>
      <c r="B776" s="254" t="str">
        <f>VLOOKUP(Tabel10[[#This Row],[Code]],Ruimtegroepen[[Code]:[Ruimte omschrijving]],2,FALSE)</f>
        <v>Praktijklokalen</v>
      </c>
      <c r="C776" s="255" t="s">
        <v>928</v>
      </c>
      <c r="D776" s="254" t="s">
        <v>28</v>
      </c>
      <c r="E776" s="255" t="s">
        <v>99</v>
      </c>
      <c r="F776" s="255" t="s">
        <v>930</v>
      </c>
      <c r="G776" s="260" t="s">
        <v>283</v>
      </c>
      <c r="H776" s="256" t="s">
        <v>17</v>
      </c>
      <c r="I776" s="256" t="s">
        <v>283</v>
      </c>
      <c r="J776" s="256" t="s">
        <v>283</v>
      </c>
      <c r="K776" s="256" t="s">
        <v>283</v>
      </c>
      <c r="L776" s="256" t="s">
        <v>283</v>
      </c>
      <c r="M776" s="256" t="s">
        <v>283</v>
      </c>
      <c r="N776" s="256" t="s">
        <v>283</v>
      </c>
      <c r="O776" s="257" t="s">
        <v>17</v>
      </c>
      <c r="P776" s="257" t="s">
        <v>17</v>
      </c>
      <c r="Q776" s="257" t="s">
        <v>15</v>
      </c>
      <c r="R776" s="257" t="s">
        <v>283</v>
      </c>
      <c r="S776" s="257" t="s">
        <v>283</v>
      </c>
      <c r="T776" s="257" t="s">
        <v>283</v>
      </c>
      <c r="U776" s="257" t="s">
        <v>283</v>
      </c>
      <c r="V776" s="257" t="s">
        <v>283</v>
      </c>
      <c r="W776" s="258" t="s">
        <v>283</v>
      </c>
      <c r="X776" s="258" t="s">
        <v>283</v>
      </c>
      <c r="Y776" s="259" t="s">
        <v>283</v>
      </c>
    </row>
    <row r="777" spans="1:25">
      <c r="A777" s="253">
        <v>14</v>
      </c>
      <c r="B777" s="254" t="str">
        <f>VLOOKUP(Tabel10[[#This Row],[Code]],Ruimtegroepen[[Code]:[Ruimte omschrijving]],2,FALSE)</f>
        <v>Praktijklokalen</v>
      </c>
      <c r="C777" s="255" t="s">
        <v>928</v>
      </c>
      <c r="D777" s="254" t="s">
        <v>28</v>
      </c>
      <c r="E777" s="255" t="s">
        <v>1312</v>
      </c>
      <c r="F777" s="255" t="s">
        <v>1423</v>
      </c>
      <c r="G777" s="260" t="s">
        <v>283</v>
      </c>
      <c r="H777" s="256" t="s">
        <v>283</v>
      </c>
      <c r="I777" s="256" t="s">
        <v>17</v>
      </c>
      <c r="J777" s="256" t="s">
        <v>283</v>
      </c>
      <c r="K777" s="256" t="s">
        <v>283</v>
      </c>
      <c r="L777" s="256" t="s">
        <v>283</v>
      </c>
      <c r="M777" s="256" t="s">
        <v>283</v>
      </c>
      <c r="N777" s="256" t="s">
        <v>283</v>
      </c>
      <c r="O777" s="257" t="s">
        <v>17</v>
      </c>
      <c r="P777" s="257" t="s">
        <v>17</v>
      </c>
      <c r="Q777" s="257" t="s">
        <v>15</v>
      </c>
      <c r="R777" s="257" t="s">
        <v>283</v>
      </c>
      <c r="S777" s="257" t="s">
        <v>283</v>
      </c>
      <c r="T777" s="257" t="s">
        <v>283</v>
      </c>
      <c r="U777" s="257" t="s">
        <v>283</v>
      </c>
      <c r="V777" s="257" t="s">
        <v>283</v>
      </c>
      <c r="W777" s="258" t="s">
        <v>283</v>
      </c>
      <c r="X777" s="258" t="s">
        <v>283</v>
      </c>
      <c r="Y777" s="259" t="s">
        <v>283</v>
      </c>
    </row>
    <row r="778" spans="1:25">
      <c r="A778" s="253">
        <v>15</v>
      </c>
      <c r="B778" s="254" t="str">
        <f>VLOOKUP(Tabel10[[#This Row],[Code]],Ruimtegroepen[[Code]:[Ruimte omschrijving]],2,FALSE)</f>
        <v>Keuken/pantry</v>
      </c>
      <c r="C778" s="255" t="s">
        <v>933</v>
      </c>
      <c r="D778" s="254" t="s">
        <v>29</v>
      </c>
      <c r="E778" s="255" t="s">
        <v>100</v>
      </c>
      <c r="F778" s="255" t="s">
        <v>934</v>
      </c>
      <c r="G778" s="260" t="s">
        <v>283</v>
      </c>
      <c r="H778" s="256" t="s">
        <v>283</v>
      </c>
      <c r="I778" s="256" t="s">
        <v>283</v>
      </c>
      <c r="J778" s="256" t="s">
        <v>2</v>
      </c>
      <c r="K778" s="256" t="s">
        <v>283</v>
      </c>
      <c r="L778" s="256" t="s">
        <v>283</v>
      </c>
      <c r="M778" s="256" t="s">
        <v>283</v>
      </c>
      <c r="N778" s="256" t="s">
        <v>2</v>
      </c>
      <c r="O778" s="257" t="s">
        <v>2</v>
      </c>
      <c r="P778" s="257" t="s">
        <v>2</v>
      </c>
      <c r="Q778" s="257" t="s">
        <v>15</v>
      </c>
      <c r="R778" s="257" t="s">
        <v>15</v>
      </c>
      <c r="S778" s="257" t="s">
        <v>16</v>
      </c>
      <c r="T778" s="257" t="s">
        <v>330</v>
      </c>
      <c r="U778" s="257" t="s">
        <v>250</v>
      </c>
      <c r="V778" s="257" t="s">
        <v>2</v>
      </c>
      <c r="W778" s="258" t="s">
        <v>283</v>
      </c>
      <c r="X778" s="258" t="s">
        <v>283</v>
      </c>
      <c r="Y778" s="259" t="s">
        <v>283</v>
      </c>
    </row>
    <row r="779" spans="1:25">
      <c r="A779" s="253">
        <v>15</v>
      </c>
      <c r="B779" s="254" t="str">
        <f>VLOOKUP(Tabel10[[#This Row],[Code]],Ruimtegroepen[[Code]:[Ruimte omschrijving]],2,FALSE)</f>
        <v>Keuken/pantry</v>
      </c>
      <c r="C779" s="255" t="s">
        <v>933</v>
      </c>
      <c r="D779" s="254" t="s">
        <v>29</v>
      </c>
      <c r="E779" s="255" t="s">
        <v>99</v>
      </c>
      <c r="F779" s="255" t="s">
        <v>935</v>
      </c>
      <c r="G779" s="260" t="s">
        <v>283</v>
      </c>
      <c r="H779" s="256" t="s">
        <v>2</v>
      </c>
      <c r="I779" s="256" t="s">
        <v>283</v>
      </c>
      <c r="J779" s="256" t="s">
        <v>283</v>
      </c>
      <c r="K779" s="256" t="s">
        <v>283</v>
      </c>
      <c r="L779" s="256" t="s">
        <v>283</v>
      </c>
      <c r="M779" s="256" t="s">
        <v>283</v>
      </c>
      <c r="N779" s="256" t="s">
        <v>2</v>
      </c>
      <c r="O779" s="257" t="s">
        <v>2</v>
      </c>
      <c r="P779" s="257" t="s">
        <v>2</v>
      </c>
      <c r="Q779" s="257" t="s">
        <v>15</v>
      </c>
      <c r="R779" s="257" t="s">
        <v>15</v>
      </c>
      <c r="S779" s="257" t="s">
        <v>16</v>
      </c>
      <c r="T779" s="257" t="s">
        <v>330</v>
      </c>
      <c r="U779" s="257" t="s">
        <v>250</v>
      </c>
      <c r="V779" s="257" t="s">
        <v>2</v>
      </c>
      <c r="W779" s="258" t="s">
        <v>283</v>
      </c>
      <c r="X779" s="258" t="s">
        <v>283</v>
      </c>
      <c r="Y779" s="259" t="s">
        <v>283</v>
      </c>
    </row>
    <row r="780" spans="1:25">
      <c r="A780" s="253">
        <v>15</v>
      </c>
      <c r="B780" s="254" t="str">
        <f>VLOOKUP(Tabel10[[#This Row],[Code]],Ruimtegroepen[[Code]:[Ruimte omschrijving]],2,FALSE)</f>
        <v>Keuken/pantry</v>
      </c>
      <c r="C780" s="255" t="s">
        <v>933</v>
      </c>
      <c r="D780" s="254" t="s">
        <v>29</v>
      </c>
      <c r="E780" s="255" t="s">
        <v>101</v>
      </c>
      <c r="F780" s="255" t="s">
        <v>936</v>
      </c>
      <c r="G780" s="260" t="s">
        <v>283</v>
      </c>
      <c r="H780" s="256" t="s">
        <v>283</v>
      </c>
      <c r="I780" s="256" t="s">
        <v>2</v>
      </c>
      <c r="J780" s="256" t="s">
        <v>283</v>
      </c>
      <c r="K780" s="256" t="s">
        <v>2</v>
      </c>
      <c r="L780" s="256" t="s">
        <v>283</v>
      </c>
      <c r="M780" s="256" t="s">
        <v>283</v>
      </c>
      <c r="N780" s="256" t="s">
        <v>2</v>
      </c>
      <c r="O780" s="257" t="s">
        <v>2</v>
      </c>
      <c r="P780" s="257" t="s">
        <v>2</v>
      </c>
      <c r="Q780" s="257" t="s">
        <v>15</v>
      </c>
      <c r="R780" s="257" t="s">
        <v>15</v>
      </c>
      <c r="S780" s="257" t="s">
        <v>16</v>
      </c>
      <c r="T780" s="257" t="s">
        <v>330</v>
      </c>
      <c r="U780" s="257" t="s">
        <v>250</v>
      </c>
      <c r="V780" s="257" t="s">
        <v>2</v>
      </c>
      <c r="W780" s="258" t="s">
        <v>283</v>
      </c>
      <c r="X780" s="258" t="s">
        <v>283</v>
      </c>
      <c r="Y780" s="259" t="s">
        <v>283</v>
      </c>
    </row>
    <row r="781" spans="1:25">
      <c r="A781" s="253">
        <v>15</v>
      </c>
      <c r="B781" s="254" t="str">
        <f>VLOOKUP(Tabel10[[#This Row],[Code]],Ruimtegroepen[[Code]:[Ruimte omschrijving]],2,FALSE)</f>
        <v>Keuken/pantry</v>
      </c>
      <c r="C781" s="255" t="s">
        <v>933</v>
      </c>
      <c r="D781" s="254" t="s">
        <v>29</v>
      </c>
      <c r="E781" s="255" t="s">
        <v>102</v>
      </c>
      <c r="F781" s="255" t="s">
        <v>937</v>
      </c>
      <c r="G781" s="260" t="s">
        <v>283</v>
      </c>
      <c r="H781" s="256" t="s">
        <v>283</v>
      </c>
      <c r="I781" s="256" t="s">
        <v>2</v>
      </c>
      <c r="J781" s="256" t="s">
        <v>283</v>
      </c>
      <c r="K781" s="256" t="s">
        <v>2</v>
      </c>
      <c r="L781" s="256" t="s">
        <v>283</v>
      </c>
      <c r="M781" s="256" t="s">
        <v>283</v>
      </c>
      <c r="N781" s="256" t="s">
        <v>2</v>
      </c>
      <c r="O781" s="257" t="s">
        <v>2</v>
      </c>
      <c r="P781" s="257" t="s">
        <v>2</v>
      </c>
      <c r="Q781" s="257" t="s">
        <v>15</v>
      </c>
      <c r="R781" s="257" t="s">
        <v>15</v>
      </c>
      <c r="S781" s="257" t="s">
        <v>16</v>
      </c>
      <c r="T781" s="257" t="s">
        <v>330</v>
      </c>
      <c r="U781" s="257" t="s">
        <v>250</v>
      </c>
      <c r="V781" s="257" t="s">
        <v>2</v>
      </c>
      <c r="W781" s="258" t="s">
        <v>283</v>
      </c>
      <c r="X781" s="258" t="s">
        <v>283</v>
      </c>
      <c r="Y781" s="259" t="s">
        <v>283</v>
      </c>
    </row>
    <row r="782" spans="1:25">
      <c r="A782" s="253">
        <v>15</v>
      </c>
      <c r="B782" s="254" t="str">
        <f>VLOOKUP(Tabel10[[#This Row],[Code]],Ruimtegroepen[[Code]:[Ruimte omschrijving]],2,FALSE)</f>
        <v>Keuken/pantry</v>
      </c>
      <c r="C782" s="255" t="s">
        <v>933</v>
      </c>
      <c r="D782" s="254" t="s">
        <v>29</v>
      </c>
      <c r="E782" s="255" t="s">
        <v>99</v>
      </c>
      <c r="F782" s="255" t="s">
        <v>935</v>
      </c>
      <c r="G782" s="260" t="s">
        <v>283</v>
      </c>
      <c r="H782" s="256" t="s">
        <v>2</v>
      </c>
      <c r="I782" s="256" t="s">
        <v>283</v>
      </c>
      <c r="J782" s="256" t="s">
        <v>283</v>
      </c>
      <c r="K782" s="256" t="s">
        <v>283</v>
      </c>
      <c r="L782" s="256" t="s">
        <v>283</v>
      </c>
      <c r="M782" s="256" t="s">
        <v>283</v>
      </c>
      <c r="N782" s="256" t="s">
        <v>2</v>
      </c>
      <c r="O782" s="257" t="s">
        <v>2</v>
      </c>
      <c r="P782" s="257" t="s">
        <v>2</v>
      </c>
      <c r="Q782" s="257" t="s">
        <v>15</v>
      </c>
      <c r="R782" s="257" t="s">
        <v>15</v>
      </c>
      <c r="S782" s="257" t="s">
        <v>16</v>
      </c>
      <c r="T782" s="257" t="s">
        <v>330</v>
      </c>
      <c r="U782" s="257" t="s">
        <v>250</v>
      </c>
      <c r="V782" s="257" t="s">
        <v>2</v>
      </c>
      <c r="W782" s="258" t="s">
        <v>283</v>
      </c>
      <c r="X782" s="258" t="s">
        <v>283</v>
      </c>
      <c r="Y782" s="259" t="s">
        <v>283</v>
      </c>
    </row>
    <row r="783" spans="1:25">
      <c r="A783" s="253">
        <v>15</v>
      </c>
      <c r="B783" s="254" t="str">
        <f>VLOOKUP(Tabel10[[#This Row],[Code]],Ruimtegroepen[[Code]:[Ruimte omschrijving]],2,FALSE)</f>
        <v>Keuken/pantry</v>
      </c>
      <c r="C783" s="255" t="s">
        <v>933</v>
      </c>
      <c r="D783" s="254" t="s">
        <v>29</v>
      </c>
      <c r="E783" s="255" t="s">
        <v>1312</v>
      </c>
      <c r="F783" s="255" t="s">
        <v>1491</v>
      </c>
      <c r="G783" s="260" t="s">
        <v>283</v>
      </c>
      <c r="H783" s="256" t="s">
        <v>283</v>
      </c>
      <c r="I783" s="256" t="s">
        <v>2</v>
      </c>
      <c r="J783" s="256" t="s">
        <v>283</v>
      </c>
      <c r="K783" s="256" t="s">
        <v>2</v>
      </c>
      <c r="L783" s="256" t="s">
        <v>283</v>
      </c>
      <c r="M783" s="256" t="s">
        <v>283</v>
      </c>
      <c r="N783" s="256" t="s">
        <v>2</v>
      </c>
      <c r="O783" s="257" t="s">
        <v>2</v>
      </c>
      <c r="P783" s="257" t="s">
        <v>2</v>
      </c>
      <c r="Q783" s="257" t="s">
        <v>15</v>
      </c>
      <c r="R783" s="257" t="s">
        <v>15</v>
      </c>
      <c r="S783" s="257" t="s">
        <v>16</v>
      </c>
      <c r="T783" s="257" t="s">
        <v>330</v>
      </c>
      <c r="U783" s="257" t="s">
        <v>250</v>
      </c>
      <c r="V783" s="257" t="s">
        <v>2</v>
      </c>
      <c r="W783" s="258" t="s">
        <v>283</v>
      </c>
      <c r="X783" s="258" t="s">
        <v>283</v>
      </c>
      <c r="Y783" s="259" t="s">
        <v>283</v>
      </c>
    </row>
    <row r="784" spans="1:25">
      <c r="A784" s="253">
        <v>15</v>
      </c>
      <c r="B784" s="254" t="str">
        <f>VLOOKUP(Tabel10[[#This Row],[Code]],Ruimtegroepen[[Code]:[Ruimte omschrijving]],2,FALSE)</f>
        <v>Keuken/pantry</v>
      </c>
      <c r="C784" s="255" t="s">
        <v>938</v>
      </c>
      <c r="D784" s="254" t="s">
        <v>1</v>
      </c>
      <c r="E784" s="255" t="s">
        <v>100</v>
      </c>
      <c r="F784" s="255" t="s">
        <v>939</v>
      </c>
      <c r="G784" s="260" t="s">
        <v>283</v>
      </c>
      <c r="H784" s="256" t="s">
        <v>283</v>
      </c>
      <c r="I784" s="256" t="s">
        <v>283</v>
      </c>
      <c r="J784" s="256" t="s">
        <v>2</v>
      </c>
      <c r="K784" s="256" t="s">
        <v>283</v>
      </c>
      <c r="L784" s="256" t="s">
        <v>283</v>
      </c>
      <c r="M784" s="256" t="s">
        <v>283</v>
      </c>
      <c r="N784" s="256" t="s">
        <v>283</v>
      </c>
      <c r="O784" s="257" t="s">
        <v>2</v>
      </c>
      <c r="P784" s="257" t="s">
        <v>2</v>
      </c>
      <c r="Q784" s="257" t="s">
        <v>15</v>
      </c>
      <c r="R784" s="257" t="s">
        <v>15</v>
      </c>
      <c r="S784" s="257" t="s">
        <v>16</v>
      </c>
      <c r="T784" s="257" t="s">
        <v>330</v>
      </c>
      <c r="U784" s="257" t="s">
        <v>250</v>
      </c>
      <c r="V784" s="257" t="s">
        <v>283</v>
      </c>
      <c r="W784" s="258" t="s">
        <v>283</v>
      </c>
      <c r="X784" s="258" t="s">
        <v>283</v>
      </c>
      <c r="Y784" s="259" t="s">
        <v>283</v>
      </c>
    </row>
    <row r="785" spans="1:25">
      <c r="A785" s="253">
        <v>15</v>
      </c>
      <c r="B785" s="254" t="str">
        <f>VLOOKUP(Tabel10[[#This Row],[Code]],Ruimtegroepen[[Code]:[Ruimte omschrijving]],2,FALSE)</f>
        <v>Keuken/pantry</v>
      </c>
      <c r="C785" s="255" t="s">
        <v>938</v>
      </c>
      <c r="D785" s="254" t="s">
        <v>1</v>
      </c>
      <c r="E785" s="255" t="s">
        <v>99</v>
      </c>
      <c r="F785" s="255" t="s">
        <v>940</v>
      </c>
      <c r="G785" s="260" t="s">
        <v>283</v>
      </c>
      <c r="H785" s="256" t="s">
        <v>2</v>
      </c>
      <c r="I785" s="256" t="s">
        <v>283</v>
      </c>
      <c r="J785" s="256" t="s">
        <v>283</v>
      </c>
      <c r="K785" s="256" t="s">
        <v>283</v>
      </c>
      <c r="L785" s="256" t="s">
        <v>283</v>
      </c>
      <c r="M785" s="256" t="s">
        <v>283</v>
      </c>
      <c r="N785" s="256" t="s">
        <v>283</v>
      </c>
      <c r="O785" s="257" t="s">
        <v>2</v>
      </c>
      <c r="P785" s="257" t="s">
        <v>2</v>
      </c>
      <c r="Q785" s="257" t="s">
        <v>15</v>
      </c>
      <c r="R785" s="257" t="s">
        <v>15</v>
      </c>
      <c r="S785" s="257" t="s">
        <v>16</v>
      </c>
      <c r="T785" s="257" t="s">
        <v>330</v>
      </c>
      <c r="U785" s="257" t="s">
        <v>250</v>
      </c>
      <c r="V785" s="257" t="s">
        <v>283</v>
      </c>
      <c r="W785" s="258" t="s">
        <v>283</v>
      </c>
      <c r="X785" s="258" t="s">
        <v>283</v>
      </c>
      <c r="Y785" s="259" t="s">
        <v>283</v>
      </c>
    </row>
    <row r="786" spans="1:25">
      <c r="A786" s="253">
        <v>15</v>
      </c>
      <c r="B786" s="254" t="str">
        <f>VLOOKUP(Tabel10[[#This Row],[Code]],Ruimtegroepen[[Code]:[Ruimte omschrijving]],2,FALSE)</f>
        <v>Keuken/pantry</v>
      </c>
      <c r="C786" s="255" t="s">
        <v>938</v>
      </c>
      <c r="D786" s="254" t="s">
        <v>1</v>
      </c>
      <c r="E786" s="255" t="s">
        <v>101</v>
      </c>
      <c r="F786" s="255" t="s">
        <v>941</v>
      </c>
      <c r="G786" s="260" t="s">
        <v>283</v>
      </c>
      <c r="H786" s="256" t="s">
        <v>283</v>
      </c>
      <c r="I786" s="256" t="s">
        <v>2</v>
      </c>
      <c r="J786" s="256" t="s">
        <v>283</v>
      </c>
      <c r="K786" s="256" t="s">
        <v>2</v>
      </c>
      <c r="L786" s="256" t="s">
        <v>283</v>
      </c>
      <c r="M786" s="256" t="s">
        <v>283</v>
      </c>
      <c r="N786" s="256" t="s">
        <v>283</v>
      </c>
      <c r="O786" s="257" t="s">
        <v>2</v>
      </c>
      <c r="P786" s="257" t="s">
        <v>2</v>
      </c>
      <c r="Q786" s="257" t="s">
        <v>15</v>
      </c>
      <c r="R786" s="257" t="s">
        <v>15</v>
      </c>
      <c r="S786" s="257" t="s">
        <v>16</v>
      </c>
      <c r="T786" s="257" t="s">
        <v>330</v>
      </c>
      <c r="U786" s="257" t="s">
        <v>250</v>
      </c>
      <c r="V786" s="257" t="s">
        <v>283</v>
      </c>
      <c r="W786" s="258" t="s">
        <v>283</v>
      </c>
      <c r="X786" s="258" t="s">
        <v>283</v>
      </c>
      <c r="Y786" s="259" t="s">
        <v>283</v>
      </c>
    </row>
    <row r="787" spans="1:25">
      <c r="A787" s="253">
        <v>15</v>
      </c>
      <c r="B787" s="254" t="str">
        <f>VLOOKUP(Tabel10[[#This Row],[Code]],Ruimtegroepen[[Code]:[Ruimte omschrijving]],2,FALSE)</f>
        <v>Keuken/pantry</v>
      </c>
      <c r="C787" s="255" t="s">
        <v>938</v>
      </c>
      <c r="D787" s="254" t="s">
        <v>1</v>
      </c>
      <c r="E787" s="255" t="s">
        <v>102</v>
      </c>
      <c r="F787" s="255" t="s">
        <v>942</v>
      </c>
      <c r="G787" s="260" t="s">
        <v>283</v>
      </c>
      <c r="H787" s="256" t="s">
        <v>283</v>
      </c>
      <c r="I787" s="256" t="s">
        <v>2</v>
      </c>
      <c r="J787" s="256" t="s">
        <v>283</v>
      </c>
      <c r="K787" s="256" t="s">
        <v>2</v>
      </c>
      <c r="L787" s="256" t="s">
        <v>283</v>
      </c>
      <c r="M787" s="256" t="s">
        <v>283</v>
      </c>
      <c r="N787" s="256" t="s">
        <v>283</v>
      </c>
      <c r="O787" s="257" t="s">
        <v>2</v>
      </c>
      <c r="P787" s="257" t="s">
        <v>2</v>
      </c>
      <c r="Q787" s="257" t="s">
        <v>15</v>
      </c>
      <c r="R787" s="257" t="s">
        <v>15</v>
      </c>
      <c r="S787" s="257" t="s">
        <v>16</v>
      </c>
      <c r="T787" s="257" t="s">
        <v>330</v>
      </c>
      <c r="U787" s="257" t="s">
        <v>250</v>
      </c>
      <c r="V787" s="257" t="s">
        <v>283</v>
      </c>
      <c r="W787" s="258" t="s">
        <v>283</v>
      </c>
      <c r="X787" s="258" t="s">
        <v>283</v>
      </c>
      <c r="Y787" s="259" t="s">
        <v>283</v>
      </c>
    </row>
    <row r="788" spans="1:25">
      <c r="A788" s="253">
        <v>15</v>
      </c>
      <c r="B788" s="254" t="str">
        <f>VLOOKUP(Tabel10[[#This Row],[Code]],Ruimtegroepen[[Code]:[Ruimte omschrijving]],2,FALSE)</f>
        <v>Keuken/pantry</v>
      </c>
      <c r="C788" s="255" t="s">
        <v>938</v>
      </c>
      <c r="D788" s="254" t="s">
        <v>1</v>
      </c>
      <c r="E788" s="255" t="s">
        <v>99</v>
      </c>
      <c r="F788" s="255" t="s">
        <v>940</v>
      </c>
      <c r="G788" s="260" t="s">
        <v>283</v>
      </c>
      <c r="H788" s="256" t="s">
        <v>2</v>
      </c>
      <c r="I788" s="256" t="s">
        <v>283</v>
      </c>
      <c r="J788" s="256" t="s">
        <v>283</v>
      </c>
      <c r="K788" s="256" t="s">
        <v>283</v>
      </c>
      <c r="L788" s="256" t="s">
        <v>283</v>
      </c>
      <c r="M788" s="256" t="s">
        <v>283</v>
      </c>
      <c r="N788" s="256" t="s">
        <v>283</v>
      </c>
      <c r="O788" s="257" t="s">
        <v>2</v>
      </c>
      <c r="P788" s="257" t="s">
        <v>2</v>
      </c>
      <c r="Q788" s="257" t="s">
        <v>15</v>
      </c>
      <c r="R788" s="257" t="s">
        <v>15</v>
      </c>
      <c r="S788" s="257" t="s">
        <v>16</v>
      </c>
      <c r="T788" s="257" t="s">
        <v>330</v>
      </c>
      <c r="U788" s="257" t="s">
        <v>250</v>
      </c>
      <c r="V788" s="257" t="s">
        <v>283</v>
      </c>
      <c r="W788" s="258" t="s">
        <v>283</v>
      </c>
      <c r="X788" s="258" t="s">
        <v>283</v>
      </c>
      <c r="Y788" s="259" t="s">
        <v>283</v>
      </c>
    </row>
    <row r="789" spans="1:25">
      <c r="A789" s="253">
        <v>15</v>
      </c>
      <c r="B789" s="254" t="str">
        <f>VLOOKUP(Tabel10[[#This Row],[Code]],Ruimtegroepen[[Code]:[Ruimte omschrijving]],2,FALSE)</f>
        <v>Keuken/pantry</v>
      </c>
      <c r="C789" s="255" t="s">
        <v>938</v>
      </c>
      <c r="D789" s="254" t="s">
        <v>1</v>
      </c>
      <c r="E789" s="255" t="s">
        <v>1312</v>
      </c>
      <c r="F789" s="255" t="s">
        <v>1475</v>
      </c>
      <c r="G789" s="260" t="s">
        <v>283</v>
      </c>
      <c r="H789" s="256" t="s">
        <v>283</v>
      </c>
      <c r="I789" s="256" t="s">
        <v>2</v>
      </c>
      <c r="J789" s="256" t="s">
        <v>283</v>
      </c>
      <c r="K789" s="256" t="s">
        <v>2</v>
      </c>
      <c r="L789" s="256" t="s">
        <v>283</v>
      </c>
      <c r="M789" s="256" t="s">
        <v>283</v>
      </c>
      <c r="N789" s="256" t="s">
        <v>283</v>
      </c>
      <c r="O789" s="257" t="s">
        <v>2</v>
      </c>
      <c r="P789" s="257" t="s">
        <v>2</v>
      </c>
      <c r="Q789" s="257" t="s">
        <v>15</v>
      </c>
      <c r="R789" s="257" t="s">
        <v>15</v>
      </c>
      <c r="S789" s="257" t="s">
        <v>16</v>
      </c>
      <c r="T789" s="257" t="s">
        <v>330</v>
      </c>
      <c r="U789" s="257" t="s">
        <v>250</v>
      </c>
      <c r="V789" s="257" t="s">
        <v>283</v>
      </c>
      <c r="W789" s="258" t="s">
        <v>283</v>
      </c>
      <c r="X789" s="258" t="s">
        <v>283</v>
      </c>
      <c r="Y789" s="259" t="s">
        <v>283</v>
      </c>
    </row>
    <row r="790" spans="1:25">
      <c r="A790" s="253">
        <v>15</v>
      </c>
      <c r="B790" s="254" t="str">
        <f>VLOOKUP(Tabel10[[#This Row],[Code]],Ruimtegroepen[[Code]:[Ruimte omschrijving]],2,FALSE)</f>
        <v>Keuken/pantry</v>
      </c>
      <c r="C790" s="255" t="s">
        <v>943</v>
      </c>
      <c r="D790" s="254" t="s">
        <v>21</v>
      </c>
      <c r="E790" s="255" t="s">
        <v>100</v>
      </c>
      <c r="F790" s="255" t="s">
        <v>944</v>
      </c>
      <c r="G790" s="260" t="s">
        <v>283</v>
      </c>
      <c r="H790" s="256" t="s">
        <v>283</v>
      </c>
      <c r="I790" s="256" t="s">
        <v>283</v>
      </c>
      <c r="J790" s="256" t="s">
        <v>20</v>
      </c>
      <c r="K790" s="256" t="s">
        <v>283</v>
      </c>
      <c r="L790" s="256" t="s">
        <v>283</v>
      </c>
      <c r="M790" s="256" t="s">
        <v>283</v>
      </c>
      <c r="N790" s="256" t="s">
        <v>283</v>
      </c>
      <c r="O790" s="257" t="s">
        <v>20</v>
      </c>
      <c r="P790" s="257" t="s">
        <v>20</v>
      </c>
      <c r="Q790" s="257" t="s">
        <v>15</v>
      </c>
      <c r="R790" s="257" t="s">
        <v>15</v>
      </c>
      <c r="S790" s="257" t="s">
        <v>16</v>
      </c>
      <c r="T790" s="257" t="s">
        <v>330</v>
      </c>
      <c r="U790" s="257" t="s">
        <v>250</v>
      </c>
      <c r="V790" s="257" t="s">
        <v>283</v>
      </c>
      <c r="W790" s="258" t="s">
        <v>283</v>
      </c>
      <c r="X790" s="258" t="s">
        <v>283</v>
      </c>
      <c r="Y790" s="259" t="s">
        <v>283</v>
      </c>
    </row>
    <row r="791" spans="1:25">
      <c r="A791" s="253">
        <v>15</v>
      </c>
      <c r="B791" s="254" t="str">
        <f>VLOOKUP(Tabel10[[#This Row],[Code]],Ruimtegroepen[[Code]:[Ruimte omschrijving]],2,FALSE)</f>
        <v>Keuken/pantry</v>
      </c>
      <c r="C791" s="255" t="s">
        <v>943</v>
      </c>
      <c r="D791" s="254" t="s">
        <v>21</v>
      </c>
      <c r="E791" s="255" t="s">
        <v>99</v>
      </c>
      <c r="F791" s="255" t="s">
        <v>945</v>
      </c>
      <c r="G791" s="260" t="s">
        <v>283</v>
      </c>
      <c r="H791" s="256" t="s">
        <v>20</v>
      </c>
      <c r="I791" s="256" t="s">
        <v>283</v>
      </c>
      <c r="J791" s="256" t="s">
        <v>283</v>
      </c>
      <c r="K791" s="256" t="s">
        <v>283</v>
      </c>
      <c r="L791" s="256" t="s">
        <v>283</v>
      </c>
      <c r="M791" s="256" t="s">
        <v>283</v>
      </c>
      <c r="N791" s="256" t="s">
        <v>283</v>
      </c>
      <c r="O791" s="257" t="s">
        <v>20</v>
      </c>
      <c r="P791" s="257" t="s">
        <v>20</v>
      </c>
      <c r="Q791" s="257" t="s">
        <v>15</v>
      </c>
      <c r="R791" s="257" t="s">
        <v>15</v>
      </c>
      <c r="S791" s="257" t="s">
        <v>16</v>
      </c>
      <c r="T791" s="257" t="s">
        <v>330</v>
      </c>
      <c r="U791" s="257" t="s">
        <v>250</v>
      </c>
      <c r="V791" s="257" t="s">
        <v>283</v>
      </c>
      <c r="W791" s="258" t="s">
        <v>283</v>
      </c>
      <c r="X791" s="258" t="s">
        <v>283</v>
      </c>
      <c r="Y791" s="259" t="s">
        <v>283</v>
      </c>
    </row>
    <row r="792" spans="1:25">
      <c r="A792" s="253">
        <v>15</v>
      </c>
      <c r="B792" s="254" t="str">
        <f>VLOOKUP(Tabel10[[#This Row],[Code]],Ruimtegroepen[[Code]:[Ruimte omschrijving]],2,FALSE)</f>
        <v>Keuken/pantry</v>
      </c>
      <c r="C792" s="255" t="s">
        <v>943</v>
      </c>
      <c r="D792" s="254" t="s">
        <v>21</v>
      </c>
      <c r="E792" s="255" t="s">
        <v>101</v>
      </c>
      <c r="F792" s="255" t="s">
        <v>946</v>
      </c>
      <c r="G792" s="260" t="s">
        <v>283</v>
      </c>
      <c r="H792" s="256" t="s">
        <v>283</v>
      </c>
      <c r="I792" s="256" t="s">
        <v>20</v>
      </c>
      <c r="J792" s="256" t="s">
        <v>283</v>
      </c>
      <c r="K792" s="256" t="s">
        <v>20</v>
      </c>
      <c r="L792" s="256" t="s">
        <v>283</v>
      </c>
      <c r="M792" s="256" t="s">
        <v>283</v>
      </c>
      <c r="N792" s="256" t="s">
        <v>283</v>
      </c>
      <c r="O792" s="257" t="s">
        <v>20</v>
      </c>
      <c r="P792" s="257" t="s">
        <v>20</v>
      </c>
      <c r="Q792" s="257" t="s">
        <v>15</v>
      </c>
      <c r="R792" s="257" t="s">
        <v>15</v>
      </c>
      <c r="S792" s="257" t="s">
        <v>16</v>
      </c>
      <c r="T792" s="257" t="s">
        <v>330</v>
      </c>
      <c r="U792" s="257" t="s">
        <v>250</v>
      </c>
      <c r="V792" s="257" t="s">
        <v>283</v>
      </c>
      <c r="W792" s="258" t="s">
        <v>283</v>
      </c>
      <c r="X792" s="258" t="s">
        <v>283</v>
      </c>
      <c r="Y792" s="259" t="s">
        <v>283</v>
      </c>
    </row>
    <row r="793" spans="1:25">
      <c r="A793" s="253">
        <v>15</v>
      </c>
      <c r="B793" s="254" t="str">
        <f>VLOOKUP(Tabel10[[#This Row],[Code]],Ruimtegroepen[[Code]:[Ruimte omschrijving]],2,FALSE)</f>
        <v>Keuken/pantry</v>
      </c>
      <c r="C793" s="255" t="s">
        <v>943</v>
      </c>
      <c r="D793" s="254" t="s">
        <v>21</v>
      </c>
      <c r="E793" s="255" t="s">
        <v>102</v>
      </c>
      <c r="F793" s="255" t="s">
        <v>947</v>
      </c>
      <c r="G793" s="260" t="s">
        <v>283</v>
      </c>
      <c r="H793" s="256" t="s">
        <v>283</v>
      </c>
      <c r="I793" s="256" t="s">
        <v>20</v>
      </c>
      <c r="J793" s="256" t="s">
        <v>283</v>
      </c>
      <c r="K793" s="256" t="s">
        <v>20</v>
      </c>
      <c r="L793" s="256" t="s">
        <v>283</v>
      </c>
      <c r="M793" s="256" t="s">
        <v>283</v>
      </c>
      <c r="N793" s="256" t="s">
        <v>283</v>
      </c>
      <c r="O793" s="257" t="s">
        <v>20</v>
      </c>
      <c r="P793" s="257" t="s">
        <v>20</v>
      </c>
      <c r="Q793" s="257" t="s">
        <v>15</v>
      </c>
      <c r="R793" s="257" t="s">
        <v>15</v>
      </c>
      <c r="S793" s="257" t="s">
        <v>16</v>
      </c>
      <c r="T793" s="257" t="s">
        <v>330</v>
      </c>
      <c r="U793" s="257" t="s">
        <v>250</v>
      </c>
      <c r="V793" s="257" t="s">
        <v>283</v>
      </c>
      <c r="W793" s="258" t="s">
        <v>283</v>
      </c>
      <c r="X793" s="258" t="s">
        <v>283</v>
      </c>
      <c r="Y793" s="259" t="s">
        <v>283</v>
      </c>
    </row>
    <row r="794" spans="1:25">
      <c r="A794" s="253">
        <v>15</v>
      </c>
      <c r="B794" s="254" t="str">
        <f>VLOOKUP(Tabel10[[#This Row],[Code]],Ruimtegroepen[[Code]:[Ruimte omschrijving]],2,FALSE)</f>
        <v>Keuken/pantry</v>
      </c>
      <c r="C794" s="255" t="s">
        <v>943</v>
      </c>
      <c r="D794" s="254" t="s">
        <v>21</v>
      </c>
      <c r="E794" s="255" t="s">
        <v>99</v>
      </c>
      <c r="F794" s="255" t="s">
        <v>945</v>
      </c>
      <c r="G794" s="260" t="s">
        <v>283</v>
      </c>
      <c r="H794" s="256" t="s">
        <v>20</v>
      </c>
      <c r="I794" s="256" t="s">
        <v>283</v>
      </c>
      <c r="J794" s="256" t="s">
        <v>283</v>
      </c>
      <c r="K794" s="256" t="s">
        <v>283</v>
      </c>
      <c r="L794" s="256" t="s">
        <v>283</v>
      </c>
      <c r="M794" s="256" t="s">
        <v>283</v>
      </c>
      <c r="N794" s="256" t="s">
        <v>283</v>
      </c>
      <c r="O794" s="257" t="s">
        <v>20</v>
      </c>
      <c r="P794" s="257" t="s">
        <v>20</v>
      </c>
      <c r="Q794" s="257" t="s">
        <v>15</v>
      </c>
      <c r="R794" s="257" t="s">
        <v>15</v>
      </c>
      <c r="S794" s="257" t="s">
        <v>16</v>
      </c>
      <c r="T794" s="257" t="s">
        <v>330</v>
      </c>
      <c r="U794" s="257" t="s">
        <v>250</v>
      </c>
      <c r="V794" s="257" t="s">
        <v>283</v>
      </c>
      <c r="W794" s="258" t="s">
        <v>283</v>
      </c>
      <c r="X794" s="258" t="s">
        <v>283</v>
      </c>
      <c r="Y794" s="259" t="s">
        <v>283</v>
      </c>
    </row>
    <row r="795" spans="1:25">
      <c r="A795" s="253">
        <v>15</v>
      </c>
      <c r="B795" s="254" t="str">
        <f>VLOOKUP(Tabel10[[#This Row],[Code]],Ruimtegroepen[[Code]:[Ruimte omschrijving]],2,FALSE)</f>
        <v>Keuken/pantry</v>
      </c>
      <c r="C795" s="255" t="s">
        <v>943</v>
      </c>
      <c r="D795" s="254" t="s">
        <v>21</v>
      </c>
      <c r="E795" s="255" t="s">
        <v>1312</v>
      </c>
      <c r="F795" s="255" t="s">
        <v>1458</v>
      </c>
      <c r="G795" s="260" t="s">
        <v>283</v>
      </c>
      <c r="H795" s="256" t="s">
        <v>283</v>
      </c>
      <c r="I795" s="256" t="s">
        <v>20</v>
      </c>
      <c r="J795" s="256" t="s">
        <v>283</v>
      </c>
      <c r="K795" s="256" t="s">
        <v>20</v>
      </c>
      <c r="L795" s="256" t="s">
        <v>283</v>
      </c>
      <c r="M795" s="256" t="s">
        <v>283</v>
      </c>
      <c r="N795" s="256" t="s">
        <v>283</v>
      </c>
      <c r="O795" s="257" t="s">
        <v>20</v>
      </c>
      <c r="P795" s="257" t="s">
        <v>20</v>
      </c>
      <c r="Q795" s="257" t="s">
        <v>15</v>
      </c>
      <c r="R795" s="257" t="s">
        <v>15</v>
      </c>
      <c r="S795" s="257" t="s">
        <v>16</v>
      </c>
      <c r="T795" s="257" t="s">
        <v>330</v>
      </c>
      <c r="U795" s="257" t="s">
        <v>250</v>
      </c>
      <c r="V795" s="257" t="s">
        <v>283</v>
      </c>
      <c r="W795" s="258" t="s">
        <v>283</v>
      </c>
      <c r="X795" s="258" t="s">
        <v>283</v>
      </c>
      <c r="Y795" s="259" t="s">
        <v>283</v>
      </c>
    </row>
    <row r="796" spans="1:25">
      <c r="A796" s="253">
        <v>15</v>
      </c>
      <c r="B796" s="254" t="str">
        <f>VLOOKUP(Tabel10[[#This Row],[Code]],Ruimtegroepen[[Code]:[Ruimte omschrijving]],2,FALSE)</f>
        <v>Keuken/pantry</v>
      </c>
      <c r="C796" s="255" t="s">
        <v>948</v>
      </c>
      <c r="D796" s="254" t="s">
        <v>12</v>
      </c>
      <c r="E796" s="255" t="s">
        <v>100</v>
      </c>
      <c r="F796" s="255" t="s">
        <v>949</v>
      </c>
      <c r="G796" s="260" t="s">
        <v>283</v>
      </c>
      <c r="H796" s="256" t="s">
        <v>283</v>
      </c>
      <c r="I796" s="256" t="s">
        <v>283</v>
      </c>
      <c r="J796" s="256" t="s">
        <v>18</v>
      </c>
      <c r="K796" s="256" t="s">
        <v>283</v>
      </c>
      <c r="L796" s="256" t="s">
        <v>283</v>
      </c>
      <c r="M796" s="256" t="s">
        <v>283</v>
      </c>
      <c r="N796" s="256" t="s">
        <v>283</v>
      </c>
      <c r="O796" s="257" t="s">
        <v>18</v>
      </c>
      <c r="P796" s="257" t="s">
        <v>18</v>
      </c>
      <c r="Q796" s="257" t="s">
        <v>15</v>
      </c>
      <c r="R796" s="257" t="s">
        <v>15</v>
      </c>
      <c r="S796" s="257" t="s">
        <v>16</v>
      </c>
      <c r="T796" s="257" t="s">
        <v>330</v>
      </c>
      <c r="U796" s="257" t="s">
        <v>250</v>
      </c>
      <c r="V796" s="257" t="s">
        <v>283</v>
      </c>
      <c r="W796" s="258" t="s">
        <v>283</v>
      </c>
      <c r="X796" s="258" t="s">
        <v>283</v>
      </c>
      <c r="Y796" s="259" t="s">
        <v>283</v>
      </c>
    </row>
    <row r="797" spans="1:25">
      <c r="A797" s="253">
        <v>15</v>
      </c>
      <c r="B797" s="254" t="str">
        <f>VLOOKUP(Tabel10[[#This Row],[Code]],Ruimtegroepen[[Code]:[Ruimte omschrijving]],2,FALSE)</f>
        <v>Keuken/pantry</v>
      </c>
      <c r="C797" s="255" t="s">
        <v>948</v>
      </c>
      <c r="D797" s="254" t="s">
        <v>12</v>
      </c>
      <c r="E797" s="255" t="s">
        <v>99</v>
      </c>
      <c r="F797" s="255" t="s">
        <v>950</v>
      </c>
      <c r="G797" s="260" t="s">
        <v>283</v>
      </c>
      <c r="H797" s="256" t="s">
        <v>18</v>
      </c>
      <c r="I797" s="256" t="s">
        <v>283</v>
      </c>
      <c r="J797" s="256" t="s">
        <v>283</v>
      </c>
      <c r="K797" s="256" t="s">
        <v>283</v>
      </c>
      <c r="L797" s="256" t="s">
        <v>283</v>
      </c>
      <c r="M797" s="256" t="s">
        <v>283</v>
      </c>
      <c r="N797" s="256" t="s">
        <v>283</v>
      </c>
      <c r="O797" s="257" t="s">
        <v>18</v>
      </c>
      <c r="P797" s="257" t="s">
        <v>18</v>
      </c>
      <c r="Q797" s="257" t="s">
        <v>15</v>
      </c>
      <c r="R797" s="257" t="s">
        <v>15</v>
      </c>
      <c r="S797" s="257" t="s">
        <v>16</v>
      </c>
      <c r="T797" s="257" t="s">
        <v>330</v>
      </c>
      <c r="U797" s="257" t="s">
        <v>250</v>
      </c>
      <c r="V797" s="257" t="s">
        <v>283</v>
      </c>
      <c r="W797" s="258" t="s">
        <v>283</v>
      </c>
      <c r="X797" s="258" t="s">
        <v>283</v>
      </c>
      <c r="Y797" s="259" t="s">
        <v>283</v>
      </c>
    </row>
    <row r="798" spans="1:25">
      <c r="A798" s="253">
        <v>15</v>
      </c>
      <c r="B798" s="254" t="str">
        <f>VLOOKUP(Tabel10[[#This Row],[Code]],Ruimtegroepen[[Code]:[Ruimte omschrijving]],2,FALSE)</f>
        <v>Keuken/pantry</v>
      </c>
      <c r="C798" s="255" t="s">
        <v>948</v>
      </c>
      <c r="D798" s="254" t="s">
        <v>12</v>
      </c>
      <c r="E798" s="255" t="s">
        <v>101</v>
      </c>
      <c r="F798" s="255" t="s">
        <v>951</v>
      </c>
      <c r="G798" s="260" t="s">
        <v>283</v>
      </c>
      <c r="H798" s="256" t="s">
        <v>283</v>
      </c>
      <c r="I798" s="256" t="s">
        <v>18</v>
      </c>
      <c r="J798" s="256" t="s">
        <v>283</v>
      </c>
      <c r="K798" s="256" t="s">
        <v>18</v>
      </c>
      <c r="L798" s="256" t="s">
        <v>283</v>
      </c>
      <c r="M798" s="256" t="s">
        <v>283</v>
      </c>
      <c r="N798" s="256" t="s">
        <v>283</v>
      </c>
      <c r="O798" s="257" t="s">
        <v>18</v>
      </c>
      <c r="P798" s="257" t="s">
        <v>18</v>
      </c>
      <c r="Q798" s="257" t="s">
        <v>15</v>
      </c>
      <c r="R798" s="257" t="s">
        <v>15</v>
      </c>
      <c r="S798" s="257" t="s">
        <v>16</v>
      </c>
      <c r="T798" s="257" t="s">
        <v>330</v>
      </c>
      <c r="U798" s="257" t="s">
        <v>250</v>
      </c>
      <c r="V798" s="257" t="s">
        <v>283</v>
      </c>
      <c r="W798" s="258" t="s">
        <v>283</v>
      </c>
      <c r="X798" s="258" t="s">
        <v>283</v>
      </c>
      <c r="Y798" s="259" t="s">
        <v>283</v>
      </c>
    </row>
    <row r="799" spans="1:25">
      <c r="A799" s="253">
        <v>15</v>
      </c>
      <c r="B799" s="254" t="str">
        <f>VLOOKUP(Tabel10[[#This Row],[Code]],Ruimtegroepen[[Code]:[Ruimte omschrijving]],2,FALSE)</f>
        <v>Keuken/pantry</v>
      </c>
      <c r="C799" s="255" t="s">
        <v>948</v>
      </c>
      <c r="D799" s="254" t="s">
        <v>12</v>
      </c>
      <c r="E799" s="255" t="s">
        <v>102</v>
      </c>
      <c r="F799" s="255" t="s">
        <v>952</v>
      </c>
      <c r="G799" s="260" t="s">
        <v>283</v>
      </c>
      <c r="H799" s="256" t="s">
        <v>283</v>
      </c>
      <c r="I799" s="256" t="s">
        <v>18</v>
      </c>
      <c r="J799" s="256" t="s">
        <v>283</v>
      </c>
      <c r="K799" s="256" t="s">
        <v>18</v>
      </c>
      <c r="L799" s="256" t="s">
        <v>283</v>
      </c>
      <c r="M799" s="256" t="s">
        <v>283</v>
      </c>
      <c r="N799" s="256" t="s">
        <v>283</v>
      </c>
      <c r="O799" s="257" t="s">
        <v>18</v>
      </c>
      <c r="P799" s="257" t="s">
        <v>18</v>
      </c>
      <c r="Q799" s="257" t="s">
        <v>15</v>
      </c>
      <c r="R799" s="257" t="s">
        <v>15</v>
      </c>
      <c r="S799" s="257" t="s">
        <v>16</v>
      </c>
      <c r="T799" s="257" t="s">
        <v>330</v>
      </c>
      <c r="U799" s="257" t="s">
        <v>250</v>
      </c>
      <c r="V799" s="257" t="s">
        <v>283</v>
      </c>
      <c r="W799" s="258" t="s">
        <v>283</v>
      </c>
      <c r="X799" s="258" t="s">
        <v>283</v>
      </c>
      <c r="Y799" s="259" t="s">
        <v>283</v>
      </c>
    </row>
    <row r="800" spans="1:25">
      <c r="A800" s="253">
        <v>15</v>
      </c>
      <c r="B800" s="254" t="str">
        <f>VLOOKUP(Tabel10[[#This Row],[Code]],Ruimtegroepen[[Code]:[Ruimte omschrijving]],2,FALSE)</f>
        <v>Keuken/pantry</v>
      </c>
      <c r="C800" s="255" t="s">
        <v>948</v>
      </c>
      <c r="D800" s="254" t="s">
        <v>12</v>
      </c>
      <c r="E800" s="255" t="s">
        <v>99</v>
      </c>
      <c r="F800" s="255" t="s">
        <v>950</v>
      </c>
      <c r="G800" s="260" t="s">
        <v>283</v>
      </c>
      <c r="H800" s="256" t="s">
        <v>18</v>
      </c>
      <c r="I800" s="256" t="s">
        <v>283</v>
      </c>
      <c r="J800" s="256" t="s">
        <v>283</v>
      </c>
      <c r="K800" s="256" t="s">
        <v>283</v>
      </c>
      <c r="L800" s="256" t="s">
        <v>283</v>
      </c>
      <c r="M800" s="256" t="s">
        <v>283</v>
      </c>
      <c r="N800" s="256" t="s">
        <v>283</v>
      </c>
      <c r="O800" s="257" t="s">
        <v>18</v>
      </c>
      <c r="P800" s="257" t="s">
        <v>18</v>
      </c>
      <c r="Q800" s="257" t="s">
        <v>15</v>
      </c>
      <c r="R800" s="257" t="s">
        <v>15</v>
      </c>
      <c r="S800" s="257" t="s">
        <v>16</v>
      </c>
      <c r="T800" s="257" t="s">
        <v>330</v>
      </c>
      <c r="U800" s="257" t="s">
        <v>250</v>
      </c>
      <c r="V800" s="257" t="s">
        <v>283</v>
      </c>
      <c r="W800" s="258" t="s">
        <v>283</v>
      </c>
      <c r="X800" s="258" t="s">
        <v>283</v>
      </c>
      <c r="Y800" s="259" t="s">
        <v>283</v>
      </c>
    </row>
    <row r="801" spans="1:25">
      <c r="A801" s="253">
        <v>15</v>
      </c>
      <c r="B801" s="254" t="str">
        <f>VLOOKUP(Tabel10[[#This Row],[Code]],Ruimtegroepen[[Code]:[Ruimte omschrijving]],2,FALSE)</f>
        <v>Keuken/pantry</v>
      </c>
      <c r="C801" s="255" t="s">
        <v>948</v>
      </c>
      <c r="D801" s="254" t="s">
        <v>12</v>
      </c>
      <c r="E801" s="255" t="s">
        <v>1312</v>
      </c>
      <c r="F801" s="255" t="s">
        <v>1440</v>
      </c>
      <c r="G801" s="260" t="s">
        <v>283</v>
      </c>
      <c r="H801" s="256" t="s">
        <v>283</v>
      </c>
      <c r="I801" s="256" t="s">
        <v>18</v>
      </c>
      <c r="J801" s="256" t="s">
        <v>283</v>
      </c>
      <c r="K801" s="256" t="s">
        <v>18</v>
      </c>
      <c r="L801" s="256" t="s">
        <v>283</v>
      </c>
      <c r="M801" s="256" t="s">
        <v>283</v>
      </c>
      <c r="N801" s="256" t="s">
        <v>283</v>
      </c>
      <c r="O801" s="257" t="s">
        <v>18</v>
      </c>
      <c r="P801" s="257" t="s">
        <v>18</v>
      </c>
      <c r="Q801" s="257" t="s">
        <v>15</v>
      </c>
      <c r="R801" s="257" t="s">
        <v>15</v>
      </c>
      <c r="S801" s="257" t="s">
        <v>16</v>
      </c>
      <c r="T801" s="257" t="s">
        <v>330</v>
      </c>
      <c r="U801" s="257" t="s">
        <v>250</v>
      </c>
      <c r="V801" s="257" t="s">
        <v>283</v>
      </c>
      <c r="W801" s="258" t="s">
        <v>283</v>
      </c>
      <c r="X801" s="258" t="s">
        <v>283</v>
      </c>
      <c r="Y801" s="259" t="s">
        <v>283</v>
      </c>
    </row>
    <row r="802" spans="1:25">
      <c r="A802" s="253">
        <v>15</v>
      </c>
      <c r="B802" s="254" t="str">
        <f>VLOOKUP(Tabel10[[#This Row],[Code]],Ruimtegroepen[[Code]:[Ruimte omschrijving]],2,FALSE)</f>
        <v>Keuken/pantry</v>
      </c>
      <c r="C802" s="255" t="s">
        <v>953</v>
      </c>
      <c r="D802" s="254" t="s">
        <v>14</v>
      </c>
      <c r="E802" s="255" t="s">
        <v>100</v>
      </c>
      <c r="F802" s="255" t="s">
        <v>954</v>
      </c>
      <c r="G802" s="260" t="s">
        <v>283</v>
      </c>
      <c r="H802" s="256" t="s">
        <v>283</v>
      </c>
      <c r="I802" s="256" t="s">
        <v>283</v>
      </c>
      <c r="J802" s="256" t="s">
        <v>17</v>
      </c>
      <c r="K802" s="256" t="s">
        <v>283</v>
      </c>
      <c r="L802" s="256" t="s">
        <v>283</v>
      </c>
      <c r="M802" s="256" t="s">
        <v>283</v>
      </c>
      <c r="N802" s="256" t="s">
        <v>283</v>
      </c>
      <c r="O802" s="257" t="s">
        <v>17</v>
      </c>
      <c r="P802" s="257" t="s">
        <v>17</v>
      </c>
      <c r="Q802" s="257" t="s">
        <v>15</v>
      </c>
      <c r="R802" s="257" t="s">
        <v>15</v>
      </c>
      <c r="S802" s="257" t="s">
        <v>16</v>
      </c>
      <c r="T802" s="257" t="s">
        <v>330</v>
      </c>
      <c r="U802" s="257" t="s">
        <v>250</v>
      </c>
      <c r="V802" s="257" t="s">
        <v>283</v>
      </c>
      <c r="W802" s="258" t="s">
        <v>283</v>
      </c>
      <c r="X802" s="258" t="s">
        <v>283</v>
      </c>
      <c r="Y802" s="259" t="s">
        <v>283</v>
      </c>
    </row>
    <row r="803" spans="1:25">
      <c r="A803" s="253">
        <v>15</v>
      </c>
      <c r="B803" s="254" t="str">
        <f>VLOOKUP(Tabel10[[#This Row],[Code]],Ruimtegroepen[[Code]:[Ruimte omschrijving]],2,FALSE)</f>
        <v>Keuken/pantry</v>
      </c>
      <c r="C803" s="255" t="s">
        <v>953</v>
      </c>
      <c r="D803" s="254" t="s">
        <v>14</v>
      </c>
      <c r="E803" s="255" t="s">
        <v>99</v>
      </c>
      <c r="F803" s="255" t="s">
        <v>955</v>
      </c>
      <c r="G803" s="260" t="s">
        <v>283</v>
      </c>
      <c r="H803" s="256" t="s">
        <v>17</v>
      </c>
      <c r="I803" s="256" t="s">
        <v>283</v>
      </c>
      <c r="J803" s="256" t="s">
        <v>283</v>
      </c>
      <c r="K803" s="256" t="s">
        <v>283</v>
      </c>
      <c r="L803" s="256" t="s">
        <v>283</v>
      </c>
      <c r="M803" s="256" t="s">
        <v>283</v>
      </c>
      <c r="N803" s="256" t="s">
        <v>283</v>
      </c>
      <c r="O803" s="257" t="s">
        <v>17</v>
      </c>
      <c r="P803" s="257" t="s">
        <v>17</v>
      </c>
      <c r="Q803" s="257" t="s">
        <v>15</v>
      </c>
      <c r="R803" s="257" t="s">
        <v>15</v>
      </c>
      <c r="S803" s="257" t="s">
        <v>16</v>
      </c>
      <c r="T803" s="257" t="s">
        <v>330</v>
      </c>
      <c r="U803" s="257" t="s">
        <v>250</v>
      </c>
      <c r="V803" s="257" t="s">
        <v>283</v>
      </c>
      <c r="W803" s="258" t="s">
        <v>283</v>
      </c>
      <c r="X803" s="258" t="s">
        <v>283</v>
      </c>
      <c r="Y803" s="259" t="s">
        <v>283</v>
      </c>
    </row>
    <row r="804" spans="1:25">
      <c r="A804" s="253">
        <v>15</v>
      </c>
      <c r="B804" s="254" t="str">
        <f>VLOOKUP(Tabel10[[#This Row],[Code]],Ruimtegroepen[[Code]:[Ruimte omschrijving]],2,FALSE)</f>
        <v>Keuken/pantry</v>
      </c>
      <c r="C804" s="255" t="s">
        <v>953</v>
      </c>
      <c r="D804" s="254" t="s">
        <v>14</v>
      </c>
      <c r="E804" s="255" t="s">
        <v>101</v>
      </c>
      <c r="F804" s="255" t="s">
        <v>956</v>
      </c>
      <c r="G804" s="260" t="s">
        <v>283</v>
      </c>
      <c r="H804" s="256" t="s">
        <v>283</v>
      </c>
      <c r="I804" s="256" t="s">
        <v>17</v>
      </c>
      <c r="J804" s="256" t="s">
        <v>283</v>
      </c>
      <c r="K804" s="256" t="s">
        <v>17</v>
      </c>
      <c r="L804" s="256" t="s">
        <v>283</v>
      </c>
      <c r="M804" s="256" t="s">
        <v>283</v>
      </c>
      <c r="N804" s="256" t="s">
        <v>283</v>
      </c>
      <c r="O804" s="257" t="s">
        <v>17</v>
      </c>
      <c r="P804" s="257" t="s">
        <v>17</v>
      </c>
      <c r="Q804" s="257" t="s">
        <v>15</v>
      </c>
      <c r="R804" s="257" t="s">
        <v>15</v>
      </c>
      <c r="S804" s="257" t="s">
        <v>16</v>
      </c>
      <c r="T804" s="257" t="s">
        <v>330</v>
      </c>
      <c r="U804" s="257" t="s">
        <v>250</v>
      </c>
      <c r="V804" s="257" t="s">
        <v>283</v>
      </c>
      <c r="W804" s="258" t="s">
        <v>283</v>
      </c>
      <c r="X804" s="258" t="s">
        <v>283</v>
      </c>
      <c r="Y804" s="259" t="s">
        <v>283</v>
      </c>
    </row>
    <row r="805" spans="1:25">
      <c r="A805" s="253">
        <v>15</v>
      </c>
      <c r="B805" s="254" t="str">
        <f>VLOOKUP(Tabel10[[#This Row],[Code]],Ruimtegroepen[[Code]:[Ruimte omschrijving]],2,FALSE)</f>
        <v>Keuken/pantry</v>
      </c>
      <c r="C805" s="255" t="s">
        <v>953</v>
      </c>
      <c r="D805" s="254" t="s">
        <v>14</v>
      </c>
      <c r="E805" s="255" t="s">
        <v>102</v>
      </c>
      <c r="F805" s="255" t="s">
        <v>957</v>
      </c>
      <c r="G805" s="260" t="s">
        <v>283</v>
      </c>
      <c r="H805" s="256" t="s">
        <v>283</v>
      </c>
      <c r="I805" s="256" t="s">
        <v>17</v>
      </c>
      <c r="J805" s="256" t="s">
        <v>283</v>
      </c>
      <c r="K805" s="256" t="s">
        <v>17</v>
      </c>
      <c r="L805" s="256" t="s">
        <v>283</v>
      </c>
      <c r="M805" s="256" t="s">
        <v>283</v>
      </c>
      <c r="N805" s="256" t="s">
        <v>283</v>
      </c>
      <c r="O805" s="257" t="s">
        <v>17</v>
      </c>
      <c r="P805" s="257" t="s">
        <v>17</v>
      </c>
      <c r="Q805" s="257" t="s">
        <v>15</v>
      </c>
      <c r="R805" s="257" t="s">
        <v>15</v>
      </c>
      <c r="S805" s="257" t="s">
        <v>16</v>
      </c>
      <c r="T805" s="257" t="s">
        <v>330</v>
      </c>
      <c r="U805" s="257" t="s">
        <v>250</v>
      </c>
      <c r="V805" s="257" t="s">
        <v>283</v>
      </c>
      <c r="W805" s="258" t="s">
        <v>283</v>
      </c>
      <c r="X805" s="258" t="s">
        <v>283</v>
      </c>
      <c r="Y805" s="259" t="s">
        <v>283</v>
      </c>
    </row>
    <row r="806" spans="1:25">
      <c r="A806" s="253">
        <v>15</v>
      </c>
      <c r="B806" s="254" t="str">
        <f>VLOOKUP(Tabel10[[#This Row],[Code]],Ruimtegroepen[[Code]:[Ruimte omschrijving]],2,FALSE)</f>
        <v>Keuken/pantry</v>
      </c>
      <c r="C806" s="255" t="s">
        <v>953</v>
      </c>
      <c r="D806" s="254" t="s">
        <v>14</v>
      </c>
      <c r="E806" s="255" t="s">
        <v>99</v>
      </c>
      <c r="F806" s="255" t="s">
        <v>955</v>
      </c>
      <c r="G806" s="260" t="s">
        <v>283</v>
      </c>
      <c r="H806" s="256" t="s">
        <v>17</v>
      </c>
      <c r="I806" s="256" t="s">
        <v>283</v>
      </c>
      <c r="J806" s="256" t="s">
        <v>283</v>
      </c>
      <c r="K806" s="256" t="s">
        <v>283</v>
      </c>
      <c r="L806" s="256" t="s">
        <v>283</v>
      </c>
      <c r="M806" s="256" t="s">
        <v>283</v>
      </c>
      <c r="N806" s="256" t="s">
        <v>283</v>
      </c>
      <c r="O806" s="257" t="s">
        <v>17</v>
      </c>
      <c r="P806" s="257" t="s">
        <v>17</v>
      </c>
      <c r="Q806" s="257" t="s">
        <v>15</v>
      </c>
      <c r="R806" s="257" t="s">
        <v>15</v>
      </c>
      <c r="S806" s="257" t="s">
        <v>16</v>
      </c>
      <c r="T806" s="257" t="s">
        <v>330</v>
      </c>
      <c r="U806" s="257" t="s">
        <v>250</v>
      </c>
      <c r="V806" s="257" t="s">
        <v>283</v>
      </c>
      <c r="W806" s="258" t="s">
        <v>283</v>
      </c>
      <c r="X806" s="258" t="s">
        <v>283</v>
      </c>
      <c r="Y806" s="259" t="s">
        <v>283</v>
      </c>
    </row>
    <row r="807" spans="1:25">
      <c r="A807" s="253">
        <v>15</v>
      </c>
      <c r="B807" s="254" t="str">
        <f>VLOOKUP(Tabel10[[#This Row],[Code]],Ruimtegroepen[[Code]:[Ruimte omschrijving]],2,FALSE)</f>
        <v>Keuken/pantry</v>
      </c>
      <c r="C807" s="255" t="s">
        <v>953</v>
      </c>
      <c r="D807" s="254" t="s">
        <v>14</v>
      </c>
      <c r="E807" s="255" t="s">
        <v>1312</v>
      </c>
      <c r="F807" s="255" t="s">
        <v>1407</v>
      </c>
      <c r="G807" s="260" t="s">
        <v>283</v>
      </c>
      <c r="H807" s="256" t="s">
        <v>283</v>
      </c>
      <c r="I807" s="256" t="s">
        <v>17</v>
      </c>
      <c r="J807" s="256" t="s">
        <v>283</v>
      </c>
      <c r="K807" s="256" t="s">
        <v>17</v>
      </c>
      <c r="L807" s="256" t="s">
        <v>283</v>
      </c>
      <c r="M807" s="256" t="s">
        <v>283</v>
      </c>
      <c r="N807" s="256" t="s">
        <v>283</v>
      </c>
      <c r="O807" s="257" t="s">
        <v>17</v>
      </c>
      <c r="P807" s="257" t="s">
        <v>17</v>
      </c>
      <c r="Q807" s="257" t="s">
        <v>15</v>
      </c>
      <c r="R807" s="257" t="s">
        <v>15</v>
      </c>
      <c r="S807" s="257" t="s">
        <v>16</v>
      </c>
      <c r="T807" s="257" t="s">
        <v>330</v>
      </c>
      <c r="U807" s="257" t="s">
        <v>250</v>
      </c>
      <c r="V807" s="257" t="s">
        <v>283</v>
      </c>
      <c r="W807" s="258" t="s">
        <v>283</v>
      </c>
      <c r="X807" s="258" t="s">
        <v>283</v>
      </c>
      <c r="Y807" s="259" t="s">
        <v>283</v>
      </c>
    </row>
    <row r="808" spans="1:25">
      <c r="A808" s="253">
        <v>15</v>
      </c>
      <c r="B808" s="254" t="str">
        <f>VLOOKUP(Tabel10[[#This Row],[Code]],Ruimtegroepen[[Code]:[Ruimte omschrijving]],2,FALSE)</f>
        <v>Keuken/pantry</v>
      </c>
      <c r="C808" s="255" t="s">
        <v>958</v>
      </c>
      <c r="D808" s="254" t="s">
        <v>13</v>
      </c>
      <c r="E808" s="255" t="s">
        <v>100</v>
      </c>
      <c r="F808" s="255" t="s">
        <v>959</v>
      </c>
      <c r="G808" s="260" t="s">
        <v>283</v>
      </c>
      <c r="H808" s="256" t="s">
        <v>283</v>
      </c>
      <c r="I808" s="256" t="s">
        <v>283</v>
      </c>
      <c r="J808" s="256" t="s">
        <v>15</v>
      </c>
      <c r="K808" s="256" t="s">
        <v>283</v>
      </c>
      <c r="L808" s="256" t="s">
        <v>283</v>
      </c>
      <c r="M808" s="256" t="s">
        <v>283</v>
      </c>
      <c r="N808" s="256" t="s">
        <v>283</v>
      </c>
      <c r="O808" s="257" t="s">
        <v>15</v>
      </c>
      <c r="P808" s="257" t="s">
        <v>15</v>
      </c>
      <c r="Q808" s="257" t="s">
        <v>15</v>
      </c>
      <c r="R808" s="257" t="s">
        <v>15</v>
      </c>
      <c r="S808" s="257" t="s">
        <v>16</v>
      </c>
      <c r="T808" s="257" t="s">
        <v>330</v>
      </c>
      <c r="U808" s="257" t="s">
        <v>250</v>
      </c>
      <c r="V808" s="257" t="s">
        <v>283</v>
      </c>
      <c r="W808" s="258" t="s">
        <v>283</v>
      </c>
      <c r="X808" s="258" t="s">
        <v>283</v>
      </c>
      <c r="Y808" s="259" t="s">
        <v>283</v>
      </c>
    </row>
    <row r="809" spans="1:25">
      <c r="A809" s="253">
        <v>15</v>
      </c>
      <c r="B809" s="254" t="str">
        <f>VLOOKUP(Tabel10[[#This Row],[Code]],Ruimtegroepen[[Code]:[Ruimte omschrijving]],2,FALSE)</f>
        <v>Keuken/pantry</v>
      </c>
      <c r="C809" s="255" t="s">
        <v>958</v>
      </c>
      <c r="D809" s="254" t="s">
        <v>13</v>
      </c>
      <c r="E809" s="255" t="s">
        <v>99</v>
      </c>
      <c r="F809" s="255" t="s">
        <v>960</v>
      </c>
      <c r="G809" s="260" t="s">
        <v>283</v>
      </c>
      <c r="H809" s="256" t="s">
        <v>15</v>
      </c>
      <c r="I809" s="256" t="s">
        <v>283</v>
      </c>
      <c r="J809" s="256" t="s">
        <v>283</v>
      </c>
      <c r="K809" s="256" t="s">
        <v>283</v>
      </c>
      <c r="L809" s="256" t="s">
        <v>283</v>
      </c>
      <c r="M809" s="256" t="s">
        <v>283</v>
      </c>
      <c r="N809" s="256" t="s">
        <v>283</v>
      </c>
      <c r="O809" s="257" t="s">
        <v>15</v>
      </c>
      <c r="P809" s="257" t="s">
        <v>15</v>
      </c>
      <c r="Q809" s="257" t="s">
        <v>15</v>
      </c>
      <c r="R809" s="257" t="s">
        <v>15</v>
      </c>
      <c r="S809" s="257" t="s">
        <v>16</v>
      </c>
      <c r="T809" s="257" t="s">
        <v>330</v>
      </c>
      <c r="U809" s="257" t="s">
        <v>250</v>
      </c>
      <c r="V809" s="257" t="s">
        <v>283</v>
      </c>
      <c r="W809" s="258" t="s">
        <v>283</v>
      </c>
      <c r="X809" s="258" t="s">
        <v>283</v>
      </c>
      <c r="Y809" s="259" t="s">
        <v>283</v>
      </c>
    </row>
    <row r="810" spans="1:25">
      <c r="A810" s="253">
        <v>15</v>
      </c>
      <c r="B810" s="254" t="str">
        <f>VLOOKUP(Tabel10[[#This Row],[Code]],Ruimtegroepen[[Code]:[Ruimte omschrijving]],2,FALSE)</f>
        <v>Keuken/pantry</v>
      </c>
      <c r="C810" s="255" t="s">
        <v>958</v>
      </c>
      <c r="D810" s="254" t="s">
        <v>13</v>
      </c>
      <c r="E810" s="255" t="s">
        <v>101</v>
      </c>
      <c r="F810" s="255" t="s">
        <v>961</v>
      </c>
      <c r="G810" s="260" t="s">
        <v>283</v>
      </c>
      <c r="H810" s="256" t="s">
        <v>283</v>
      </c>
      <c r="I810" s="256" t="s">
        <v>15</v>
      </c>
      <c r="J810" s="256" t="s">
        <v>283</v>
      </c>
      <c r="K810" s="256" t="s">
        <v>15</v>
      </c>
      <c r="L810" s="256" t="s">
        <v>283</v>
      </c>
      <c r="M810" s="256" t="s">
        <v>283</v>
      </c>
      <c r="N810" s="256" t="s">
        <v>283</v>
      </c>
      <c r="O810" s="257" t="s">
        <v>15</v>
      </c>
      <c r="P810" s="257" t="s">
        <v>15</v>
      </c>
      <c r="Q810" s="257" t="s">
        <v>15</v>
      </c>
      <c r="R810" s="257" t="s">
        <v>15</v>
      </c>
      <c r="S810" s="257" t="s">
        <v>16</v>
      </c>
      <c r="T810" s="257" t="s">
        <v>330</v>
      </c>
      <c r="U810" s="257" t="s">
        <v>250</v>
      </c>
      <c r="V810" s="257" t="s">
        <v>283</v>
      </c>
      <c r="W810" s="258" t="s">
        <v>283</v>
      </c>
      <c r="X810" s="258" t="s">
        <v>283</v>
      </c>
      <c r="Y810" s="259" t="s">
        <v>283</v>
      </c>
    </row>
    <row r="811" spans="1:25">
      <c r="A811" s="253">
        <v>15</v>
      </c>
      <c r="B811" s="254" t="str">
        <f>VLOOKUP(Tabel10[[#This Row],[Code]],Ruimtegroepen[[Code]:[Ruimte omschrijving]],2,FALSE)</f>
        <v>Keuken/pantry</v>
      </c>
      <c r="C811" s="255" t="s">
        <v>958</v>
      </c>
      <c r="D811" s="254" t="s">
        <v>13</v>
      </c>
      <c r="E811" s="255" t="s">
        <v>102</v>
      </c>
      <c r="F811" s="255" t="s">
        <v>962</v>
      </c>
      <c r="G811" s="260" t="s">
        <v>283</v>
      </c>
      <c r="H811" s="256" t="s">
        <v>283</v>
      </c>
      <c r="I811" s="256" t="s">
        <v>15</v>
      </c>
      <c r="J811" s="256" t="s">
        <v>283</v>
      </c>
      <c r="K811" s="256" t="s">
        <v>15</v>
      </c>
      <c r="L811" s="256" t="s">
        <v>283</v>
      </c>
      <c r="M811" s="256" t="s">
        <v>283</v>
      </c>
      <c r="N811" s="256" t="s">
        <v>283</v>
      </c>
      <c r="O811" s="257" t="s">
        <v>15</v>
      </c>
      <c r="P811" s="257" t="s">
        <v>15</v>
      </c>
      <c r="Q811" s="257" t="s">
        <v>15</v>
      </c>
      <c r="R811" s="257" t="s">
        <v>15</v>
      </c>
      <c r="S811" s="257" t="s">
        <v>16</v>
      </c>
      <c r="T811" s="257" t="s">
        <v>330</v>
      </c>
      <c r="U811" s="257" t="s">
        <v>250</v>
      </c>
      <c r="V811" s="257" t="s">
        <v>283</v>
      </c>
      <c r="W811" s="258" t="s">
        <v>283</v>
      </c>
      <c r="X811" s="258" t="s">
        <v>283</v>
      </c>
      <c r="Y811" s="259" t="s">
        <v>283</v>
      </c>
    </row>
    <row r="812" spans="1:25">
      <c r="A812" s="253">
        <v>15</v>
      </c>
      <c r="B812" s="254" t="str">
        <f>VLOOKUP(Tabel10[[#This Row],[Code]],Ruimtegroepen[[Code]:[Ruimte omschrijving]],2,FALSE)</f>
        <v>Keuken/pantry</v>
      </c>
      <c r="C812" s="255" t="s">
        <v>958</v>
      </c>
      <c r="D812" s="254" t="s">
        <v>13</v>
      </c>
      <c r="E812" s="255" t="s">
        <v>99</v>
      </c>
      <c r="F812" s="255" t="s">
        <v>960</v>
      </c>
      <c r="G812" s="260" t="s">
        <v>283</v>
      </c>
      <c r="H812" s="256" t="s">
        <v>15</v>
      </c>
      <c r="I812" s="256" t="s">
        <v>283</v>
      </c>
      <c r="J812" s="256" t="s">
        <v>283</v>
      </c>
      <c r="K812" s="256" t="s">
        <v>283</v>
      </c>
      <c r="L812" s="256" t="s">
        <v>283</v>
      </c>
      <c r="M812" s="256" t="s">
        <v>283</v>
      </c>
      <c r="N812" s="256" t="s">
        <v>283</v>
      </c>
      <c r="O812" s="257" t="s">
        <v>15</v>
      </c>
      <c r="P812" s="257" t="s">
        <v>15</v>
      </c>
      <c r="Q812" s="257" t="s">
        <v>15</v>
      </c>
      <c r="R812" s="257" t="s">
        <v>15</v>
      </c>
      <c r="S812" s="257" t="s">
        <v>16</v>
      </c>
      <c r="T812" s="257" t="s">
        <v>330</v>
      </c>
      <c r="U812" s="257" t="s">
        <v>250</v>
      </c>
      <c r="V812" s="257" t="s">
        <v>283</v>
      </c>
      <c r="W812" s="258" t="s">
        <v>283</v>
      </c>
      <c r="X812" s="258" t="s">
        <v>283</v>
      </c>
      <c r="Y812" s="259" t="s">
        <v>283</v>
      </c>
    </row>
    <row r="813" spans="1:25">
      <c r="A813" s="253">
        <v>15</v>
      </c>
      <c r="B813" s="254" t="str">
        <f>VLOOKUP(Tabel10[[#This Row],[Code]],Ruimtegroepen[[Code]:[Ruimte omschrijving]],2,FALSE)</f>
        <v>Keuken/pantry</v>
      </c>
      <c r="C813" s="255" t="s">
        <v>958</v>
      </c>
      <c r="D813" s="254" t="s">
        <v>13</v>
      </c>
      <c r="E813" s="255" t="s">
        <v>1312</v>
      </c>
      <c r="F813" s="255" t="s">
        <v>1374</v>
      </c>
      <c r="G813" s="260" t="s">
        <v>283</v>
      </c>
      <c r="H813" s="256" t="s">
        <v>283</v>
      </c>
      <c r="I813" s="256" t="s">
        <v>15</v>
      </c>
      <c r="J813" s="256" t="s">
        <v>283</v>
      </c>
      <c r="K813" s="256" t="s">
        <v>15</v>
      </c>
      <c r="L813" s="256" t="s">
        <v>283</v>
      </c>
      <c r="M813" s="256" t="s">
        <v>283</v>
      </c>
      <c r="N813" s="256" t="s">
        <v>283</v>
      </c>
      <c r="O813" s="257" t="s">
        <v>15</v>
      </c>
      <c r="P813" s="257" t="s">
        <v>15</v>
      </c>
      <c r="Q813" s="257" t="s">
        <v>15</v>
      </c>
      <c r="R813" s="257" t="s">
        <v>15</v>
      </c>
      <c r="S813" s="257" t="s">
        <v>16</v>
      </c>
      <c r="T813" s="257" t="s">
        <v>330</v>
      </c>
      <c r="U813" s="257" t="s">
        <v>250</v>
      </c>
      <c r="V813" s="257" t="s">
        <v>283</v>
      </c>
      <c r="W813" s="258" t="s">
        <v>283</v>
      </c>
      <c r="X813" s="258" t="s">
        <v>283</v>
      </c>
      <c r="Y813" s="259" t="s">
        <v>283</v>
      </c>
    </row>
    <row r="814" spans="1:25">
      <c r="A814" s="253">
        <v>15</v>
      </c>
      <c r="B814" s="254" t="str">
        <f>VLOOKUP(Tabel10[[#This Row],[Code]],Ruimtegroepen[[Code]:[Ruimte omschrijving]],2,FALSE)</f>
        <v>Keuken/pantry</v>
      </c>
      <c r="C814" s="255" t="s">
        <v>963</v>
      </c>
      <c r="D814" s="254" t="s">
        <v>0</v>
      </c>
      <c r="E814" s="255" t="s">
        <v>100</v>
      </c>
      <c r="F814" s="255" t="s">
        <v>964</v>
      </c>
      <c r="G814" s="260" t="s">
        <v>283</v>
      </c>
      <c r="H814" s="256" t="s">
        <v>283</v>
      </c>
      <c r="I814" s="256" t="s">
        <v>283</v>
      </c>
      <c r="J814" s="256" t="s">
        <v>16</v>
      </c>
      <c r="K814" s="256" t="s">
        <v>283</v>
      </c>
      <c r="L814" s="256" t="s">
        <v>283</v>
      </c>
      <c r="M814" s="256" t="s">
        <v>283</v>
      </c>
      <c r="N814" s="256" t="s">
        <v>283</v>
      </c>
      <c r="O814" s="257" t="s">
        <v>16</v>
      </c>
      <c r="P814" s="257" t="s">
        <v>16</v>
      </c>
      <c r="Q814" s="257" t="s">
        <v>16</v>
      </c>
      <c r="R814" s="257" t="s">
        <v>16</v>
      </c>
      <c r="S814" s="257" t="s">
        <v>16</v>
      </c>
      <c r="T814" s="257" t="s">
        <v>330</v>
      </c>
      <c r="U814" s="257" t="s">
        <v>250</v>
      </c>
      <c r="V814" s="257" t="s">
        <v>283</v>
      </c>
      <c r="W814" s="258" t="s">
        <v>283</v>
      </c>
      <c r="X814" s="258" t="s">
        <v>283</v>
      </c>
      <c r="Y814" s="259" t="s">
        <v>283</v>
      </c>
    </row>
    <row r="815" spans="1:25">
      <c r="A815" s="253">
        <v>15</v>
      </c>
      <c r="B815" s="254" t="str">
        <f>VLOOKUP(Tabel10[[#This Row],[Code]],Ruimtegroepen[[Code]:[Ruimte omschrijving]],2,FALSE)</f>
        <v>Keuken/pantry</v>
      </c>
      <c r="C815" s="255" t="s">
        <v>963</v>
      </c>
      <c r="D815" s="254" t="s">
        <v>0</v>
      </c>
      <c r="E815" s="255" t="s">
        <v>99</v>
      </c>
      <c r="F815" s="255" t="s">
        <v>965</v>
      </c>
      <c r="G815" s="260" t="s">
        <v>283</v>
      </c>
      <c r="H815" s="256" t="s">
        <v>16</v>
      </c>
      <c r="I815" s="256" t="s">
        <v>283</v>
      </c>
      <c r="J815" s="256" t="s">
        <v>283</v>
      </c>
      <c r="K815" s="256" t="s">
        <v>283</v>
      </c>
      <c r="L815" s="256" t="s">
        <v>283</v>
      </c>
      <c r="M815" s="256" t="s">
        <v>283</v>
      </c>
      <c r="N815" s="256" t="s">
        <v>283</v>
      </c>
      <c r="O815" s="257" t="s">
        <v>16</v>
      </c>
      <c r="P815" s="257" t="s">
        <v>16</v>
      </c>
      <c r="Q815" s="257" t="s">
        <v>16</v>
      </c>
      <c r="R815" s="257" t="s">
        <v>16</v>
      </c>
      <c r="S815" s="257" t="s">
        <v>16</v>
      </c>
      <c r="T815" s="257" t="s">
        <v>330</v>
      </c>
      <c r="U815" s="257" t="s">
        <v>250</v>
      </c>
      <c r="V815" s="257" t="s">
        <v>283</v>
      </c>
      <c r="W815" s="258" t="s">
        <v>283</v>
      </c>
      <c r="X815" s="258" t="s">
        <v>283</v>
      </c>
      <c r="Y815" s="259" t="s">
        <v>283</v>
      </c>
    </row>
    <row r="816" spans="1:25">
      <c r="A816" s="253">
        <v>15</v>
      </c>
      <c r="B816" s="254" t="str">
        <f>VLOOKUP(Tabel10[[#This Row],[Code]],Ruimtegroepen[[Code]:[Ruimte omschrijving]],2,FALSE)</f>
        <v>Keuken/pantry</v>
      </c>
      <c r="C816" s="255" t="s">
        <v>963</v>
      </c>
      <c r="D816" s="254" t="s">
        <v>0</v>
      </c>
      <c r="E816" s="255" t="s">
        <v>101</v>
      </c>
      <c r="F816" s="255" t="s">
        <v>966</v>
      </c>
      <c r="G816" s="260" t="s">
        <v>283</v>
      </c>
      <c r="H816" s="256" t="s">
        <v>283</v>
      </c>
      <c r="I816" s="256" t="s">
        <v>16</v>
      </c>
      <c r="J816" s="256" t="s">
        <v>362</v>
      </c>
      <c r="K816" s="256" t="s">
        <v>16</v>
      </c>
      <c r="L816" s="256" t="s">
        <v>283</v>
      </c>
      <c r="M816" s="256" t="s">
        <v>283</v>
      </c>
      <c r="N816" s="256" t="s">
        <v>283</v>
      </c>
      <c r="O816" s="257" t="s">
        <v>16</v>
      </c>
      <c r="P816" s="257" t="s">
        <v>16</v>
      </c>
      <c r="Q816" s="257" t="s">
        <v>16</v>
      </c>
      <c r="R816" s="257" t="s">
        <v>16</v>
      </c>
      <c r="S816" s="257" t="s">
        <v>16</v>
      </c>
      <c r="T816" s="257" t="s">
        <v>330</v>
      </c>
      <c r="U816" s="257" t="s">
        <v>250</v>
      </c>
      <c r="V816" s="257" t="s">
        <v>283</v>
      </c>
      <c r="W816" s="258" t="s">
        <v>283</v>
      </c>
      <c r="X816" s="258" t="s">
        <v>283</v>
      </c>
      <c r="Y816" s="259" t="s">
        <v>283</v>
      </c>
    </row>
    <row r="817" spans="1:25">
      <c r="A817" s="253">
        <v>15</v>
      </c>
      <c r="B817" s="254" t="str">
        <f>VLOOKUP(Tabel10[[#This Row],[Code]],Ruimtegroepen[[Code]:[Ruimte omschrijving]],2,FALSE)</f>
        <v>Keuken/pantry</v>
      </c>
      <c r="C817" s="255" t="s">
        <v>963</v>
      </c>
      <c r="D817" s="254" t="s">
        <v>0</v>
      </c>
      <c r="E817" s="255" t="s">
        <v>102</v>
      </c>
      <c r="F817" s="255" t="s">
        <v>967</v>
      </c>
      <c r="G817" s="260" t="s">
        <v>283</v>
      </c>
      <c r="H817" s="256" t="s">
        <v>283</v>
      </c>
      <c r="I817" s="256" t="s">
        <v>16</v>
      </c>
      <c r="J817" s="256" t="s">
        <v>283</v>
      </c>
      <c r="K817" s="256" t="s">
        <v>16</v>
      </c>
      <c r="L817" s="256" t="s">
        <v>283</v>
      </c>
      <c r="M817" s="256" t="s">
        <v>283</v>
      </c>
      <c r="N817" s="256" t="s">
        <v>283</v>
      </c>
      <c r="O817" s="257" t="s">
        <v>16</v>
      </c>
      <c r="P817" s="257" t="s">
        <v>16</v>
      </c>
      <c r="Q817" s="257" t="s">
        <v>16</v>
      </c>
      <c r="R817" s="257" t="s">
        <v>16</v>
      </c>
      <c r="S817" s="257" t="s">
        <v>16</v>
      </c>
      <c r="T817" s="257" t="s">
        <v>330</v>
      </c>
      <c r="U817" s="257" t="s">
        <v>250</v>
      </c>
      <c r="V817" s="257" t="s">
        <v>283</v>
      </c>
      <c r="W817" s="258" t="s">
        <v>283</v>
      </c>
      <c r="X817" s="258" t="s">
        <v>283</v>
      </c>
      <c r="Y817" s="259" t="s">
        <v>283</v>
      </c>
    </row>
    <row r="818" spans="1:25">
      <c r="A818" s="253">
        <v>15</v>
      </c>
      <c r="B818" s="254" t="str">
        <f>VLOOKUP(Tabel10[[#This Row],[Code]],Ruimtegroepen[[Code]:[Ruimte omschrijving]],2,FALSE)</f>
        <v>Keuken/pantry</v>
      </c>
      <c r="C818" s="255" t="s">
        <v>963</v>
      </c>
      <c r="D818" s="254" t="s">
        <v>0</v>
      </c>
      <c r="E818" s="255" t="s">
        <v>99</v>
      </c>
      <c r="F818" s="255" t="s">
        <v>965</v>
      </c>
      <c r="G818" s="260" t="s">
        <v>283</v>
      </c>
      <c r="H818" s="256" t="s">
        <v>16</v>
      </c>
      <c r="I818" s="256" t="s">
        <v>283</v>
      </c>
      <c r="J818" s="256" t="s">
        <v>283</v>
      </c>
      <c r="K818" s="256" t="s">
        <v>283</v>
      </c>
      <c r="L818" s="256" t="s">
        <v>283</v>
      </c>
      <c r="M818" s="256" t="s">
        <v>283</v>
      </c>
      <c r="N818" s="256" t="s">
        <v>283</v>
      </c>
      <c r="O818" s="257" t="s">
        <v>16</v>
      </c>
      <c r="P818" s="257" t="s">
        <v>16</v>
      </c>
      <c r="Q818" s="257" t="s">
        <v>16</v>
      </c>
      <c r="R818" s="257" t="s">
        <v>16</v>
      </c>
      <c r="S818" s="257" t="s">
        <v>16</v>
      </c>
      <c r="T818" s="257" t="s">
        <v>330</v>
      </c>
      <c r="U818" s="257" t="s">
        <v>250</v>
      </c>
      <c r="V818" s="257" t="s">
        <v>283</v>
      </c>
      <c r="W818" s="258" t="s">
        <v>283</v>
      </c>
      <c r="X818" s="258" t="s">
        <v>283</v>
      </c>
      <c r="Y818" s="259" t="s">
        <v>283</v>
      </c>
    </row>
    <row r="819" spans="1:25">
      <c r="A819" s="253">
        <v>15</v>
      </c>
      <c r="B819" s="254" t="str">
        <f>VLOOKUP(Tabel10[[#This Row],[Code]],Ruimtegroepen[[Code]:[Ruimte omschrijving]],2,FALSE)</f>
        <v>Keuken/pantry</v>
      </c>
      <c r="C819" s="255" t="s">
        <v>963</v>
      </c>
      <c r="D819" s="254" t="s">
        <v>0</v>
      </c>
      <c r="E819" s="255" t="s">
        <v>1312</v>
      </c>
      <c r="F819" s="255" t="s">
        <v>1358</v>
      </c>
      <c r="G819" s="260" t="s">
        <v>283</v>
      </c>
      <c r="H819" s="256" t="s">
        <v>283</v>
      </c>
      <c r="I819" s="256" t="s">
        <v>16</v>
      </c>
      <c r="J819" s="256" t="s">
        <v>283</v>
      </c>
      <c r="K819" s="256" t="s">
        <v>16</v>
      </c>
      <c r="L819" s="256" t="s">
        <v>283</v>
      </c>
      <c r="M819" s="256" t="s">
        <v>283</v>
      </c>
      <c r="N819" s="256" t="s">
        <v>283</v>
      </c>
      <c r="O819" s="257" t="s">
        <v>16</v>
      </c>
      <c r="P819" s="257" t="s">
        <v>16</v>
      </c>
      <c r="Q819" s="257" t="s">
        <v>16</v>
      </c>
      <c r="R819" s="257" t="s">
        <v>16</v>
      </c>
      <c r="S819" s="257" t="s">
        <v>16</v>
      </c>
      <c r="T819" s="257" t="s">
        <v>330</v>
      </c>
      <c r="U819" s="257" t="s">
        <v>250</v>
      </c>
      <c r="V819" s="257" t="s">
        <v>283</v>
      </c>
      <c r="W819" s="258" t="s">
        <v>283</v>
      </c>
      <c r="X819" s="258" t="s">
        <v>283</v>
      </c>
      <c r="Y819" s="259" t="s">
        <v>283</v>
      </c>
    </row>
    <row r="820" spans="1:25">
      <c r="A820" s="253">
        <v>15</v>
      </c>
      <c r="B820" s="254" t="str">
        <f>VLOOKUP(Tabel10[[#This Row],[Code]],Ruimtegroepen[[Code]:[Ruimte omschrijving]],2,FALSE)</f>
        <v>Keuken/pantry</v>
      </c>
      <c r="C820" s="255" t="s">
        <v>968</v>
      </c>
      <c r="D820" s="254" t="s">
        <v>27</v>
      </c>
      <c r="E820" s="255" t="s">
        <v>100</v>
      </c>
      <c r="F820" s="255" t="s">
        <v>969</v>
      </c>
      <c r="G820" s="260" t="s">
        <v>283</v>
      </c>
      <c r="H820" s="256" t="s">
        <v>283</v>
      </c>
      <c r="I820" s="256" t="s">
        <v>15</v>
      </c>
      <c r="J820" s="256" t="s">
        <v>283</v>
      </c>
      <c r="K820" s="256" t="s">
        <v>283</v>
      </c>
      <c r="L820" s="256" t="s">
        <v>283</v>
      </c>
      <c r="M820" s="256" t="s">
        <v>283</v>
      </c>
      <c r="N820" s="256" t="s">
        <v>283</v>
      </c>
      <c r="O820" s="257" t="s">
        <v>15</v>
      </c>
      <c r="P820" s="257" t="s">
        <v>15</v>
      </c>
      <c r="Q820" s="257" t="s">
        <v>15</v>
      </c>
      <c r="R820" s="257" t="s">
        <v>283</v>
      </c>
      <c r="S820" s="257" t="s">
        <v>283</v>
      </c>
      <c r="T820" s="257" t="s">
        <v>283</v>
      </c>
      <c r="U820" s="257" t="s">
        <v>283</v>
      </c>
      <c r="V820" s="257" t="s">
        <v>283</v>
      </c>
      <c r="W820" s="258" t="s">
        <v>283</v>
      </c>
      <c r="X820" s="258" t="s">
        <v>283</v>
      </c>
      <c r="Y820" s="259" t="s">
        <v>283</v>
      </c>
    </row>
    <row r="821" spans="1:25">
      <c r="A821" s="253">
        <v>15</v>
      </c>
      <c r="B821" s="254" t="str">
        <f>VLOOKUP(Tabel10[[#This Row],[Code]],Ruimtegroepen[[Code]:[Ruimte omschrijving]],2,FALSE)</f>
        <v>Keuken/pantry</v>
      </c>
      <c r="C821" s="255" t="s">
        <v>968</v>
      </c>
      <c r="D821" s="254" t="s">
        <v>27</v>
      </c>
      <c r="E821" s="255" t="s">
        <v>99</v>
      </c>
      <c r="F821" s="255" t="s">
        <v>970</v>
      </c>
      <c r="G821" s="260" t="s">
        <v>283</v>
      </c>
      <c r="H821" s="256" t="s">
        <v>15</v>
      </c>
      <c r="I821" s="256" t="s">
        <v>283</v>
      </c>
      <c r="J821" s="256" t="s">
        <v>283</v>
      </c>
      <c r="K821" s="256" t="s">
        <v>283</v>
      </c>
      <c r="L821" s="256" t="s">
        <v>283</v>
      </c>
      <c r="M821" s="256" t="s">
        <v>283</v>
      </c>
      <c r="N821" s="256" t="s">
        <v>283</v>
      </c>
      <c r="O821" s="257" t="s">
        <v>15</v>
      </c>
      <c r="P821" s="257" t="s">
        <v>15</v>
      </c>
      <c r="Q821" s="257" t="s">
        <v>15</v>
      </c>
      <c r="R821" s="257" t="s">
        <v>283</v>
      </c>
      <c r="S821" s="257" t="s">
        <v>283</v>
      </c>
      <c r="T821" s="257" t="s">
        <v>283</v>
      </c>
      <c r="U821" s="257" t="s">
        <v>283</v>
      </c>
      <c r="V821" s="257" t="s">
        <v>283</v>
      </c>
      <c r="W821" s="258" t="s">
        <v>283</v>
      </c>
      <c r="X821" s="258" t="s">
        <v>283</v>
      </c>
      <c r="Y821" s="259" t="s">
        <v>283</v>
      </c>
    </row>
    <row r="822" spans="1:25">
      <c r="A822" s="253">
        <v>15</v>
      </c>
      <c r="B822" s="254" t="str">
        <f>VLOOKUP(Tabel10[[#This Row],[Code]],Ruimtegroepen[[Code]:[Ruimte omschrijving]],2,FALSE)</f>
        <v>Keuken/pantry</v>
      </c>
      <c r="C822" s="255" t="s">
        <v>968</v>
      </c>
      <c r="D822" s="254" t="s">
        <v>27</v>
      </c>
      <c r="E822" s="255" t="s">
        <v>101</v>
      </c>
      <c r="F822" s="255" t="s">
        <v>971</v>
      </c>
      <c r="G822" s="260" t="s">
        <v>283</v>
      </c>
      <c r="H822" s="256" t="s">
        <v>283</v>
      </c>
      <c r="I822" s="256" t="s">
        <v>15</v>
      </c>
      <c r="J822" s="256" t="s">
        <v>283</v>
      </c>
      <c r="K822" s="256" t="s">
        <v>283</v>
      </c>
      <c r="L822" s="256" t="s">
        <v>283</v>
      </c>
      <c r="M822" s="256" t="s">
        <v>283</v>
      </c>
      <c r="N822" s="256" t="s">
        <v>283</v>
      </c>
      <c r="O822" s="257" t="s">
        <v>15</v>
      </c>
      <c r="P822" s="257" t="s">
        <v>15</v>
      </c>
      <c r="Q822" s="257" t="s">
        <v>15</v>
      </c>
      <c r="R822" s="257" t="s">
        <v>283</v>
      </c>
      <c r="S822" s="257" t="s">
        <v>283</v>
      </c>
      <c r="T822" s="257" t="s">
        <v>283</v>
      </c>
      <c r="U822" s="257" t="s">
        <v>283</v>
      </c>
      <c r="V822" s="257" t="s">
        <v>283</v>
      </c>
      <c r="W822" s="258" t="s">
        <v>283</v>
      </c>
      <c r="X822" s="258" t="s">
        <v>283</v>
      </c>
      <c r="Y822" s="259" t="s">
        <v>283</v>
      </c>
    </row>
    <row r="823" spans="1:25">
      <c r="A823" s="253">
        <v>15</v>
      </c>
      <c r="B823" s="254" t="str">
        <f>VLOOKUP(Tabel10[[#This Row],[Code]],Ruimtegroepen[[Code]:[Ruimte omschrijving]],2,FALSE)</f>
        <v>Keuken/pantry</v>
      </c>
      <c r="C823" s="255" t="s">
        <v>968</v>
      </c>
      <c r="D823" s="254" t="s">
        <v>27</v>
      </c>
      <c r="E823" s="255" t="s">
        <v>102</v>
      </c>
      <c r="F823" s="255" t="s">
        <v>972</v>
      </c>
      <c r="G823" s="260" t="s">
        <v>283</v>
      </c>
      <c r="H823" s="256" t="s">
        <v>283</v>
      </c>
      <c r="I823" s="256" t="s">
        <v>15</v>
      </c>
      <c r="J823" s="256" t="s">
        <v>283</v>
      </c>
      <c r="K823" s="256" t="s">
        <v>283</v>
      </c>
      <c r="L823" s="256" t="s">
        <v>283</v>
      </c>
      <c r="M823" s="256" t="s">
        <v>283</v>
      </c>
      <c r="N823" s="256" t="s">
        <v>283</v>
      </c>
      <c r="O823" s="257" t="s">
        <v>15</v>
      </c>
      <c r="P823" s="257" t="s">
        <v>15</v>
      </c>
      <c r="Q823" s="257" t="s">
        <v>15</v>
      </c>
      <c r="R823" s="257" t="s">
        <v>283</v>
      </c>
      <c r="S823" s="257" t="s">
        <v>283</v>
      </c>
      <c r="T823" s="257" t="s">
        <v>283</v>
      </c>
      <c r="U823" s="257" t="s">
        <v>283</v>
      </c>
      <c r="V823" s="257" t="s">
        <v>283</v>
      </c>
      <c r="W823" s="258" t="s">
        <v>283</v>
      </c>
      <c r="X823" s="258" t="s">
        <v>283</v>
      </c>
      <c r="Y823" s="259" t="s">
        <v>283</v>
      </c>
    </row>
    <row r="824" spans="1:25">
      <c r="A824" s="253">
        <v>15</v>
      </c>
      <c r="B824" s="254" t="str">
        <f>VLOOKUP(Tabel10[[#This Row],[Code]],Ruimtegroepen[[Code]:[Ruimte omschrijving]],2,FALSE)</f>
        <v>Keuken/pantry</v>
      </c>
      <c r="C824" s="255" t="s">
        <v>968</v>
      </c>
      <c r="D824" s="254" t="s">
        <v>27</v>
      </c>
      <c r="E824" s="255" t="s">
        <v>99</v>
      </c>
      <c r="F824" s="255" t="s">
        <v>970</v>
      </c>
      <c r="G824" s="260" t="s">
        <v>283</v>
      </c>
      <c r="H824" s="256" t="s">
        <v>15</v>
      </c>
      <c r="I824" s="256" t="s">
        <v>283</v>
      </c>
      <c r="J824" s="256" t="s">
        <v>283</v>
      </c>
      <c r="K824" s="256" t="s">
        <v>283</v>
      </c>
      <c r="L824" s="256" t="s">
        <v>283</v>
      </c>
      <c r="M824" s="256" t="s">
        <v>283</v>
      </c>
      <c r="N824" s="256" t="s">
        <v>283</v>
      </c>
      <c r="O824" s="257" t="s">
        <v>15</v>
      </c>
      <c r="P824" s="257" t="s">
        <v>15</v>
      </c>
      <c r="Q824" s="257" t="s">
        <v>15</v>
      </c>
      <c r="R824" s="257" t="s">
        <v>283</v>
      </c>
      <c r="S824" s="257" t="s">
        <v>283</v>
      </c>
      <c r="T824" s="257" t="s">
        <v>283</v>
      </c>
      <c r="U824" s="257" t="s">
        <v>283</v>
      </c>
      <c r="V824" s="257" t="s">
        <v>283</v>
      </c>
      <c r="W824" s="258" t="s">
        <v>283</v>
      </c>
      <c r="X824" s="258" t="s">
        <v>283</v>
      </c>
      <c r="Y824" s="259" t="s">
        <v>283</v>
      </c>
    </row>
    <row r="825" spans="1:25">
      <c r="A825" s="253">
        <v>15</v>
      </c>
      <c r="B825" s="254" t="str">
        <f>VLOOKUP(Tabel10[[#This Row],[Code]],Ruimtegroepen[[Code]:[Ruimte omschrijving]],2,FALSE)</f>
        <v>Keuken/pantry</v>
      </c>
      <c r="C825" s="255" t="s">
        <v>968</v>
      </c>
      <c r="D825" s="254" t="s">
        <v>27</v>
      </c>
      <c r="E825" s="255" t="s">
        <v>1312</v>
      </c>
      <c r="F825" s="255" t="s">
        <v>1391</v>
      </c>
      <c r="G825" s="260" t="s">
        <v>283</v>
      </c>
      <c r="H825" s="256" t="s">
        <v>283</v>
      </c>
      <c r="I825" s="256" t="s">
        <v>15</v>
      </c>
      <c r="J825" s="256" t="s">
        <v>283</v>
      </c>
      <c r="K825" s="256" t="s">
        <v>283</v>
      </c>
      <c r="L825" s="256" t="s">
        <v>283</v>
      </c>
      <c r="M825" s="256" t="s">
        <v>283</v>
      </c>
      <c r="N825" s="256" t="s">
        <v>283</v>
      </c>
      <c r="O825" s="257" t="s">
        <v>15</v>
      </c>
      <c r="P825" s="257" t="s">
        <v>15</v>
      </c>
      <c r="Q825" s="257" t="s">
        <v>15</v>
      </c>
      <c r="R825" s="257" t="s">
        <v>283</v>
      </c>
      <c r="S825" s="257" t="s">
        <v>283</v>
      </c>
      <c r="T825" s="257" t="s">
        <v>283</v>
      </c>
      <c r="U825" s="257" t="s">
        <v>283</v>
      </c>
      <c r="V825" s="257" t="s">
        <v>283</v>
      </c>
      <c r="W825" s="258" t="s">
        <v>283</v>
      </c>
      <c r="X825" s="258" t="s">
        <v>283</v>
      </c>
      <c r="Y825" s="259" t="s">
        <v>283</v>
      </c>
    </row>
    <row r="826" spans="1:25">
      <c r="A826" s="253">
        <v>15</v>
      </c>
      <c r="B826" s="254" t="str">
        <f>VLOOKUP(Tabel10[[#This Row],[Code]],Ruimtegroepen[[Code]:[Ruimte omschrijving]],2,FALSE)</f>
        <v>Keuken/pantry</v>
      </c>
      <c r="C826" s="255" t="s">
        <v>973</v>
      </c>
      <c r="D826" s="254" t="s">
        <v>28</v>
      </c>
      <c r="E826" s="255" t="s">
        <v>100</v>
      </c>
      <c r="F826" s="255" t="s">
        <v>974</v>
      </c>
      <c r="G826" s="260" t="s">
        <v>283</v>
      </c>
      <c r="H826" s="256" t="s">
        <v>283</v>
      </c>
      <c r="I826" s="256" t="s">
        <v>17</v>
      </c>
      <c r="J826" s="256" t="s">
        <v>283</v>
      </c>
      <c r="K826" s="256" t="s">
        <v>283</v>
      </c>
      <c r="L826" s="256" t="s">
        <v>283</v>
      </c>
      <c r="M826" s="256" t="s">
        <v>283</v>
      </c>
      <c r="N826" s="256" t="s">
        <v>283</v>
      </c>
      <c r="O826" s="257" t="s">
        <v>17</v>
      </c>
      <c r="P826" s="257" t="s">
        <v>17</v>
      </c>
      <c r="Q826" s="257" t="s">
        <v>15</v>
      </c>
      <c r="R826" s="257" t="s">
        <v>283</v>
      </c>
      <c r="S826" s="257" t="s">
        <v>283</v>
      </c>
      <c r="T826" s="257" t="s">
        <v>283</v>
      </c>
      <c r="U826" s="257" t="s">
        <v>283</v>
      </c>
      <c r="V826" s="257" t="s">
        <v>283</v>
      </c>
      <c r="W826" s="258" t="s">
        <v>283</v>
      </c>
      <c r="X826" s="258" t="s">
        <v>283</v>
      </c>
      <c r="Y826" s="259" t="s">
        <v>283</v>
      </c>
    </row>
    <row r="827" spans="1:25">
      <c r="A827" s="253">
        <v>15</v>
      </c>
      <c r="B827" s="254" t="str">
        <f>VLOOKUP(Tabel10[[#This Row],[Code]],Ruimtegroepen[[Code]:[Ruimte omschrijving]],2,FALSE)</f>
        <v>Keuken/pantry</v>
      </c>
      <c r="C827" s="255" t="s">
        <v>973</v>
      </c>
      <c r="D827" s="254" t="s">
        <v>28</v>
      </c>
      <c r="E827" s="255" t="s">
        <v>99</v>
      </c>
      <c r="F827" s="255" t="s">
        <v>975</v>
      </c>
      <c r="G827" s="260" t="s">
        <v>283</v>
      </c>
      <c r="H827" s="256" t="s">
        <v>17</v>
      </c>
      <c r="I827" s="256" t="s">
        <v>283</v>
      </c>
      <c r="J827" s="256" t="s">
        <v>283</v>
      </c>
      <c r="K827" s="256" t="s">
        <v>283</v>
      </c>
      <c r="L827" s="256" t="s">
        <v>283</v>
      </c>
      <c r="M827" s="256" t="s">
        <v>283</v>
      </c>
      <c r="N827" s="256" t="s">
        <v>283</v>
      </c>
      <c r="O827" s="257" t="s">
        <v>17</v>
      </c>
      <c r="P827" s="257" t="s">
        <v>17</v>
      </c>
      <c r="Q827" s="257" t="s">
        <v>15</v>
      </c>
      <c r="R827" s="257" t="s">
        <v>283</v>
      </c>
      <c r="S827" s="257" t="s">
        <v>283</v>
      </c>
      <c r="T827" s="257" t="s">
        <v>283</v>
      </c>
      <c r="U827" s="257" t="s">
        <v>283</v>
      </c>
      <c r="V827" s="257" t="s">
        <v>283</v>
      </c>
      <c r="W827" s="258" t="s">
        <v>283</v>
      </c>
      <c r="X827" s="258" t="s">
        <v>283</v>
      </c>
      <c r="Y827" s="259" t="s">
        <v>283</v>
      </c>
    </row>
    <row r="828" spans="1:25">
      <c r="A828" s="253">
        <v>15</v>
      </c>
      <c r="B828" s="254" t="str">
        <f>VLOOKUP(Tabel10[[#This Row],[Code]],Ruimtegroepen[[Code]:[Ruimte omschrijving]],2,FALSE)</f>
        <v>Keuken/pantry</v>
      </c>
      <c r="C828" s="255" t="s">
        <v>973</v>
      </c>
      <c r="D828" s="254" t="s">
        <v>28</v>
      </c>
      <c r="E828" s="255" t="s">
        <v>101</v>
      </c>
      <c r="F828" s="255" t="s">
        <v>976</v>
      </c>
      <c r="G828" s="260" t="s">
        <v>283</v>
      </c>
      <c r="H828" s="256" t="s">
        <v>283</v>
      </c>
      <c r="I828" s="256" t="s">
        <v>17</v>
      </c>
      <c r="J828" s="256" t="s">
        <v>283</v>
      </c>
      <c r="K828" s="256" t="s">
        <v>283</v>
      </c>
      <c r="L828" s="256" t="s">
        <v>283</v>
      </c>
      <c r="M828" s="256" t="s">
        <v>283</v>
      </c>
      <c r="N828" s="256" t="s">
        <v>283</v>
      </c>
      <c r="O828" s="257" t="s">
        <v>17</v>
      </c>
      <c r="P828" s="257" t="s">
        <v>17</v>
      </c>
      <c r="Q828" s="257" t="s">
        <v>15</v>
      </c>
      <c r="R828" s="257" t="s">
        <v>283</v>
      </c>
      <c r="S828" s="257" t="s">
        <v>283</v>
      </c>
      <c r="T828" s="257" t="s">
        <v>283</v>
      </c>
      <c r="U828" s="257" t="s">
        <v>283</v>
      </c>
      <c r="V828" s="257" t="s">
        <v>283</v>
      </c>
      <c r="W828" s="258" t="s">
        <v>283</v>
      </c>
      <c r="X828" s="258" t="s">
        <v>283</v>
      </c>
      <c r="Y828" s="259" t="s">
        <v>283</v>
      </c>
    </row>
    <row r="829" spans="1:25">
      <c r="A829" s="253">
        <v>15</v>
      </c>
      <c r="B829" s="254" t="str">
        <f>VLOOKUP(Tabel10[[#This Row],[Code]],Ruimtegroepen[[Code]:[Ruimte omschrijving]],2,FALSE)</f>
        <v>Keuken/pantry</v>
      </c>
      <c r="C829" s="255" t="s">
        <v>973</v>
      </c>
      <c r="D829" s="254" t="s">
        <v>28</v>
      </c>
      <c r="E829" s="255" t="s">
        <v>102</v>
      </c>
      <c r="F829" s="255" t="s">
        <v>977</v>
      </c>
      <c r="G829" s="260" t="s">
        <v>283</v>
      </c>
      <c r="H829" s="256" t="s">
        <v>283</v>
      </c>
      <c r="I829" s="256" t="s">
        <v>17</v>
      </c>
      <c r="J829" s="256" t="s">
        <v>283</v>
      </c>
      <c r="K829" s="256" t="s">
        <v>283</v>
      </c>
      <c r="L829" s="256" t="s">
        <v>283</v>
      </c>
      <c r="M829" s="256" t="s">
        <v>283</v>
      </c>
      <c r="N829" s="256" t="s">
        <v>283</v>
      </c>
      <c r="O829" s="257" t="s">
        <v>17</v>
      </c>
      <c r="P829" s="257" t="s">
        <v>17</v>
      </c>
      <c r="Q829" s="257" t="s">
        <v>15</v>
      </c>
      <c r="R829" s="257" t="s">
        <v>283</v>
      </c>
      <c r="S829" s="257" t="s">
        <v>283</v>
      </c>
      <c r="T829" s="257" t="s">
        <v>283</v>
      </c>
      <c r="U829" s="257" t="s">
        <v>283</v>
      </c>
      <c r="V829" s="257" t="s">
        <v>283</v>
      </c>
      <c r="W829" s="258" t="s">
        <v>283</v>
      </c>
      <c r="X829" s="258" t="s">
        <v>283</v>
      </c>
      <c r="Y829" s="259" t="s">
        <v>283</v>
      </c>
    </row>
    <row r="830" spans="1:25">
      <c r="A830" s="253">
        <v>15</v>
      </c>
      <c r="B830" s="254" t="str">
        <f>VLOOKUP(Tabel10[[#This Row],[Code]],Ruimtegroepen[[Code]:[Ruimte omschrijving]],2,FALSE)</f>
        <v>Keuken/pantry</v>
      </c>
      <c r="C830" s="255" t="s">
        <v>973</v>
      </c>
      <c r="D830" s="254" t="s">
        <v>28</v>
      </c>
      <c r="E830" s="255" t="s">
        <v>99</v>
      </c>
      <c r="F830" s="255" t="s">
        <v>975</v>
      </c>
      <c r="G830" s="260" t="s">
        <v>283</v>
      </c>
      <c r="H830" s="256" t="s">
        <v>17</v>
      </c>
      <c r="I830" s="256" t="s">
        <v>283</v>
      </c>
      <c r="J830" s="256" t="s">
        <v>283</v>
      </c>
      <c r="K830" s="256" t="s">
        <v>283</v>
      </c>
      <c r="L830" s="256" t="s">
        <v>283</v>
      </c>
      <c r="M830" s="256" t="s">
        <v>283</v>
      </c>
      <c r="N830" s="256" t="s">
        <v>283</v>
      </c>
      <c r="O830" s="257" t="s">
        <v>17</v>
      </c>
      <c r="P830" s="257" t="s">
        <v>17</v>
      </c>
      <c r="Q830" s="257" t="s">
        <v>15</v>
      </c>
      <c r="R830" s="257" t="s">
        <v>283</v>
      </c>
      <c r="S830" s="257" t="s">
        <v>283</v>
      </c>
      <c r="T830" s="257" t="s">
        <v>283</v>
      </c>
      <c r="U830" s="257" t="s">
        <v>283</v>
      </c>
      <c r="V830" s="257" t="s">
        <v>283</v>
      </c>
      <c r="W830" s="258" t="s">
        <v>283</v>
      </c>
      <c r="X830" s="258" t="s">
        <v>283</v>
      </c>
      <c r="Y830" s="259" t="s">
        <v>283</v>
      </c>
    </row>
    <row r="831" spans="1:25">
      <c r="A831" s="253">
        <v>15</v>
      </c>
      <c r="B831" s="254" t="str">
        <f>VLOOKUP(Tabel10[[#This Row],[Code]],Ruimtegroepen[[Code]:[Ruimte omschrijving]],2,FALSE)</f>
        <v>Keuken/pantry</v>
      </c>
      <c r="C831" s="255" t="s">
        <v>973</v>
      </c>
      <c r="D831" s="254" t="s">
        <v>28</v>
      </c>
      <c r="E831" s="255" t="s">
        <v>1312</v>
      </c>
      <c r="F831" s="255" t="s">
        <v>1424</v>
      </c>
      <c r="G831" s="260" t="s">
        <v>283</v>
      </c>
      <c r="H831" s="256" t="s">
        <v>283</v>
      </c>
      <c r="I831" s="256" t="s">
        <v>17</v>
      </c>
      <c r="J831" s="256" t="s">
        <v>283</v>
      </c>
      <c r="K831" s="256" t="s">
        <v>283</v>
      </c>
      <c r="L831" s="256" t="s">
        <v>283</v>
      </c>
      <c r="M831" s="256" t="s">
        <v>283</v>
      </c>
      <c r="N831" s="256" t="s">
        <v>283</v>
      </c>
      <c r="O831" s="257" t="s">
        <v>17</v>
      </c>
      <c r="P831" s="257" t="s">
        <v>17</v>
      </c>
      <c r="Q831" s="257" t="s">
        <v>15</v>
      </c>
      <c r="R831" s="257" t="s">
        <v>283</v>
      </c>
      <c r="S831" s="257" t="s">
        <v>283</v>
      </c>
      <c r="T831" s="257" t="s">
        <v>283</v>
      </c>
      <c r="U831" s="257" t="s">
        <v>283</v>
      </c>
      <c r="V831" s="257" t="s">
        <v>283</v>
      </c>
      <c r="W831" s="258" t="s">
        <v>283</v>
      </c>
      <c r="X831" s="258" t="s">
        <v>283</v>
      </c>
      <c r="Y831" s="259" t="s">
        <v>283</v>
      </c>
    </row>
    <row r="832" spans="1:25">
      <c r="A832" s="253">
        <v>16</v>
      </c>
      <c r="B832" s="254" t="str">
        <f>VLOOKUP(Tabel10[[#This Row],[Code]],Ruimtegroepen[[Code]:[Ruimte omschrijving]],2,FALSE)</f>
        <v>Leslokalen</v>
      </c>
      <c r="C832" s="255" t="s">
        <v>978</v>
      </c>
      <c r="D832" s="254" t="s">
        <v>29</v>
      </c>
      <c r="E832" s="255" t="s">
        <v>100</v>
      </c>
      <c r="F832" s="255" t="s">
        <v>979</v>
      </c>
      <c r="G832" s="260" t="s">
        <v>283</v>
      </c>
      <c r="H832" s="256" t="s">
        <v>283</v>
      </c>
      <c r="I832" s="256" t="s">
        <v>20</v>
      </c>
      <c r="J832" s="256" t="s">
        <v>15</v>
      </c>
      <c r="K832" s="256" t="s">
        <v>283</v>
      </c>
      <c r="L832" s="256" t="s">
        <v>283</v>
      </c>
      <c r="M832" s="256" t="s">
        <v>283</v>
      </c>
      <c r="N832" s="256" t="s">
        <v>2</v>
      </c>
      <c r="O832" s="257" t="s">
        <v>2</v>
      </c>
      <c r="P832" s="257" t="s">
        <v>2</v>
      </c>
      <c r="Q832" s="257" t="s">
        <v>15</v>
      </c>
      <c r="R832" s="257" t="s">
        <v>15</v>
      </c>
      <c r="S832" s="257" t="s">
        <v>16</v>
      </c>
      <c r="T832" s="257" t="s">
        <v>330</v>
      </c>
      <c r="U832" s="257" t="s">
        <v>250</v>
      </c>
      <c r="V832" s="257" t="s">
        <v>2</v>
      </c>
      <c r="W832" s="258" t="s">
        <v>283</v>
      </c>
      <c r="X832" s="258" t="s">
        <v>283</v>
      </c>
      <c r="Y832" s="259" t="s">
        <v>283</v>
      </c>
    </row>
    <row r="833" spans="1:25">
      <c r="A833" s="253">
        <v>16</v>
      </c>
      <c r="B833" s="254" t="str">
        <f>VLOOKUP(Tabel10[[#This Row],[Code]],Ruimtegroepen[[Code]:[Ruimte omschrijving]],2,FALSE)</f>
        <v>Leslokalen</v>
      </c>
      <c r="C833" s="255" t="s">
        <v>978</v>
      </c>
      <c r="D833" s="254" t="s">
        <v>29</v>
      </c>
      <c r="E833" s="255" t="s">
        <v>99</v>
      </c>
      <c r="F833" s="255" t="s">
        <v>980</v>
      </c>
      <c r="G833" s="256" t="s">
        <v>18</v>
      </c>
      <c r="H833" s="256" t="s">
        <v>17</v>
      </c>
      <c r="I833" s="256" t="s">
        <v>283</v>
      </c>
      <c r="J833" s="256" t="s">
        <v>283</v>
      </c>
      <c r="K833" s="256" t="s">
        <v>283</v>
      </c>
      <c r="L833" s="256" t="s">
        <v>283</v>
      </c>
      <c r="M833" s="256" t="s">
        <v>283</v>
      </c>
      <c r="N833" s="256" t="s">
        <v>2</v>
      </c>
      <c r="O833" s="257" t="s">
        <v>2</v>
      </c>
      <c r="P833" s="257" t="s">
        <v>2</v>
      </c>
      <c r="Q833" s="257" t="s">
        <v>15</v>
      </c>
      <c r="R833" s="257" t="s">
        <v>15</v>
      </c>
      <c r="S833" s="257" t="s">
        <v>16</v>
      </c>
      <c r="T833" s="257" t="s">
        <v>330</v>
      </c>
      <c r="U833" s="257" t="s">
        <v>250</v>
      </c>
      <c r="V833" s="257" t="s">
        <v>2</v>
      </c>
      <c r="W833" s="258" t="s">
        <v>283</v>
      </c>
      <c r="X833" s="258" t="s">
        <v>283</v>
      </c>
      <c r="Y833" s="259" t="s">
        <v>283</v>
      </c>
    </row>
    <row r="834" spans="1:25">
      <c r="A834" s="253">
        <v>16</v>
      </c>
      <c r="B834" s="254" t="str">
        <f>VLOOKUP(Tabel10[[#This Row],[Code]],Ruimtegroepen[[Code]:[Ruimte omschrijving]],2,FALSE)</f>
        <v>Leslokalen</v>
      </c>
      <c r="C834" s="255" t="s">
        <v>978</v>
      </c>
      <c r="D834" s="254" t="s">
        <v>29</v>
      </c>
      <c r="E834" s="255" t="s">
        <v>101</v>
      </c>
      <c r="F834" s="255" t="s">
        <v>981</v>
      </c>
      <c r="G834" s="260" t="s">
        <v>283</v>
      </c>
      <c r="H834" s="256" t="s">
        <v>283</v>
      </c>
      <c r="I834" s="256" t="s">
        <v>20</v>
      </c>
      <c r="J834" s="256" t="s">
        <v>15</v>
      </c>
      <c r="K834" s="256" t="s">
        <v>16</v>
      </c>
      <c r="L834" s="256" t="s">
        <v>283</v>
      </c>
      <c r="M834" s="256" t="s">
        <v>283</v>
      </c>
      <c r="N834" s="256" t="s">
        <v>2</v>
      </c>
      <c r="O834" s="257" t="s">
        <v>2</v>
      </c>
      <c r="P834" s="257" t="s">
        <v>2</v>
      </c>
      <c r="Q834" s="257" t="s">
        <v>15</v>
      </c>
      <c r="R834" s="257" t="s">
        <v>15</v>
      </c>
      <c r="S834" s="257" t="s">
        <v>16</v>
      </c>
      <c r="T834" s="257" t="s">
        <v>330</v>
      </c>
      <c r="U834" s="257" t="s">
        <v>250</v>
      </c>
      <c r="V834" s="257" t="s">
        <v>2</v>
      </c>
      <c r="W834" s="258" t="s">
        <v>283</v>
      </c>
      <c r="X834" s="258" t="s">
        <v>283</v>
      </c>
      <c r="Y834" s="259" t="s">
        <v>283</v>
      </c>
    </row>
    <row r="835" spans="1:25">
      <c r="A835" s="253">
        <v>16</v>
      </c>
      <c r="B835" s="254" t="str">
        <f>VLOOKUP(Tabel10[[#This Row],[Code]],Ruimtegroepen[[Code]:[Ruimte omschrijving]],2,FALSE)</f>
        <v>Leslokalen</v>
      </c>
      <c r="C835" s="255" t="s">
        <v>978</v>
      </c>
      <c r="D835" s="254" t="s">
        <v>29</v>
      </c>
      <c r="E835" s="255" t="s">
        <v>102</v>
      </c>
      <c r="F835" s="255" t="s">
        <v>982</v>
      </c>
      <c r="G835" s="260" t="s">
        <v>283</v>
      </c>
      <c r="H835" s="256" t="s">
        <v>283</v>
      </c>
      <c r="I835" s="256" t="s">
        <v>20</v>
      </c>
      <c r="J835" s="256" t="s">
        <v>15</v>
      </c>
      <c r="K835" s="256" t="s">
        <v>16</v>
      </c>
      <c r="L835" s="256" t="s">
        <v>283</v>
      </c>
      <c r="M835" s="256" t="s">
        <v>283</v>
      </c>
      <c r="N835" s="256" t="s">
        <v>2</v>
      </c>
      <c r="O835" s="257" t="s">
        <v>2</v>
      </c>
      <c r="P835" s="257" t="s">
        <v>2</v>
      </c>
      <c r="Q835" s="257" t="s">
        <v>15</v>
      </c>
      <c r="R835" s="257" t="s">
        <v>15</v>
      </c>
      <c r="S835" s="257" t="s">
        <v>16</v>
      </c>
      <c r="T835" s="257" t="s">
        <v>330</v>
      </c>
      <c r="U835" s="257" t="s">
        <v>250</v>
      </c>
      <c r="V835" s="257" t="s">
        <v>2</v>
      </c>
      <c r="W835" s="258" t="s">
        <v>283</v>
      </c>
      <c r="X835" s="258" t="s">
        <v>283</v>
      </c>
      <c r="Y835" s="259" t="s">
        <v>283</v>
      </c>
    </row>
    <row r="836" spans="1:25">
      <c r="A836" s="253">
        <v>16</v>
      </c>
      <c r="B836" s="254" t="str">
        <f>VLOOKUP(Tabel10[[#This Row],[Code]],Ruimtegroepen[[Code]:[Ruimte omschrijving]],2,FALSE)</f>
        <v>Leslokalen</v>
      </c>
      <c r="C836" s="255" t="s">
        <v>978</v>
      </c>
      <c r="D836" s="254" t="s">
        <v>29</v>
      </c>
      <c r="E836" s="255" t="s">
        <v>99</v>
      </c>
      <c r="F836" s="255" t="s">
        <v>980</v>
      </c>
      <c r="G836" s="256" t="s">
        <v>18</v>
      </c>
      <c r="H836" s="256" t="s">
        <v>17</v>
      </c>
      <c r="I836" s="256" t="s">
        <v>283</v>
      </c>
      <c r="J836" s="256" t="s">
        <v>283</v>
      </c>
      <c r="K836" s="256" t="s">
        <v>283</v>
      </c>
      <c r="L836" s="256" t="s">
        <v>283</v>
      </c>
      <c r="M836" s="256" t="s">
        <v>283</v>
      </c>
      <c r="N836" s="256" t="s">
        <v>283</v>
      </c>
      <c r="O836" s="257" t="s">
        <v>283</v>
      </c>
      <c r="P836" s="257" t="s">
        <v>283</v>
      </c>
      <c r="Q836" s="257" t="s">
        <v>283</v>
      </c>
      <c r="R836" s="257" t="s">
        <v>283</v>
      </c>
      <c r="S836" s="257" t="s">
        <v>283</v>
      </c>
      <c r="T836" s="257" t="s">
        <v>283</v>
      </c>
      <c r="U836" s="257" t="s">
        <v>283</v>
      </c>
      <c r="V836" s="257" t="s">
        <v>283</v>
      </c>
      <c r="W836" s="258" t="s">
        <v>283</v>
      </c>
      <c r="X836" s="258" t="s">
        <v>283</v>
      </c>
      <c r="Y836" s="259" t="s">
        <v>283</v>
      </c>
    </row>
    <row r="837" spans="1:25">
      <c r="A837" s="253">
        <v>16</v>
      </c>
      <c r="B837" s="254" t="str">
        <f>VLOOKUP(Tabel10[[#This Row],[Code]],Ruimtegroepen[[Code]:[Ruimte omschrijving]],2,FALSE)</f>
        <v>Leslokalen</v>
      </c>
      <c r="C837" s="255" t="s">
        <v>978</v>
      </c>
      <c r="D837" s="254" t="s">
        <v>29</v>
      </c>
      <c r="E837" s="255" t="s">
        <v>1312</v>
      </c>
      <c r="F837" s="255" t="s">
        <v>1492</v>
      </c>
      <c r="G837" s="260" t="s">
        <v>283</v>
      </c>
      <c r="H837" s="256" t="s">
        <v>283</v>
      </c>
      <c r="I837" s="256" t="s">
        <v>20</v>
      </c>
      <c r="J837" s="256" t="s">
        <v>15</v>
      </c>
      <c r="K837" s="256" t="s">
        <v>16</v>
      </c>
      <c r="L837" s="256" t="s">
        <v>283</v>
      </c>
      <c r="M837" s="256" t="s">
        <v>283</v>
      </c>
      <c r="N837" s="256" t="s">
        <v>2</v>
      </c>
      <c r="O837" s="257" t="s">
        <v>2</v>
      </c>
      <c r="P837" s="257" t="s">
        <v>2</v>
      </c>
      <c r="Q837" s="257" t="s">
        <v>15</v>
      </c>
      <c r="R837" s="257" t="s">
        <v>15</v>
      </c>
      <c r="S837" s="257" t="s">
        <v>16</v>
      </c>
      <c r="T837" s="257" t="s">
        <v>330</v>
      </c>
      <c r="U837" s="257" t="s">
        <v>250</v>
      </c>
      <c r="V837" s="257" t="s">
        <v>2</v>
      </c>
      <c r="W837" s="258" t="s">
        <v>283</v>
      </c>
      <c r="X837" s="258" t="s">
        <v>283</v>
      </c>
      <c r="Y837" s="259" t="s">
        <v>283</v>
      </c>
    </row>
    <row r="838" spans="1:25">
      <c r="A838" s="253">
        <v>16</v>
      </c>
      <c r="B838" s="254" t="str">
        <f>VLOOKUP(Tabel10[[#This Row],[Code]],Ruimtegroepen[[Code]:[Ruimte omschrijving]],2,FALSE)</f>
        <v>Leslokalen</v>
      </c>
      <c r="C838" s="255" t="s">
        <v>983</v>
      </c>
      <c r="D838" s="254" t="s">
        <v>1</v>
      </c>
      <c r="E838" s="255" t="s">
        <v>100</v>
      </c>
      <c r="F838" s="255" t="s">
        <v>984</v>
      </c>
      <c r="G838" s="260" t="s">
        <v>283</v>
      </c>
      <c r="H838" s="256" t="s">
        <v>283</v>
      </c>
      <c r="I838" s="256" t="s">
        <v>20</v>
      </c>
      <c r="J838" s="256" t="s">
        <v>15</v>
      </c>
      <c r="K838" s="256" t="s">
        <v>283</v>
      </c>
      <c r="L838" s="256" t="s">
        <v>283</v>
      </c>
      <c r="M838" s="256" t="s">
        <v>283</v>
      </c>
      <c r="N838" s="256" t="s">
        <v>283</v>
      </c>
      <c r="O838" s="257" t="s">
        <v>2</v>
      </c>
      <c r="P838" s="257" t="s">
        <v>2</v>
      </c>
      <c r="Q838" s="257" t="s">
        <v>15</v>
      </c>
      <c r="R838" s="257" t="s">
        <v>15</v>
      </c>
      <c r="S838" s="257" t="s">
        <v>16</v>
      </c>
      <c r="T838" s="257" t="s">
        <v>330</v>
      </c>
      <c r="U838" s="257" t="s">
        <v>250</v>
      </c>
      <c r="V838" s="257" t="s">
        <v>283</v>
      </c>
      <c r="W838" s="258" t="s">
        <v>283</v>
      </c>
      <c r="X838" s="258" t="s">
        <v>283</v>
      </c>
      <c r="Y838" s="259" t="s">
        <v>283</v>
      </c>
    </row>
    <row r="839" spans="1:25">
      <c r="A839" s="253">
        <v>16</v>
      </c>
      <c r="B839" s="254" t="str">
        <f>VLOOKUP(Tabel10[[#This Row],[Code]],Ruimtegroepen[[Code]:[Ruimte omschrijving]],2,FALSE)</f>
        <v>Leslokalen</v>
      </c>
      <c r="C839" s="255" t="s">
        <v>983</v>
      </c>
      <c r="D839" s="254" t="s">
        <v>1</v>
      </c>
      <c r="E839" s="255" t="s">
        <v>99</v>
      </c>
      <c r="F839" s="255" t="s">
        <v>985</v>
      </c>
      <c r="G839" s="256" t="s">
        <v>18</v>
      </c>
      <c r="H839" s="256" t="s">
        <v>17</v>
      </c>
      <c r="I839" s="256" t="s">
        <v>283</v>
      </c>
      <c r="J839" s="256" t="s">
        <v>283</v>
      </c>
      <c r="K839" s="256" t="s">
        <v>283</v>
      </c>
      <c r="L839" s="256" t="s">
        <v>283</v>
      </c>
      <c r="M839" s="256" t="s">
        <v>283</v>
      </c>
      <c r="N839" s="256" t="s">
        <v>283</v>
      </c>
      <c r="O839" s="257" t="s">
        <v>2</v>
      </c>
      <c r="P839" s="257" t="s">
        <v>2</v>
      </c>
      <c r="Q839" s="257" t="s">
        <v>15</v>
      </c>
      <c r="R839" s="257" t="s">
        <v>15</v>
      </c>
      <c r="S839" s="257" t="s">
        <v>16</v>
      </c>
      <c r="T839" s="257" t="s">
        <v>330</v>
      </c>
      <c r="U839" s="257" t="s">
        <v>250</v>
      </c>
      <c r="V839" s="257" t="s">
        <v>283</v>
      </c>
      <c r="W839" s="258" t="s">
        <v>283</v>
      </c>
      <c r="X839" s="258" t="s">
        <v>283</v>
      </c>
      <c r="Y839" s="259" t="s">
        <v>283</v>
      </c>
    </row>
    <row r="840" spans="1:25">
      <c r="A840" s="253">
        <v>16</v>
      </c>
      <c r="B840" s="254" t="str">
        <f>VLOOKUP(Tabel10[[#This Row],[Code]],Ruimtegroepen[[Code]:[Ruimte omschrijving]],2,FALSE)</f>
        <v>Leslokalen</v>
      </c>
      <c r="C840" s="255" t="s">
        <v>983</v>
      </c>
      <c r="D840" s="254" t="s">
        <v>1</v>
      </c>
      <c r="E840" s="255" t="s">
        <v>101</v>
      </c>
      <c r="F840" s="255" t="s">
        <v>986</v>
      </c>
      <c r="G840" s="260" t="s">
        <v>283</v>
      </c>
      <c r="H840" s="256" t="s">
        <v>283</v>
      </c>
      <c r="I840" s="256" t="s">
        <v>20</v>
      </c>
      <c r="J840" s="256" t="s">
        <v>15</v>
      </c>
      <c r="K840" s="256" t="s">
        <v>16</v>
      </c>
      <c r="L840" s="256" t="s">
        <v>283</v>
      </c>
      <c r="M840" s="256" t="s">
        <v>283</v>
      </c>
      <c r="N840" s="256" t="s">
        <v>283</v>
      </c>
      <c r="O840" s="257" t="s">
        <v>2</v>
      </c>
      <c r="P840" s="257" t="s">
        <v>2</v>
      </c>
      <c r="Q840" s="257" t="s">
        <v>15</v>
      </c>
      <c r="R840" s="257" t="s">
        <v>15</v>
      </c>
      <c r="S840" s="257" t="s">
        <v>16</v>
      </c>
      <c r="T840" s="257" t="s">
        <v>330</v>
      </c>
      <c r="U840" s="257" t="s">
        <v>250</v>
      </c>
      <c r="V840" s="257" t="s">
        <v>283</v>
      </c>
      <c r="W840" s="258" t="s">
        <v>283</v>
      </c>
      <c r="X840" s="258" t="s">
        <v>283</v>
      </c>
      <c r="Y840" s="259" t="s">
        <v>283</v>
      </c>
    </row>
    <row r="841" spans="1:25">
      <c r="A841" s="253">
        <v>16</v>
      </c>
      <c r="B841" s="254" t="str">
        <f>VLOOKUP(Tabel10[[#This Row],[Code]],Ruimtegroepen[[Code]:[Ruimte omschrijving]],2,FALSE)</f>
        <v>Leslokalen</v>
      </c>
      <c r="C841" s="255" t="s">
        <v>983</v>
      </c>
      <c r="D841" s="254" t="s">
        <v>1</v>
      </c>
      <c r="E841" s="255" t="s">
        <v>102</v>
      </c>
      <c r="F841" s="255" t="s">
        <v>987</v>
      </c>
      <c r="G841" s="260" t="s">
        <v>283</v>
      </c>
      <c r="H841" s="256" t="s">
        <v>283</v>
      </c>
      <c r="I841" s="256" t="s">
        <v>20</v>
      </c>
      <c r="J841" s="256" t="s">
        <v>15</v>
      </c>
      <c r="K841" s="256" t="s">
        <v>16</v>
      </c>
      <c r="L841" s="256" t="s">
        <v>283</v>
      </c>
      <c r="M841" s="256" t="s">
        <v>283</v>
      </c>
      <c r="N841" s="256" t="s">
        <v>283</v>
      </c>
      <c r="O841" s="257" t="s">
        <v>2</v>
      </c>
      <c r="P841" s="257" t="s">
        <v>2</v>
      </c>
      <c r="Q841" s="257" t="s">
        <v>15</v>
      </c>
      <c r="R841" s="257" t="s">
        <v>15</v>
      </c>
      <c r="S841" s="257" t="s">
        <v>16</v>
      </c>
      <c r="T841" s="257" t="s">
        <v>330</v>
      </c>
      <c r="U841" s="257" t="s">
        <v>250</v>
      </c>
      <c r="V841" s="257" t="s">
        <v>283</v>
      </c>
      <c r="W841" s="258" t="s">
        <v>283</v>
      </c>
      <c r="X841" s="258" t="s">
        <v>283</v>
      </c>
      <c r="Y841" s="259" t="s">
        <v>283</v>
      </c>
    </row>
    <row r="842" spans="1:25">
      <c r="A842" s="253">
        <v>16</v>
      </c>
      <c r="B842" s="254" t="str">
        <f>VLOOKUP(Tabel10[[#This Row],[Code]],Ruimtegroepen[[Code]:[Ruimte omschrijving]],2,FALSE)</f>
        <v>Leslokalen</v>
      </c>
      <c r="C842" s="255" t="s">
        <v>983</v>
      </c>
      <c r="D842" s="254" t="s">
        <v>1</v>
      </c>
      <c r="E842" s="255" t="s">
        <v>99</v>
      </c>
      <c r="F842" s="255" t="s">
        <v>985</v>
      </c>
      <c r="G842" s="256" t="s">
        <v>18</v>
      </c>
      <c r="H842" s="256" t="s">
        <v>17</v>
      </c>
      <c r="I842" s="256" t="s">
        <v>283</v>
      </c>
      <c r="J842" s="256" t="s">
        <v>283</v>
      </c>
      <c r="K842" s="256" t="s">
        <v>283</v>
      </c>
      <c r="L842" s="256" t="s">
        <v>283</v>
      </c>
      <c r="M842" s="256" t="s">
        <v>283</v>
      </c>
      <c r="N842" s="256" t="s">
        <v>283</v>
      </c>
      <c r="O842" s="257" t="s">
        <v>2</v>
      </c>
      <c r="P842" s="257" t="s">
        <v>2</v>
      </c>
      <c r="Q842" s="257" t="s">
        <v>15</v>
      </c>
      <c r="R842" s="257" t="s">
        <v>15</v>
      </c>
      <c r="S842" s="257" t="s">
        <v>16</v>
      </c>
      <c r="T842" s="257" t="s">
        <v>330</v>
      </c>
      <c r="U842" s="257" t="s">
        <v>250</v>
      </c>
      <c r="V842" s="257" t="s">
        <v>283</v>
      </c>
      <c r="W842" s="258" t="s">
        <v>283</v>
      </c>
      <c r="X842" s="258" t="s">
        <v>283</v>
      </c>
      <c r="Y842" s="259" t="s">
        <v>283</v>
      </c>
    </row>
    <row r="843" spans="1:25">
      <c r="A843" s="253">
        <v>16</v>
      </c>
      <c r="B843" s="254" t="str">
        <f>VLOOKUP(Tabel10[[#This Row],[Code]],Ruimtegroepen[[Code]:[Ruimte omschrijving]],2,FALSE)</f>
        <v>Leslokalen</v>
      </c>
      <c r="C843" s="255" t="s">
        <v>983</v>
      </c>
      <c r="D843" s="254" t="s">
        <v>1</v>
      </c>
      <c r="E843" s="255" t="s">
        <v>1312</v>
      </c>
      <c r="F843" s="255" t="s">
        <v>1476</v>
      </c>
      <c r="G843" s="260" t="s">
        <v>283</v>
      </c>
      <c r="H843" s="256" t="s">
        <v>283</v>
      </c>
      <c r="I843" s="256" t="s">
        <v>20</v>
      </c>
      <c r="J843" s="256" t="s">
        <v>15</v>
      </c>
      <c r="K843" s="256" t="s">
        <v>16</v>
      </c>
      <c r="L843" s="256" t="s">
        <v>283</v>
      </c>
      <c r="M843" s="256" t="s">
        <v>283</v>
      </c>
      <c r="N843" s="256" t="s">
        <v>283</v>
      </c>
      <c r="O843" s="257" t="s">
        <v>2</v>
      </c>
      <c r="P843" s="257" t="s">
        <v>2</v>
      </c>
      <c r="Q843" s="257" t="s">
        <v>15</v>
      </c>
      <c r="R843" s="257" t="s">
        <v>15</v>
      </c>
      <c r="S843" s="257" t="s">
        <v>16</v>
      </c>
      <c r="T843" s="257" t="s">
        <v>330</v>
      </c>
      <c r="U843" s="257" t="s">
        <v>250</v>
      </c>
      <c r="V843" s="257" t="s">
        <v>283</v>
      </c>
      <c r="W843" s="258" t="s">
        <v>283</v>
      </c>
      <c r="X843" s="258" t="s">
        <v>283</v>
      </c>
      <c r="Y843" s="259" t="s">
        <v>283</v>
      </c>
    </row>
    <row r="844" spans="1:25">
      <c r="A844" s="253">
        <v>16</v>
      </c>
      <c r="B844" s="254" t="str">
        <f>VLOOKUP(Tabel10[[#This Row],[Code]],Ruimtegroepen[[Code]:[Ruimte omschrijving]],2,FALSE)</f>
        <v>Leslokalen</v>
      </c>
      <c r="C844" s="255" t="s">
        <v>988</v>
      </c>
      <c r="D844" s="254" t="s">
        <v>21</v>
      </c>
      <c r="E844" s="255" t="s">
        <v>100</v>
      </c>
      <c r="F844" s="255" t="s">
        <v>989</v>
      </c>
      <c r="G844" s="260" t="s">
        <v>283</v>
      </c>
      <c r="H844" s="256" t="s">
        <v>283</v>
      </c>
      <c r="I844" s="256" t="s">
        <v>18</v>
      </c>
      <c r="J844" s="256" t="s">
        <v>15</v>
      </c>
      <c r="K844" s="256" t="s">
        <v>283</v>
      </c>
      <c r="L844" s="256" t="s">
        <v>283</v>
      </c>
      <c r="M844" s="256" t="s">
        <v>283</v>
      </c>
      <c r="N844" s="256" t="s">
        <v>283</v>
      </c>
      <c r="O844" s="257" t="s">
        <v>20</v>
      </c>
      <c r="P844" s="257" t="s">
        <v>20</v>
      </c>
      <c r="Q844" s="257" t="s">
        <v>15</v>
      </c>
      <c r="R844" s="257" t="s">
        <v>15</v>
      </c>
      <c r="S844" s="257" t="s">
        <v>16</v>
      </c>
      <c r="T844" s="257" t="s">
        <v>330</v>
      </c>
      <c r="U844" s="257" t="s">
        <v>250</v>
      </c>
      <c r="V844" s="257" t="s">
        <v>283</v>
      </c>
      <c r="W844" s="258" t="s">
        <v>283</v>
      </c>
      <c r="X844" s="258" t="s">
        <v>283</v>
      </c>
      <c r="Y844" s="259" t="s">
        <v>283</v>
      </c>
    </row>
    <row r="845" spans="1:25">
      <c r="A845" s="253">
        <v>16</v>
      </c>
      <c r="B845" s="254" t="str">
        <f>VLOOKUP(Tabel10[[#This Row],[Code]],Ruimtegroepen[[Code]:[Ruimte omschrijving]],2,FALSE)</f>
        <v>Leslokalen</v>
      </c>
      <c r="C845" s="255" t="s">
        <v>988</v>
      </c>
      <c r="D845" s="254" t="s">
        <v>21</v>
      </c>
      <c r="E845" s="255" t="s">
        <v>99</v>
      </c>
      <c r="F845" s="255" t="s">
        <v>990</v>
      </c>
      <c r="G845" s="256" t="s">
        <v>17</v>
      </c>
      <c r="H845" s="256" t="s">
        <v>17</v>
      </c>
      <c r="I845" s="256" t="s">
        <v>283</v>
      </c>
      <c r="J845" s="256" t="s">
        <v>283</v>
      </c>
      <c r="K845" s="256" t="s">
        <v>283</v>
      </c>
      <c r="L845" s="256" t="s">
        <v>283</v>
      </c>
      <c r="M845" s="256" t="s">
        <v>283</v>
      </c>
      <c r="N845" s="256" t="s">
        <v>283</v>
      </c>
      <c r="O845" s="257" t="s">
        <v>20</v>
      </c>
      <c r="P845" s="257" t="s">
        <v>20</v>
      </c>
      <c r="Q845" s="257" t="s">
        <v>15</v>
      </c>
      <c r="R845" s="257" t="s">
        <v>15</v>
      </c>
      <c r="S845" s="257" t="s">
        <v>16</v>
      </c>
      <c r="T845" s="257" t="s">
        <v>330</v>
      </c>
      <c r="U845" s="257" t="s">
        <v>250</v>
      </c>
      <c r="V845" s="257" t="s">
        <v>283</v>
      </c>
      <c r="W845" s="258" t="s">
        <v>283</v>
      </c>
      <c r="X845" s="258" t="s">
        <v>283</v>
      </c>
      <c r="Y845" s="259" t="s">
        <v>283</v>
      </c>
    </row>
    <row r="846" spans="1:25">
      <c r="A846" s="253">
        <v>16</v>
      </c>
      <c r="B846" s="254" t="str">
        <f>VLOOKUP(Tabel10[[#This Row],[Code]],Ruimtegroepen[[Code]:[Ruimte omschrijving]],2,FALSE)</f>
        <v>Leslokalen</v>
      </c>
      <c r="C846" s="255" t="s">
        <v>988</v>
      </c>
      <c r="D846" s="254" t="s">
        <v>21</v>
      </c>
      <c r="E846" s="255" t="s">
        <v>101</v>
      </c>
      <c r="F846" s="255" t="s">
        <v>991</v>
      </c>
      <c r="G846" s="260" t="s">
        <v>283</v>
      </c>
      <c r="H846" s="256" t="s">
        <v>283</v>
      </c>
      <c r="I846" s="256" t="s">
        <v>18</v>
      </c>
      <c r="J846" s="256" t="s">
        <v>15</v>
      </c>
      <c r="K846" s="256" t="s">
        <v>16</v>
      </c>
      <c r="L846" s="256" t="s">
        <v>283</v>
      </c>
      <c r="M846" s="256" t="s">
        <v>283</v>
      </c>
      <c r="N846" s="256" t="s">
        <v>283</v>
      </c>
      <c r="O846" s="257" t="s">
        <v>20</v>
      </c>
      <c r="P846" s="257" t="s">
        <v>20</v>
      </c>
      <c r="Q846" s="257" t="s">
        <v>15</v>
      </c>
      <c r="R846" s="257" t="s">
        <v>15</v>
      </c>
      <c r="S846" s="257" t="s">
        <v>16</v>
      </c>
      <c r="T846" s="257" t="s">
        <v>330</v>
      </c>
      <c r="U846" s="257" t="s">
        <v>250</v>
      </c>
      <c r="V846" s="257" t="s">
        <v>283</v>
      </c>
      <c r="W846" s="258" t="s">
        <v>283</v>
      </c>
      <c r="X846" s="258" t="s">
        <v>283</v>
      </c>
      <c r="Y846" s="259" t="s">
        <v>283</v>
      </c>
    </row>
    <row r="847" spans="1:25">
      <c r="A847" s="253">
        <v>16</v>
      </c>
      <c r="B847" s="254" t="str">
        <f>VLOOKUP(Tabel10[[#This Row],[Code]],Ruimtegroepen[[Code]:[Ruimte omschrijving]],2,FALSE)</f>
        <v>Leslokalen</v>
      </c>
      <c r="C847" s="255" t="s">
        <v>988</v>
      </c>
      <c r="D847" s="254" t="s">
        <v>21</v>
      </c>
      <c r="E847" s="255" t="s">
        <v>102</v>
      </c>
      <c r="F847" s="255" t="s">
        <v>992</v>
      </c>
      <c r="G847" s="260" t="s">
        <v>283</v>
      </c>
      <c r="H847" s="256" t="s">
        <v>283</v>
      </c>
      <c r="I847" s="256" t="s">
        <v>18</v>
      </c>
      <c r="J847" s="256" t="s">
        <v>15</v>
      </c>
      <c r="K847" s="256" t="s">
        <v>16</v>
      </c>
      <c r="L847" s="256" t="s">
        <v>283</v>
      </c>
      <c r="M847" s="256" t="s">
        <v>283</v>
      </c>
      <c r="N847" s="256" t="s">
        <v>283</v>
      </c>
      <c r="O847" s="257" t="s">
        <v>20</v>
      </c>
      <c r="P847" s="257" t="s">
        <v>20</v>
      </c>
      <c r="Q847" s="257" t="s">
        <v>15</v>
      </c>
      <c r="R847" s="257" t="s">
        <v>15</v>
      </c>
      <c r="S847" s="257" t="s">
        <v>16</v>
      </c>
      <c r="T847" s="257" t="s">
        <v>330</v>
      </c>
      <c r="U847" s="257" t="s">
        <v>250</v>
      </c>
      <c r="V847" s="257" t="s">
        <v>283</v>
      </c>
      <c r="W847" s="258" t="s">
        <v>283</v>
      </c>
      <c r="X847" s="258" t="s">
        <v>283</v>
      </c>
      <c r="Y847" s="259" t="s">
        <v>283</v>
      </c>
    </row>
    <row r="848" spans="1:25">
      <c r="A848" s="253">
        <v>16</v>
      </c>
      <c r="B848" s="254" t="str">
        <f>VLOOKUP(Tabel10[[#This Row],[Code]],Ruimtegroepen[[Code]:[Ruimte omschrijving]],2,FALSE)</f>
        <v>Leslokalen</v>
      </c>
      <c r="C848" s="255" t="s">
        <v>988</v>
      </c>
      <c r="D848" s="254" t="s">
        <v>21</v>
      </c>
      <c r="E848" s="255" t="s">
        <v>99</v>
      </c>
      <c r="F848" s="255" t="s">
        <v>990</v>
      </c>
      <c r="G848" s="256" t="s">
        <v>17</v>
      </c>
      <c r="H848" s="256" t="s">
        <v>17</v>
      </c>
      <c r="I848" s="256" t="s">
        <v>283</v>
      </c>
      <c r="J848" s="256" t="s">
        <v>283</v>
      </c>
      <c r="K848" s="256" t="s">
        <v>283</v>
      </c>
      <c r="L848" s="256" t="s">
        <v>283</v>
      </c>
      <c r="M848" s="256" t="s">
        <v>283</v>
      </c>
      <c r="N848" s="256" t="s">
        <v>283</v>
      </c>
      <c r="O848" s="257" t="s">
        <v>283</v>
      </c>
      <c r="P848" s="257" t="s">
        <v>283</v>
      </c>
      <c r="Q848" s="257" t="s">
        <v>283</v>
      </c>
      <c r="R848" s="257" t="s">
        <v>283</v>
      </c>
      <c r="S848" s="257" t="s">
        <v>283</v>
      </c>
      <c r="T848" s="257" t="s">
        <v>283</v>
      </c>
      <c r="U848" s="257" t="s">
        <v>283</v>
      </c>
      <c r="V848" s="257" t="s">
        <v>283</v>
      </c>
      <c r="W848" s="258" t="s">
        <v>283</v>
      </c>
      <c r="X848" s="258" t="s">
        <v>283</v>
      </c>
      <c r="Y848" s="259" t="s">
        <v>283</v>
      </c>
    </row>
    <row r="849" spans="1:25">
      <c r="A849" s="253">
        <v>16</v>
      </c>
      <c r="B849" s="254" t="str">
        <f>VLOOKUP(Tabel10[[#This Row],[Code]],Ruimtegroepen[[Code]:[Ruimte omschrijving]],2,FALSE)</f>
        <v>Leslokalen</v>
      </c>
      <c r="C849" s="255" t="s">
        <v>988</v>
      </c>
      <c r="D849" s="254" t="s">
        <v>21</v>
      </c>
      <c r="E849" s="255" t="s">
        <v>1312</v>
      </c>
      <c r="F849" s="255" t="s">
        <v>1459</v>
      </c>
      <c r="G849" s="260" t="s">
        <v>283</v>
      </c>
      <c r="H849" s="256" t="s">
        <v>283</v>
      </c>
      <c r="I849" s="256" t="s">
        <v>18</v>
      </c>
      <c r="J849" s="256" t="s">
        <v>15</v>
      </c>
      <c r="K849" s="256" t="s">
        <v>16</v>
      </c>
      <c r="L849" s="256" t="s">
        <v>283</v>
      </c>
      <c r="M849" s="256" t="s">
        <v>283</v>
      </c>
      <c r="N849" s="256" t="s">
        <v>283</v>
      </c>
      <c r="O849" s="257" t="s">
        <v>20</v>
      </c>
      <c r="P849" s="257" t="s">
        <v>20</v>
      </c>
      <c r="Q849" s="257" t="s">
        <v>15</v>
      </c>
      <c r="R849" s="257" t="s">
        <v>15</v>
      </c>
      <c r="S849" s="257" t="s">
        <v>16</v>
      </c>
      <c r="T849" s="257" t="s">
        <v>330</v>
      </c>
      <c r="U849" s="257" t="s">
        <v>250</v>
      </c>
      <c r="V849" s="257" t="s">
        <v>283</v>
      </c>
      <c r="W849" s="258" t="s">
        <v>283</v>
      </c>
      <c r="X849" s="258" t="s">
        <v>283</v>
      </c>
      <c r="Y849" s="259" t="s">
        <v>283</v>
      </c>
    </row>
    <row r="850" spans="1:25">
      <c r="A850" s="253">
        <v>16</v>
      </c>
      <c r="B850" s="254" t="str">
        <f>VLOOKUP(Tabel10[[#This Row],[Code]],Ruimtegroepen[[Code]:[Ruimte omschrijving]],2,FALSE)</f>
        <v>Leslokalen</v>
      </c>
      <c r="C850" s="255" t="s">
        <v>993</v>
      </c>
      <c r="D850" s="254" t="s">
        <v>12</v>
      </c>
      <c r="E850" s="255" t="s">
        <v>100</v>
      </c>
      <c r="F850" s="255" t="s">
        <v>994</v>
      </c>
      <c r="G850" s="260" t="s">
        <v>283</v>
      </c>
      <c r="H850" s="256" t="s">
        <v>283</v>
      </c>
      <c r="I850" s="256" t="s">
        <v>17</v>
      </c>
      <c r="J850" s="256" t="s">
        <v>15</v>
      </c>
      <c r="K850" s="256" t="s">
        <v>283</v>
      </c>
      <c r="L850" s="256" t="s">
        <v>283</v>
      </c>
      <c r="M850" s="256" t="s">
        <v>283</v>
      </c>
      <c r="N850" s="256" t="s">
        <v>283</v>
      </c>
      <c r="O850" s="257" t="s">
        <v>18</v>
      </c>
      <c r="P850" s="257" t="s">
        <v>18</v>
      </c>
      <c r="Q850" s="257" t="s">
        <v>15</v>
      </c>
      <c r="R850" s="257" t="s">
        <v>15</v>
      </c>
      <c r="S850" s="257" t="s">
        <v>16</v>
      </c>
      <c r="T850" s="257" t="s">
        <v>330</v>
      </c>
      <c r="U850" s="257" t="s">
        <v>250</v>
      </c>
      <c r="V850" s="257" t="s">
        <v>283</v>
      </c>
      <c r="W850" s="258" t="s">
        <v>283</v>
      </c>
      <c r="X850" s="258" t="s">
        <v>283</v>
      </c>
      <c r="Y850" s="259" t="s">
        <v>283</v>
      </c>
    </row>
    <row r="851" spans="1:25">
      <c r="A851" s="253">
        <v>16</v>
      </c>
      <c r="B851" s="254" t="str">
        <f>VLOOKUP(Tabel10[[#This Row],[Code]],Ruimtegroepen[[Code]:[Ruimte omschrijving]],2,FALSE)</f>
        <v>Leslokalen</v>
      </c>
      <c r="C851" s="255" t="s">
        <v>993</v>
      </c>
      <c r="D851" s="254" t="s">
        <v>12</v>
      </c>
      <c r="E851" s="255" t="s">
        <v>99</v>
      </c>
      <c r="F851" s="255" t="s">
        <v>995</v>
      </c>
      <c r="G851" s="256" t="s">
        <v>17</v>
      </c>
      <c r="H851" s="256" t="s">
        <v>15</v>
      </c>
      <c r="I851" s="256" t="s">
        <v>283</v>
      </c>
      <c r="J851" s="256" t="s">
        <v>283</v>
      </c>
      <c r="K851" s="256" t="s">
        <v>283</v>
      </c>
      <c r="L851" s="256" t="s">
        <v>283</v>
      </c>
      <c r="M851" s="256" t="s">
        <v>283</v>
      </c>
      <c r="N851" s="256" t="s">
        <v>283</v>
      </c>
      <c r="O851" s="257" t="s">
        <v>18</v>
      </c>
      <c r="P851" s="257" t="s">
        <v>18</v>
      </c>
      <c r="Q851" s="257" t="s">
        <v>15</v>
      </c>
      <c r="R851" s="257" t="s">
        <v>15</v>
      </c>
      <c r="S851" s="257" t="s">
        <v>16</v>
      </c>
      <c r="T851" s="257" t="s">
        <v>330</v>
      </c>
      <c r="U851" s="257" t="s">
        <v>250</v>
      </c>
      <c r="V851" s="257" t="s">
        <v>283</v>
      </c>
      <c r="W851" s="258" t="s">
        <v>283</v>
      </c>
      <c r="X851" s="258" t="s">
        <v>283</v>
      </c>
      <c r="Y851" s="259" t="s">
        <v>283</v>
      </c>
    </row>
    <row r="852" spans="1:25">
      <c r="A852" s="253">
        <v>16</v>
      </c>
      <c r="B852" s="254" t="str">
        <f>VLOOKUP(Tabel10[[#This Row],[Code]],Ruimtegroepen[[Code]:[Ruimte omschrijving]],2,FALSE)</f>
        <v>Leslokalen</v>
      </c>
      <c r="C852" s="255" t="s">
        <v>993</v>
      </c>
      <c r="D852" s="254" t="s">
        <v>12</v>
      </c>
      <c r="E852" s="255" t="s">
        <v>101</v>
      </c>
      <c r="F852" s="255" t="s">
        <v>996</v>
      </c>
      <c r="G852" s="260" t="s">
        <v>283</v>
      </c>
      <c r="H852" s="256" t="s">
        <v>283</v>
      </c>
      <c r="I852" s="256" t="s">
        <v>17</v>
      </c>
      <c r="J852" s="256" t="s">
        <v>15</v>
      </c>
      <c r="K852" s="256" t="s">
        <v>16</v>
      </c>
      <c r="L852" s="256" t="s">
        <v>283</v>
      </c>
      <c r="M852" s="256" t="s">
        <v>283</v>
      </c>
      <c r="N852" s="256" t="s">
        <v>283</v>
      </c>
      <c r="O852" s="257" t="s">
        <v>18</v>
      </c>
      <c r="P852" s="257" t="s">
        <v>18</v>
      </c>
      <c r="Q852" s="257" t="s">
        <v>15</v>
      </c>
      <c r="R852" s="257" t="s">
        <v>15</v>
      </c>
      <c r="S852" s="257" t="s">
        <v>16</v>
      </c>
      <c r="T852" s="257" t="s">
        <v>330</v>
      </c>
      <c r="U852" s="257" t="s">
        <v>250</v>
      </c>
      <c r="V852" s="257" t="s">
        <v>283</v>
      </c>
      <c r="W852" s="258" t="s">
        <v>283</v>
      </c>
      <c r="X852" s="258" t="s">
        <v>283</v>
      </c>
      <c r="Y852" s="259" t="s">
        <v>283</v>
      </c>
    </row>
    <row r="853" spans="1:25">
      <c r="A853" s="253">
        <v>16</v>
      </c>
      <c r="B853" s="254" t="str">
        <f>VLOOKUP(Tabel10[[#This Row],[Code]],Ruimtegroepen[[Code]:[Ruimte omschrijving]],2,FALSE)</f>
        <v>Leslokalen</v>
      </c>
      <c r="C853" s="255" t="s">
        <v>993</v>
      </c>
      <c r="D853" s="254" t="s">
        <v>12</v>
      </c>
      <c r="E853" s="255" t="s">
        <v>102</v>
      </c>
      <c r="F853" s="255" t="s">
        <v>997</v>
      </c>
      <c r="G853" s="260" t="s">
        <v>283</v>
      </c>
      <c r="H853" s="256" t="s">
        <v>283</v>
      </c>
      <c r="I853" s="256" t="s">
        <v>17</v>
      </c>
      <c r="J853" s="256" t="s">
        <v>15</v>
      </c>
      <c r="K853" s="256" t="s">
        <v>16</v>
      </c>
      <c r="L853" s="256" t="s">
        <v>283</v>
      </c>
      <c r="M853" s="256" t="s">
        <v>283</v>
      </c>
      <c r="N853" s="256" t="s">
        <v>283</v>
      </c>
      <c r="O853" s="257" t="s">
        <v>18</v>
      </c>
      <c r="P853" s="257" t="s">
        <v>18</v>
      </c>
      <c r="Q853" s="257" t="s">
        <v>15</v>
      </c>
      <c r="R853" s="257" t="s">
        <v>15</v>
      </c>
      <c r="S853" s="257" t="s">
        <v>16</v>
      </c>
      <c r="T853" s="257" t="s">
        <v>330</v>
      </c>
      <c r="U853" s="257" t="s">
        <v>250</v>
      </c>
      <c r="V853" s="257" t="s">
        <v>283</v>
      </c>
      <c r="W853" s="258" t="s">
        <v>283</v>
      </c>
      <c r="X853" s="258" t="s">
        <v>283</v>
      </c>
      <c r="Y853" s="259" t="s">
        <v>283</v>
      </c>
    </row>
    <row r="854" spans="1:25">
      <c r="A854" s="253">
        <v>16</v>
      </c>
      <c r="B854" s="254" t="str">
        <f>VLOOKUP(Tabel10[[#This Row],[Code]],Ruimtegroepen[[Code]:[Ruimte omschrijving]],2,FALSE)</f>
        <v>Leslokalen</v>
      </c>
      <c r="C854" s="255" t="s">
        <v>993</v>
      </c>
      <c r="D854" s="254" t="s">
        <v>12</v>
      </c>
      <c r="E854" s="255" t="s">
        <v>99</v>
      </c>
      <c r="F854" s="255" t="s">
        <v>995</v>
      </c>
      <c r="G854" s="256" t="s">
        <v>17</v>
      </c>
      <c r="H854" s="256" t="s">
        <v>15</v>
      </c>
      <c r="I854" s="256" t="s">
        <v>283</v>
      </c>
      <c r="J854" s="256" t="s">
        <v>283</v>
      </c>
      <c r="K854" s="256" t="s">
        <v>283</v>
      </c>
      <c r="L854" s="256" t="s">
        <v>283</v>
      </c>
      <c r="M854" s="256" t="s">
        <v>283</v>
      </c>
      <c r="N854" s="256" t="s">
        <v>283</v>
      </c>
      <c r="O854" s="257" t="s">
        <v>283</v>
      </c>
      <c r="P854" s="257" t="s">
        <v>283</v>
      </c>
      <c r="Q854" s="257" t="s">
        <v>283</v>
      </c>
      <c r="R854" s="257" t="s">
        <v>283</v>
      </c>
      <c r="S854" s="257" t="s">
        <v>283</v>
      </c>
      <c r="T854" s="257" t="s">
        <v>283</v>
      </c>
      <c r="U854" s="257" t="s">
        <v>283</v>
      </c>
      <c r="V854" s="257" t="s">
        <v>283</v>
      </c>
      <c r="W854" s="258" t="s">
        <v>283</v>
      </c>
      <c r="X854" s="258" t="s">
        <v>283</v>
      </c>
      <c r="Y854" s="259" t="s">
        <v>283</v>
      </c>
    </row>
    <row r="855" spans="1:25">
      <c r="A855" s="253">
        <v>16</v>
      </c>
      <c r="B855" s="254" t="str">
        <f>VLOOKUP(Tabel10[[#This Row],[Code]],Ruimtegroepen[[Code]:[Ruimte omschrijving]],2,FALSE)</f>
        <v>Leslokalen</v>
      </c>
      <c r="C855" s="255" t="s">
        <v>993</v>
      </c>
      <c r="D855" s="254" t="s">
        <v>12</v>
      </c>
      <c r="E855" s="255" t="s">
        <v>1312</v>
      </c>
      <c r="F855" s="255" t="s">
        <v>1441</v>
      </c>
      <c r="G855" s="260" t="s">
        <v>283</v>
      </c>
      <c r="H855" s="256" t="s">
        <v>283</v>
      </c>
      <c r="I855" s="256" t="s">
        <v>17</v>
      </c>
      <c r="J855" s="256" t="s">
        <v>15</v>
      </c>
      <c r="K855" s="256" t="s">
        <v>16</v>
      </c>
      <c r="L855" s="256" t="s">
        <v>283</v>
      </c>
      <c r="M855" s="256" t="s">
        <v>283</v>
      </c>
      <c r="N855" s="256" t="s">
        <v>283</v>
      </c>
      <c r="O855" s="257" t="s">
        <v>18</v>
      </c>
      <c r="P855" s="257" t="s">
        <v>18</v>
      </c>
      <c r="Q855" s="257" t="s">
        <v>15</v>
      </c>
      <c r="R855" s="257" t="s">
        <v>15</v>
      </c>
      <c r="S855" s="257" t="s">
        <v>16</v>
      </c>
      <c r="T855" s="257" t="s">
        <v>330</v>
      </c>
      <c r="U855" s="257" t="s">
        <v>250</v>
      </c>
      <c r="V855" s="257" t="s">
        <v>283</v>
      </c>
      <c r="W855" s="258" t="s">
        <v>283</v>
      </c>
      <c r="X855" s="258" t="s">
        <v>283</v>
      </c>
      <c r="Y855" s="259" t="s">
        <v>283</v>
      </c>
    </row>
    <row r="856" spans="1:25">
      <c r="A856" s="253">
        <v>16</v>
      </c>
      <c r="B856" s="254" t="str">
        <f>VLOOKUP(Tabel10[[#This Row],[Code]],Ruimtegroepen[[Code]:[Ruimte omschrijving]],2,FALSE)</f>
        <v>Leslokalen</v>
      </c>
      <c r="C856" s="255" t="s">
        <v>998</v>
      </c>
      <c r="D856" s="254" t="s">
        <v>14</v>
      </c>
      <c r="E856" s="255" t="s">
        <v>100</v>
      </c>
      <c r="F856" s="255" t="s">
        <v>999</v>
      </c>
      <c r="G856" s="260" t="s">
        <v>283</v>
      </c>
      <c r="H856" s="256" t="s">
        <v>283</v>
      </c>
      <c r="I856" s="256" t="s">
        <v>283</v>
      </c>
      <c r="J856" s="256" t="s">
        <v>17</v>
      </c>
      <c r="K856" s="256" t="s">
        <v>283</v>
      </c>
      <c r="L856" s="256" t="s">
        <v>283</v>
      </c>
      <c r="M856" s="256" t="s">
        <v>283</v>
      </c>
      <c r="N856" s="256" t="s">
        <v>283</v>
      </c>
      <c r="O856" s="257" t="s">
        <v>17</v>
      </c>
      <c r="P856" s="257" t="s">
        <v>17</v>
      </c>
      <c r="Q856" s="257" t="s">
        <v>15</v>
      </c>
      <c r="R856" s="257" t="s">
        <v>15</v>
      </c>
      <c r="S856" s="257" t="s">
        <v>16</v>
      </c>
      <c r="T856" s="257" t="s">
        <v>330</v>
      </c>
      <c r="U856" s="257" t="s">
        <v>250</v>
      </c>
      <c r="V856" s="257" t="s">
        <v>283</v>
      </c>
      <c r="W856" s="258" t="s">
        <v>283</v>
      </c>
      <c r="X856" s="258" t="s">
        <v>283</v>
      </c>
      <c r="Y856" s="259" t="s">
        <v>283</v>
      </c>
    </row>
    <row r="857" spans="1:25">
      <c r="A857" s="253">
        <v>16</v>
      </c>
      <c r="B857" s="254" t="str">
        <f>VLOOKUP(Tabel10[[#This Row],[Code]],Ruimtegroepen[[Code]:[Ruimte omschrijving]],2,FALSE)</f>
        <v>Leslokalen</v>
      </c>
      <c r="C857" s="255" t="s">
        <v>998</v>
      </c>
      <c r="D857" s="254" t="s">
        <v>14</v>
      </c>
      <c r="E857" s="255" t="s">
        <v>99</v>
      </c>
      <c r="F857" s="255" t="s">
        <v>1000</v>
      </c>
      <c r="G857" s="256" t="s">
        <v>15</v>
      </c>
      <c r="H857" s="256" t="s">
        <v>15</v>
      </c>
      <c r="I857" s="256" t="s">
        <v>283</v>
      </c>
      <c r="J857" s="256" t="s">
        <v>283</v>
      </c>
      <c r="K857" s="256" t="s">
        <v>283</v>
      </c>
      <c r="L857" s="256" t="s">
        <v>283</v>
      </c>
      <c r="M857" s="256" t="s">
        <v>283</v>
      </c>
      <c r="N857" s="256" t="s">
        <v>283</v>
      </c>
      <c r="O857" s="257" t="s">
        <v>17</v>
      </c>
      <c r="P857" s="257" t="s">
        <v>17</v>
      </c>
      <c r="Q857" s="257" t="s">
        <v>15</v>
      </c>
      <c r="R857" s="257" t="s">
        <v>15</v>
      </c>
      <c r="S857" s="257" t="s">
        <v>16</v>
      </c>
      <c r="T857" s="257" t="s">
        <v>330</v>
      </c>
      <c r="U857" s="257" t="s">
        <v>250</v>
      </c>
      <c r="V857" s="257" t="s">
        <v>283</v>
      </c>
      <c r="W857" s="258" t="s">
        <v>283</v>
      </c>
      <c r="X857" s="258" t="s">
        <v>283</v>
      </c>
      <c r="Y857" s="259" t="s">
        <v>283</v>
      </c>
    </row>
    <row r="858" spans="1:25">
      <c r="A858" s="253">
        <v>16</v>
      </c>
      <c r="B858" s="254" t="str">
        <f>VLOOKUP(Tabel10[[#This Row],[Code]],Ruimtegroepen[[Code]:[Ruimte omschrijving]],2,FALSE)</f>
        <v>Leslokalen</v>
      </c>
      <c r="C858" s="255" t="s">
        <v>998</v>
      </c>
      <c r="D858" s="254" t="s">
        <v>14</v>
      </c>
      <c r="E858" s="255" t="s">
        <v>101</v>
      </c>
      <c r="F858" s="255" t="s">
        <v>1001</v>
      </c>
      <c r="G858" s="260" t="s">
        <v>283</v>
      </c>
      <c r="H858" s="256" t="s">
        <v>283</v>
      </c>
      <c r="I858" s="256" t="s">
        <v>283</v>
      </c>
      <c r="J858" s="256" t="s">
        <v>17</v>
      </c>
      <c r="K858" s="256" t="s">
        <v>16</v>
      </c>
      <c r="L858" s="256" t="s">
        <v>283</v>
      </c>
      <c r="M858" s="256" t="s">
        <v>283</v>
      </c>
      <c r="N858" s="256" t="s">
        <v>283</v>
      </c>
      <c r="O858" s="257" t="s">
        <v>17</v>
      </c>
      <c r="P858" s="257" t="s">
        <v>17</v>
      </c>
      <c r="Q858" s="257" t="s">
        <v>15</v>
      </c>
      <c r="R858" s="257" t="s">
        <v>15</v>
      </c>
      <c r="S858" s="257" t="s">
        <v>16</v>
      </c>
      <c r="T858" s="257" t="s">
        <v>330</v>
      </c>
      <c r="U858" s="257" t="s">
        <v>250</v>
      </c>
      <c r="V858" s="257" t="s">
        <v>283</v>
      </c>
      <c r="W858" s="258" t="s">
        <v>283</v>
      </c>
      <c r="X858" s="258" t="s">
        <v>283</v>
      </c>
      <c r="Y858" s="259" t="s">
        <v>283</v>
      </c>
    </row>
    <row r="859" spans="1:25">
      <c r="A859" s="253">
        <v>16</v>
      </c>
      <c r="B859" s="254" t="str">
        <f>VLOOKUP(Tabel10[[#This Row],[Code]],Ruimtegroepen[[Code]:[Ruimte omschrijving]],2,FALSE)</f>
        <v>Leslokalen</v>
      </c>
      <c r="C859" s="255" t="s">
        <v>998</v>
      </c>
      <c r="D859" s="254" t="s">
        <v>14</v>
      </c>
      <c r="E859" s="255" t="s">
        <v>102</v>
      </c>
      <c r="F859" s="255" t="s">
        <v>1002</v>
      </c>
      <c r="G859" s="260" t="s">
        <v>283</v>
      </c>
      <c r="H859" s="256" t="s">
        <v>283</v>
      </c>
      <c r="I859" s="256" t="s">
        <v>283</v>
      </c>
      <c r="J859" s="256" t="s">
        <v>17</v>
      </c>
      <c r="K859" s="256" t="s">
        <v>16</v>
      </c>
      <c r="L859" s="256" t="s">
        <v>283</v>
      </c>
      <c r="M859" s="256" t="s">
        <v>283</v>
      </c>
      <c r="N859" s="256" t="s">
        <v>283</v>
      </c>
      <c r="O859" s="257" t="s">
        <v>17</v>
      </c>
      <c r="P859" s="257" t="s">
        <v>17</v>
      </c>
      <c r="Q859" s="257" t="s">
        <v>15</v>
      </c>
      <c r="R859" s="257" t="s">
        <v>15</v>
      </c>
      <c r="S859" s="257" t="s">
        <v>16</v>
      </c>
      <c r="T859" s="257" t="s">
        <v>330</v>
      </c>
      <c r="U859" s="257" t="s">
        <v>250</v>
      </c>
      <c r="V859" s="257" t="s">
        <v>283</v>
      </c>
      <c r="W859" s="258" t="s">
        <v>283</v>
      </c>
      <c r="X859" s="258" t="s">
        <v>283</v>
      </c>
      <c r="Y859" s="259" t="s">
        <v>283</v>
      </c>
    </row>
    <row r="860" spans="1:25">
      <c r="A860" s="253">
        <v>16</v>
      </c>
      <c r="B860" s="254" t="str">
        <f>VLOOKUP(Tabel10[[#This Row],[Code]],Ruimtegroepen[[Code]:[Ruimte omschrijving]],2,FALSE)</f>
        <v>Leslokalen</v>
      </c>
      <c r="C860" s="255" t="s">
        <v>998</v>
      </c>
      <c r="D860" s="254" t="s">
        <v>14</v>
      </c>
      <c r="E860" s="255" t="s">
        <v>99</v>
      </c>
      <c r="F860" s="255" t="s">
        <v>1000</v>
      </c>
      <c r="G860" s="256" t="s">
        <v>15</v>
      </c>
      <c r="H860" s="256" t="s">
        <v>15</v>
      </c>
      <c r="I860" s="256" t="s">
        <v>283</v>
      </c>
      <c r="J860" s="256" t="s">
        <v>283</v>
      </c>
      <c r="K860" s="256" t="s">
        <v>283</v>
      </c>
      <c r="L860" s="256" t="s">
        <v>283</v>
      </c>
      <c r="M860" s="256" t="s">
        <v>283</v>
      </c>
      <c r="N860" s="256" t="s">
        <v>283</v>
      </c>
      <c r="O860" s="257" t="s">
        <v>283</v>
      </c>
      <c r="P860" s="257" t="s">
        <v>283</v>
      </c>
      <c r="Q860" s="257" t="s">
        <v>283</v>
      </c>
      <c r="R860" s="257" t="s">
        <v>283</v>
      </c>
      <c r="S860" s="257" t="s">
        <v>283</v>
      </c>
      <c r="T860" s="257" t="s">
        <v>283</v>
      </c>
      <c r="U860" s="257" t="s">
        <v>283</v>
      </c>
      <c r="V860" s="257" t="s">
        <v>283</v>
      </c>
      <c r="W860" s="258" t="s">
        <v>283</v>
      </c>
      <c r="X860" s="258" t="s">
        <v>283</v>
      </c>
      <c r="Y860" s="259" t="s">
        <v>283</v>
      </c>
    </row>
    <row r="861" spans="1:25">
      <c r="A861" s="253">
        <v>16</v>
      </c>
      <c r="B861" s="254" t="str">
        <f>VLOOKUP(Tabel10[[#This Row],[Code]],Ruimtegroepen[[Code]:[Ruimte omschrijving]],2,FALSE)</f>
        <v>Leslokalen</v>
      </c>
      <c r="C861" s="255" t="s">
        <v>998</v>
      </c>
      <c r="D861" s="254" t="s">
        <v>14</v>
      </c>
      <c r="E861" s="255" t="s">
        <v>1312</v>
      </c>
      <c r="F861" s="255" t="s">
        <v>1408</v>
      </c>
      <c r="G861" s="260" t="s">
        <v>283</v>
      </c>
      <c r="H861" s="256" t="s">
        <v>283</v>
      </c>
      <c r="I861" s="256" t="s">
        <v>283</v>
      </c>
      <c r="J861" s="256" t="s">
        <v>17</v>
      </c>
      <c r="K861" s="256" t="s">
        <v>16</v>
      </c>
      <c r="L861" s="256" t="s">
        <v>283</v>
      </c>
      <c r="M861" s="256" t="s">
        <v>283</v>
      </c>
      <c r="N861" s="256" t="s">
        <v>283</v>
      </c>
      <c r="O861" s="257" t="s">
        <v>17</v>
      </c>
      <c r="P861" s="257" t="s">
        <v>17</v>
      </c>
      <c r="Q861" s="257" t="s">
        <v>15</v>
      </c>
      <c r="R861" s="257" t="s">
        <v>15</v>
      </c>
      <c r="S861" s="257" t="s">
        <v>16</v>
      </c>
      <c r="T861" s="257" t="s">
        <v>330</v>
      </c>
      <c r="U861" s="257" t="s">
        <v>250</v>
      </c>
      <c r="V861" s="257" t="s">
        <v>283</v>
      </c>
      <c r="W861" s="258" t="s">
        <v>283</v>
      </c>
      <c r="X861" s="258" t="s">
        <v>283</v>
      </c>
      <c r="Y861" s="259" t="s">
        <v>283</v>
      </c>
    </row>
    <row r="862" spans="1:25">
      <c r="A862" s="253">
        <v>16</v>
      </c>
      <c r="B862" s="254" t="str">
        <f>VLOOKUP(Tabel10[[#This Row],[Code]],Ruimtegroepen[[Code]:[Ruimte omschrijving]],2,FALSE)</f>
        <v>Leslokalen</v>
      </c>
      <c r="C862" s="255" t="s">
        <v>1003</v>
      </c>
      <c r="D862" s="254" t="s">
        <v>13</v>
      </c>
      <c r="E862" s="255" t="s">
        <v>100</v>
      </c>
      <c r="F862" s="255" t="s">
        <v>1004</v>
      </c>
      <c r="G862" s="260" t="s">
        <v>283</v>
      </c>
      <c r="H862" s="256" t="s">
        <v>283</v>
      </c>
      <c r="I862" s="256" t="s">
        <v>283</v>
      </c>
      <c r="J862" s="256" t="s">
        <v>15</v>
      </c>
      <c r="K862" s="256" t="s">
        <v>283</v>
      </c>
      <c r="L862" s="256" t="s">
        <v>283</v>
      </c>
      <c r="M862" s="256" t="s">
        <v>283</v>
      </c>
      <c r="N862" s="256" t="s">
        <v>283</v>
      </c>
      <c r="O862" s="257" t="s">
        <v>15</v>
      </c>
      <c r="P862" s="257" t="s">
        <v>15</v>
      </c>
      <c r="Q862" s="257" t="s">
        <v>15</v>
      </c>
      <c r="R862" s="257" t="s">
        <v>15</v>
      </c>
      <c r="S862" s="257" t="s">
        <v>16</v>
      </c>
      <c r="T862" s="257" t="s">
        <v>330</v>
      </c>
      <c r="U862" s="257" t="s">
        <v>250</v>
      </c>
      <c r="V862" s="257" t="s">
        <v>283</v>
      </c>
      <c r="W862" s="258" t="s">
        <v>283</v>
      </c>
      <c r="X862" s="258" t="s">
        <v>283</v>
      </c>
      <c r="Y862" s="259" t="s">
        <v>283</v>
      </c>
    </row>
    <row r="863" spans="1:25">
      <c r="A863" s="253">
        <v>16</v>
      </c>
      <c r="B863" s="254" t="str">
        <f>VLOOKUP(Tabel10[[#This Row],[Code]],Ruimtegroepen[[Code]:[Ruimte omschrijving]],2,FALSE)</f>
        <v>Leslokalen</v>
      </c>
      <c r="C863" s="255" t="s">
        <v>1003</v>
      </c>
      <c r="D863" s="254" t="s">
        <v>13</v>
      </c>
      <c r="E863" s="255" t="s">
        <v>99</v>
      </c>
      <c r="F863" s="255" t="s">
        <v>1005</v>
      </c>
      <c r="G863" s="260" t="s">
        <v>283</v>
      </c>
      <c r="H863" s="256" t="s">
        <v>15</v>
      </c>
      <c r="I863" s="256" t="s">
        <v>283</v>
      </c>
      <c r="J863" s="256" t="s">
        <v>283</v>
      </c>
      <c r="K863" s="256" t="s">
        <v>283</v>
      </c>
      <c r="L863" s="256" t="s">
        <v>283</v>
      </c>
      <c r="M863" s="256" t="s">
        <v>283</v>
      </c>
      <c r="N863" s="256" t="s">
        <v>283</v>
      </c>
      <c r="O863" s="257" t="s">
        <v>15</v>
      </c>
      <c r="P863" s="257" t="s">
        <v>15</v>
      </c>
      <c r="Q863" s="257" t="s">
        <v>15</v>
      </c>
      <c r="R863" s="257" t="s">
        <v>15</v>
      </c>
      <c r="S863" s="257" t="s">
        <v>16</v>
      </c>
      <c r="T863" s="257" t="s">
        <v>330</v>
      </c>
      <c r="U863" s="257" t="s">
        <v>250</v>
      </c>
      <c r="V863" s="257" t="s">
        <v>283</v>
      </c>
      <c r="W863" s="258" t="s">
        <v>283</v>
      </c>
      <c r="X863" s="258" t="s">
        <v>283</v>
      </c>
      <c r="Y863" s="259" t="s">
        <v>283</v>
      </c>
    </row>
    <row r="864" spans="1:25">
      <c r="A864" s="253">
        <v>16</v>
      </c>
      <c r="B864" s="254" t="str">
        <f>VLOOKUP(Tabel10[[#This Row],[Code]],Ruimtegroepen[[Code]:[Ruimte omschrijving]],2,FALSE)</f>
        <v>Leslokalen</v>
      </c>
      <c r="C864" s="255" t="s">
        <v>1003</v>
      </c>
      <c r="D864" s="254" t="s">
        <v>13</v>
      </c>
      <c r="E864" s="255" t="s">
        <v>101</v>
      </c>
      <c r="F864" s="255" t="s">
        <v>1006</v>
      </c>
      <c r="G864" s="260" t="s">
        <v>283</v>
      </c>
      <c r="H864" s="256" t="s">
        <v>283</v>
      </c>
      <c r="I864" s="256" t="s">
        <v>283</v>
      </c>
      <c r="J864" s="256" t="s">
        <v>15</v>
      </c>
      <c r="K864" s="256" t="s">
        <v>16</v>
      </c>
      <c r="L864" s="256" t="s">
        <v>283</v>
      </c>
      <c r="M864" s="256" t="s">
        <v>283</v>
      </c>
      <c r="N864" s="256" t="s">
        <v>283</v>
      </c>
      <c r="O864" s="257" t="s">
        <v>15</v>
      </c>
      <c r="P864" s="257" t="s">
        <v>15</v>
      </c>
      <c r="Q864" s="257" t="s">
        <v>15</v>
      </c>
      <c r="R864" s="257" t="s">
        <v>15</v>
      </c>
      <c r="S864" s="257" t="s">
        <v>16</v>
      </c>
      <c r="T864" s="257" t="s">
        <v>330</v>
      </c>
      <c r="U864" s="257" t="s">
        <v>250</v>
      </c>
      <c r="V864" s="257" t="s">
        <v>283</v>
      </c>
      <c r="W864" s="258" t="s">
        <v>283</v>
      </c>
      <c r="X864" s="258" t="s">
        <v>283</v>
      </c>
      <c r="Y864" s="259" t="s">
        <v>283</v>
      </c>
    </row>
    <row r="865" spans="1:25">
      <c r="A865" s="253">
        <v>16</v>
      </c>
      <c r="B865" s="254" t="str">
        <f>VLOOKUP(Tabel10[[#This Row],[Code]],Ruimtegroepen[[Code]:[Ruimte omschrijving]],2,FALSE)</f>
        <v>Leslokalen</v>
      </c>
      <c r="C865" s="255" t="s">
        <v>1003</v>
      </c>
      <c r="D865" s="254" t="s">
        <v>13</v>
      </c>
      <c r="E865" s="255" t="s">
        <v>102</v>
      </c>
      <c r="F865" s="255" t="s">
        <v>1007</v>
      </c>
      <c r="G865" s="260" t="s">
        <v>283</v>
      </c>
      <c r="H865" s="256" t="s">
        <v>283</v>
      </c>
      <c r="I865" s="256" t="s">
        <v>283</v>
      </c>
      <c r="J865" s="256" t="s">
        <v>15</v>
      </c>
      <c r="K865" s="256" t="s">
        <v>16</v>
      </c>
      <c r="L865" s="256" t="s">
        <v>283</v>
      </c>
      <c r="M865" s="256" t="s">
        <v>283</v>
      </c>
      <c r="N865" s="256" t="s">
        <v>283</v>
      </c>
      <c r="O865" s="257" t="s">
        <v>15</v>
      </c>
      <c r="P865" s="257" t="s">
        <v>15</v>
      </c>
      <c r="Q865" s="257" t="s">
        <v>15</v>
      </c>
      <c r="R865" s="257" t="s">
        <v>15</v>
      </c>
      <c r="S865" s="257" t="s">
        <v>16</v>
      </c>
      <c r="T865" s="257" t="s">
        <v>330</v>
      </c>
      <c r="U865" s="257" t="s">
        <v>250</v>
      </c>
      <c r="V865" s="257" t="s">
        <v>283</v>
      </c>
      <c r="W865" s="258" t="s">
        <v>283</v>
      </c>
      <c r="X865" s="258" t="s">
        <v>283</v>
      </c>
      <c r="Y865" s="259" t="s">
        <v>283</v>
      </c>
    </row>
    <row r="866" spans="1:25">
      <c r="A866" s="253">
        <v>16</v>
      </c>
      <c r="B866" s="254" t="str">
        <f>VLOOKUP(Tabel10[[#This Row],[Code]],Ruimtegroepen[[Code]:[Ruimte omschrijving]],2,FALSE)</f>
        <v>Leslokalen</v>
      </c>
      <c r="C866" s="255" t="s">
        <v>1003</v>
      </c>
      <c r="D866" s="254" t="s">
        <v>13</v>
      </c>
      <c r="E866" s="255" t="s">
        <v>99</v>
      </c>
      <c r="F866" s="255" t="s">
        <v>1005</v>
      </c>
      <c r="G866" s="260" t="s">
        <v>283</v>
      </c>
      <c r="H866" s="256" t="s">
        <v>15</v>
      </c>
      <c r="I866" s="256" t="s">
        <v>283</v>
      </c>
      <c r="J866" s="256" t="s">
        <v>283</v>
      </c>
      <c r="K866" s="256" t="s">
        <v>283</v>
      </c>
      <c r="L866" s="256" t="s">
        <v>283</v>
      </c>
      <c r="M866" s="256" t="s">
        <v>283</v>
      </c>
      <c r="N866" s="256" t="s">
        <v>283</v>
      </c>
      <c r="O866" s="257" t="s">
        <v>283</v>
      </c>
      <c r="P866" s="257" t="s">
        <v>283</v>
      </c>
      <c r="Q866" s="257" t="s">
        <v>283</v>
      </c>
      <c r="R866" s="257" t="s">
        <v>283</v>
      </c>
      <c r="S866" s="257" t="s">
        <v>283</v>
      </c>
      <c r="T866" s="257" t="s">
        <v>283</v>
      </c>
      <c r="U866" s="257" t="s">
        <v>283</v>
      </c>
      <c r="V866" s="257" t="s">
        <v>283</v>
      </c>
      <c r="W866" s="258" t="s">
        <v>283</v>
      </c>
      <c r="X866" s="258" t="s">
        <v>283</v>
      </c>
      <c r="Y866" s="259" t="s">
        <v>283</v>
      </c>
    </row>
    <row r="867" spans="1:25">
      <c r="A867" s="253">
        <v>16</v>
      </c>
      <c r="B867" s="254" t="str">
        <f>VLOOKUP(Tabel10[[#This Row],[Code]],Ruimtegroepen[[Code]:[Ruimte omschrijving]],2,FALSE)</f>
        <v>Leslokalen</v>
      </c>
      <c r="C867" s="255" t="s">
        <v>1003</v>
      </c>
      <c r="D867" s="254" t="s">
        <v>13</v>
      </c>
      <c r="E867" s="255" t="s">
        <v>1312</v>
      </c>
      <c r="F867" s="255" t="s">
        <v>1375</v>
      </c>
      <c r="G867" s="260" t="s">
        <v>283</v>
      </c>
      <c r="H867" s="256" t="s">
        <v>283</v>
      </c>
      <c r="I867" s="256" t="s">
        <v>283</v>
      </c>
      <c r="J867" s="256" t="s">
        <v>15</v>
      </c>
      <c r="K867" s="256" t="s">
        <v>16</v>
      </c>
      <c r="L867" s="256" t="s">
        <v>283</v>
      </c>
      <c r="M867" s="256" t="s">
        <v>283</v>
      </c>
      <c r="N867" s="256" t="s">
        <v>283</v>
      </c>
      <c r="O867" s="257" t="s">
        <v>15</v>
      </c>
      <c r="P867" s="257" t="s">
        <v>15</v>
      </c>
      <c r="Q867" s="257" t="s">
        <v>15</v>
      </c>
      <c r="R867" s="257" t="s">
        <v>15</v>
      </c>
      <c r="S867" s="257" t="s">
        <v>16</v>
      </c>
      <c r="T867" s="257" t="s">
        <v>330</v>
      </c>
      <c r="U867" s="257" t="s">
        <v>250</v>
      </c>
      <c r="V867" s="257" t="s">
        <v>283</v>
      </c>
      <c r="W867" s="258" t="s">
        <v>283</v>
      </c>
      <c r="X867" s="258" t="s">
        <v>283</v>
      </c>
      <c r="Y867" s="259" t="s">
        <v>283</v>
      </c>
    </row>
    <row r="868" spans="1:25">
      <c r="A868" s="253">
        <v>16</v>
      </c>
      <c r="B868" s="254" t="str">
        <f>VLOOKUP(Tabel10[[#This Row],[Code]],Ruimtegroepen[[Code]:[Ruimte omschrijving]],2,FALSE)</f>
        <v>Leslokalen</v>
      </c>
      <c r="C868" s="255" t="s">
        <v>1008</v>
      </c>
      <c r="D868" s="254" t="s">
        <v>0</v>
      </c>
      <c r="E868" s="255" t="s">
        <v>100</v>
      </c>
      <c r="F868" s="255" t="s">
        <v>1009</v>
      </c>
      <c r="G868" s="260" t="s">
        <v>283</v>
      </c>
      <c r="H868" s="256" t="s">
        <v>283</v>
      </c>
      <c r="I868" s="256" t="s">
        <v>16</v>
      </c>
      <c r="J868" s="256" t="s">
        <v>283</v>
      </c>
      <c r="K868" s="256" t="s">
        <v>283</v>
      </c>
      <c r="L868" s="256" t="s">
        <v>283</v>
      </c>
      <c r="M868" s="256" t="s">
        <v>283</v>
      </c>
      <c r="N868" s="256" t="s">
        <v>283</v>
      </c>
      <c r="O868" s="257" t="s">
        <v>16</v>
      </c>
      <c r="P868" s="257" t="s">
        <v>16</v>
      </c>
      <c r="Q868" s="257" t="s">
        <v>16</v>
      </c>
      <c r="R868" s="257" t="s">
        <v>16</v>
      </c>
      <c r="S868" s="257" t="s">
        <v>16</v>
      </c>
      <c r="T868" s="257" t="s">
        <v>330</v>
      </c>
      <c r="U868" s="257" t="s">
        <v>250</v>
      </c>
      <c r="V868" s="257" t="s">
        <v>283</v>
      </c>
      <c r="W868" s="258" t="s">
        <v>283</v>
      </c>
      <c r="X868" s="258" t="s">
        <v>283</v>
      </c>
      <c r="Y868" s="259" t="s">
        <v>283</v>
      </c>
    </row>
    <row r="869" spans="1:25">
      <c r="A869" s="253">
        <v>16</v>
      </c>
      <c r="B869" s="254" t="str">
        <f>VLOOKUP(Tabel10[[#This Row],[Code]],Ruimtegroepen[[Code]:[Ruimte omschrijving]],2,FALSE)</f>
        <v>Leslokalen</v>
      </c>
      <c r="C869" s="255" t="s">
        <v>1008</v>
      </c>
      <c r="D869" s="254" t="s">
        <v>0</v>
      </c>
      <c r="E869" s="255" t="s">
        <v>99</v>
      </c>
      <c r="F869" s="255" t="s">
        <v>1010</v>
      </c>
      <c r="G869" s="260" t="s">
        <v>283</v>
      </c>
      <c r="H869" s="256" t="s">
        <v>16</v>
      </c>
      <c r="I869" s="256" t="s">
        <v>283</v>
      </c>
      <c r="J869" s="256" t="s">
        <v>283</v>
      </c>
      <c r="K869" s="256" t="s">
        <v>283</v>
      </c>
      <c r="L869" s="256" t="s">
        <v>283</v>
      </c>
      <c r="M869" s="256" t="s">
        <v>283</v>
      </c>
      <c r="N869" s="256" t="s">
        <v>283</v>
      </c>
      <c r="O869" s="257" t="s">
        <v>16</v>
      </c>
      <c r="P869" s="257" t="s">
        <v>16</v>
      </c>
      <c r="Q869" s="257" t="s">
        <v>16</v>
      </c>
      <c r="R869" s="257" t="s">
        <v>16</v>
      </c>
      <c r="S869" s="257" t="s">
        <v>16</v>
      </c>
      <c r="T869" s="257" t="s">
        <v>330</v>
      </c>
      <c r="U869" s="257" t="s">
        <v>250</v>
      </c>
      <c r="V869" s="257" t="s">
        <v>283</v>
      </c>
      <c r="W869" s="258" t="s">
        <v>283</v>
      </c>
      <c r="X869" s="258" t="s">
        <v>283</v>
      </c>
      <c r="Y869" s="259" t="s">
        <v>283</v>
      </c>
    </row>
    <row r="870" spans="1:25">
      <c r="A870" s="253">
        <v>16</v>
      </c>
      <c r="B870" s="254" t="str">
        <f>VLOOKUP(Tabel10[[#This Row],[Code]],Ruimtegroepen[[Code]:[Ruimte omschrijving]],2,FALSE)</f>
        <v>Leslokalen</v>
      </c>
      <c r="C870" s="255" t="s">
        <v>1008</v>
      </c>
      <c r="D870" s="254" t="s">
        <v>0</v>
      </c>
      <c r="E870" s="255" t="s">
        <v>101</v>
      </c>
      <c r="F870" s="255" t="s">
        <v>1011</v>
      </c>
      <c r="G870" s="260" t="s">
        <v>283</v>
      </c>
      <c r="H870" s="256" t="s">
        <v>283</v>
      </c>
      <c r="I870" s="256" t="s">
        <v>283</v>
      </c>
      <c r="J870" s="256" t="s">
        <v>362</v>
      </c>
      <c r="K870" s="256" t="s">
        <v>16</v>
      </c>
      <c r="L870" s="256" t="s">
        <v>283</v>
      </c>
      <c r="M870" s="256" t="s">
        <v>283</v>
      </c>
      <c r="N870" s="256" t="s">
        <v>283</v>
      </c>
      <c r="O870" s="257" t="s">
        <v>16</v>
      </c>
      <c r="P870" s="257" t="s">
        <v>16</v>
      </c>
      <c r="Q870" s="257" t="s">
        <v>16</v>
      </c>
      <c r="R870" s="257" t="s">
        <v>16</v>
      </c>
      <c r="S870" s="257" t="s">
        <v>16</v>
      </c>
      <c r="T870" s="257" t="s">
        <v>330</v>
      </c>
      <c r="U870" s="257" t="s">
        <v>250</v>
      </c>
      <c r="V870" s="257" t="s">
        <v>283</v>
      </c>
      <c r="W870" s="258" t="s">
        <v>283</v>
      </c>
      <c r="X870" s="258" t="s">
        <v>283</v>
      </c>
      <c r="Y870" s="259" t="s">
        <v>283</v>
      </c>
    </row>
    <row r="871" spans="1:25">
      <c r="A871" s="253">
        <v>16</v>
      </c>
      <c r="B871" s="254" t="str">
        <f>VLOOKUP(Tabel10[[#This Row],[Code]],Ruimtegroepen[[Code]:[Ruimte omschrijving]],2,FALSE)</f>
        <v>Leslokalen</v>
      </c>
      <c r="C871" s="255" t="s">
        <v>1008</v>
      </c>
      <c r="D871" s="254" t="s">
        <v>0</v>
      </c>
      <c r="E871" s="255" t="s">
        <v>102</v>
      </c>
      <c r="F871" s="255" t="s">
        <v>1012</v>
      </c>
      <c r="G871" s="260" t="s">
        <v>283</v>
      </c>
      <c r="H871" s="256" t="s">
        <v>283</v>
      </c>
      <c r="I871" s="256" t="s">
        <v>16</v>
      </c>
      <c r="J871" s="256" t="s">
        <v>283</v>
      </c>
      <c r="K871" s="256" t="s">
        <v>16</v>
      </c>
      <c r="L871" s="256" t="s">
        <v>283</v>
      </c>
      <c r="M871" s="256" t="s">
        <v>283</v>
      </c>
      <c r="N871" s="256" t="s">
        <v>283</v>
      </c>
      <c r="O871" s="257" t="s">
        <v>16</v>
      </c>
      <c r="P871" s="257" t="s">
        <v>16</v>
      </c>
      <c r="Q871" s="257" t="s">
        <v>16</v>
      </c>
      <c r="R871" s="257" t="s">
        <v>16</v>
      </c>
      <c r="S871" s="257" t="s">
        <v>16</v>
      </c>
      <c r="T871" s="257" t="s">
        <v>330</v>
      </c>
      <c r="U871" s="257" t="s">
        <v>250</v>
      </c>
      <c r="V871" s="257" t="s">
        <v>283</v>
      </c>
      <c r="W871" s="258" t="s">
        <v>283</v>
      </c>
      <c r="X871" s="258" t="s">
        <v>283</v>
      </c>
      <c r="Y871" s="259" t="s">
        <v>283</v>
      </c>
    </row>
    <row r="872" spans="1:25">
      <c r="A872" s="253">
        <v>16</v>
      </c>
      <c r="B872" s="254" t="str">
        <f>VLOOKUP(Tabel10[[#This Row],[Code]],Ruimtegroepen[[Code]:[Ruimte omschrijving]],2,FALSE)</f>
        <v>Leslokalen</v>
      </c>
      <c r="C872" s="255" t="s">
        <v>1008</v>
      </c>
      <c r="D872" s="254" t="s">
        <v>0</v>
      </c>
      <c r="E872" s="255" t="s">
        <v>99</v>
      </c>
      <c r="F872" s="255" t="s">
        <v>1010</v>
      </c>
      <c r="G872" s="260" t="s">
        <v>283</v>
      </c>
      <c r="H872" s="256" t="s">
        <v>16</v>
      </c>
      <c r="I872" s="256" t="s">
        <v>283</v>
      </c>
      <c r="J872" s="256" t="s">
        <v>283</v>
      </c>
      <c r="K872" s="256" t="s">
        <v>283</v>
      </c>
      <c r="L872" s="256" t="s">
        <v>283</v>
      </c>
      <c r="M872" s="256" t="s">
        <v>283</v>
      </c>
      <c r="N872" s="256" t="s">
        <v>283</v>
      </c>
      <c r="O872" s="257" t="s">
        <v>283</v>
      </c>
      <c r="P872" s="257" t="s">
        <v>283</v>
      </c>
      <c r="Q872" s="257" t="s">
        <v>283</v>
      </c>
      <c r="R872" s="257" t="s">
        <v>283</v>
      </c>
      <c r="S872" s="257" t="s">
        <v>283</v>
      </c>
      <c r="T872" s="257" t="s">
        <v>283</v>
      </c>
      <c r="U872" s="257" t="s">
        <v>283</v>
      </c>
      <c r="V872" s="257" t="s">
        <v>283</v>
      </c>
      <c r="W872" s="258" t="s">
        <v>283</v>
      </c>
      <c r="X872" s="258" t="s">
        <v>283</v>
      </c>
      <c r="Y872" s="259" t="s">
        <v>283</v>
      </c>
    </row>
    <row r="873" spans="1:25">
      <c r="A873" s="253">
        <v>16</v>
      </c>
      <c r="B873" s="254" t="str">
        <f>VLOOKUP(Tabel10[[#This Row],[Code]],Ruimtegroepen[[Code]:[Ruimte omschrijving]],2,FALSE)</f>
        <v>Leslokalen</v>
      </c>
      <c r="C873" s="255" t="s">
        <v>1008</v>
      </c>
      <c r="D873" s="254" t="s">
        <v>0</v>
      </c>
      <c r="E873" s="255" t="s">
        <v>1312</v>
      </c>
      <c r="F873" s="255" t="s">
        <v>1359</v>
      </c>
      <c r="G873" s="260" t="s">
        <v>283</v>
      </c>
      <c r="H873" s="256" t="s">
        <v>283</v>
      </c>
      <c r="I873" s="256" t="s">
        <v>16</v>
      </c>
      <c r="J873" s="256" t="s">
        <v>283</v>
      </c>
      <c r="K873" s="256" t="s">
        <v>16</v>
      </c>
      <c r="L873" s="256" t="s">
        <v>283</v>
      </c>
      <c r="M873" s="256" t="s">
        <v>283</v>
      </c>
      <c r="N873" s="256" t="s">
        <v>283</v>
      </c>
      <c r="O873" s="257" t="s">
        <v>16</v>
      </c>
      <c r="P873" s="257" t="s">
        <v>16</v>
      </c>
      <c r="Q873" s="257" t="s">
        <v>16</v>
      </c>
      <c r="R873" s="257" t="s">
        <v>16</v>
      </c>
      <c r="S873" s="257" t="s">
        <v>16</v>
      </c>
      <c r="T873" s="257" t="s">
        <v>330</v>
      </c>
      <c r="U873" s="257" t="s">
        <v>250</v>
      </c>
      <c r="V873" s="257" t="s">
        <v>283</v>
      </c>
      <c r="W873" s="258" t="s">
        <v>283</v>
      </c>
      <c r="X873" s="258" t="s">
        <v>283</v>
      </c>
      <c r="Y873" s="259" t="s">
        <v>283</v>
      </c>
    </row>
    <row r="874" spans="1:25">
      <c r="A874" s="253">
        <v>16</v>
      </c>
      <c r="B874" s="254" t="str">
        <f>VLOOKUP(Tabel10[[#This Row],[Code]],Ruimtegroepen[[Code]:[Ruimte omschrijving]],2,FALSE)</f>
        <v>Leslokalen</v>
      </c>
      <c r="C874" s="255" t="s">
        <v>1013</v>
      </c>
      <c r="D874" s="254" t="s">
        <v>27</v>
      </c>
      <c r="E874" s="255" t="s">
        <v>100</v>
      </c>
      <c r="F874" s="255" t="s">
        <v>1014</v>
      </c>
      <c r="G874" s="260" t="s">
        <v>283</v>
      </c>
      <c r="H874" s="256" t="s">
        <v>283</v>
      </c>
      <c r="I874" s="256" t="s">
        <v>15</v>
      </c>
      <c r="J874" s="256" t="s">
        <v>283</v>
      </c>
      <c r="K874" s="256" t="s">
        <v>283</v>
      </c>
      <c r="L874" s="256" t="s">
        <v>283</v>
      </c>
      <c r="M874" s="256" t="s">
        <v>283</v>
      </c>
      <c r="N874" s="256" t="s">
        <v>283</v>
      </c>
      <c r="O874" s="257" t="s">
        <v>15</v>
      </c>
      <c r="P874" s="257" t="s">
        <v>15</v>
      </c>
      <c r="Q874" s="257" t="s">
        <v>15</v>
      </c>
      <c r="R874" s="257" t="s">
        <v>283</v>
      </c>
      <c r="S874" s="257" t="s">
        <v>283</v>
      </c>
      <c r="T874" s="257" t="s">
        <v>283</v>
      </c>
      <c r="U874" s="257" t="s">
        <v>283</v>
      </c>
      <c r="V874" s="257" t="s">
        <v>283</v>
      </c>
      <c r="W874" s="258" t="s">
        <v>283</v>
      </c>
      <c r="X874" s="258" t="s">
        <v>283</v>
      </c>
      <c r="Y874" s="259" t="s">
        <v>283</v>
      </c>
    </row>
    <row r="875" spans="1:25">
      <c r="A875" s="253">
        <v>16</v>
      </c>
      <c r="B875" s="254" t="str">
        <f>VLOOKUP(Tabel10[[#This Row],[Code]],Ruimtegroepen[[Code]:[Ruimte omschrijving]],2,FALSE)</f>
        <v>Leslokalen</v>
      </c>
      <c r="C875" s="255" t="s">
        <v>1013</v>
      </c>
      <c r="D875" s="254" t="s">
        <v>27</v>
      </c>
      <c r="E875" s="255" t="s">
        <v>99</v>
      </c>
      <c r="F875" s="255" t="s">
        <v>1015</v>
      </c>
      <c r="G875" s="260" t="s">
        <v>283</v>
      </c>
      <c r="H875" s="256" t="s">
        <v>15</v>
      </c>
      <c r="I875" s="256" t="s">
        <v>283</v>
      </c>
      <c r="J875" s="256" t="s">
        <v>283</v>
      </c>
      <c r="K875" s="256" t="s">
        <v>283</v>
      </c>
      <c r="L875" s="256" t="s">
        <v>283</v>
      </c>
      <c r="M875" s="256" t="s">
        <v>283</v>
      </c>
      <c r="N875" s="256" t="s">
        <v>283</v>
      </c>
      <c r="O875" s="257" t="s">
        <v>15</v>
      </c>
      <c r="P875" s="257" t="s">
        <v>15</v>
      </c>
      <c r="Q875" s="257" t="s">
        <v>15</v>
      </c>
      <c r="R875" s="257" t="s">
        <v>283</v>
      </c>
      <c r="S875" s="257" t="s">
        <v>283</v>
      </c>
      <c r="T875" s="257" t="s">
        <v>283</v>
      </c>
      <c r="U875" s="257" t="s">
        <v>283</v>
      </c>
      <c r="V875" s="257" t="s">
        <v>283</v>
      </c>
      <c r="W875" s="258" t="s">
        <v>283</v>
      </c>
      <c r="X875" s="258" t="s">
        <v>283</v>
      </c>
      <c r="Y875" s="259" t="s">
        <v>283</v>
      </c>
    </row>
    <row r="876" spans="1:25">
      <c r="A876" s="253">
        <v>16</v>
      </c>
      <c r="B876" s="254" t="str">
        <f>VLOOKUP(Tabel10[[#This Row],[Code]],Ruimtegroepen[[Code]:[Ruimte omschrijving]],2,FALSE)</f>
        <v>Leslokalen</v>
      </c>
      <c r="C876" s="255" t="s">
        <v>1013</v>
      </c>
      <c r="D876" s="254" t="s">
        <v>27</v>
      </c>
      <c r="E876" s="255" t="s">
        <v>101</v>
      </c>
      <c r="F876" s="255" t="s">
        <v>1016</v>
      </c>
      <c r="G876" s="260" t="s">
        <v>283</v>
      </c>
      <c r="H876" s="256" t="s">
        <v>283</v>
      </c>
      <c r="I876" s="256" t="s">
        <v>15</v>
      </c>
      <c r="J876" s="256" t="s">
        <v>283</v>
      </c>
      <c r="K876" s="256" t="s">
        <v>283</v>
      </c>
      <c r="L876" s="256" t="s">
        <v>283</v>
      </c>
      <c r="M876" s="256" t="s">
        <v>283</v>
      </c>
      <c r="N876" s="256" t="s">
        <v>283</v>
      </c>
      <c r="O876" s="257" t="s">
        <v>15</v>
      </c>
      <c r="P876" s="257" t="s">
        <v>15</v>
      </c>
      <c r="Q876" s="257" t="s">
        <v>15</v>
      </c>
      <c r="R876" s="257" t="s">
        <v>283</v>
      </c>
      <c r="S876" s="257" t="s">
        <v>283</v>
      </c>
      <c r="T876" s="257" t="s">
        <v>283</v>
      </c>
      <c r="U876" s="257" t="s">
        <v>283</v>
      </c>
      <c r="V876" s="257" t="s">
        <v>283</v>
      </c>
      <c r="W876" s="258" t="s">
        <v>283</v>
      </c>
      <c r="X876" s="258" t="s">
        <v>283</v>
      </c>
      <c r="Y876" s="259" t="s">
        <v>283</v>
      </c>
    </row>
    <row r="877" spans="1:25">
      <c r="A877" s="253">
        <v>16</v>
      </c>
      <c r="B877" s="254" t="str">
        <f>VLOOKUP(Tabel10[[#This Row],[Code]],Ruimtegroepen[[Code]:[Ruimte omschrijving]],2,FALSE)</f>
        <v>Leslokalen</v>
      </c>
      <c r="C877" s="255" t="s">
        <v>1013</v>
      </c>
      <c r="D877" s="254" t="s">
        <v>27</v>
      </c>
      <c r="E877" s="255" t="s">
        <v>102</v>
      </c>
      <c r="F877" s="255" t="s">
        <v>1017</v>
      </c>
      <c r="G877" s="260" t="s">
        <v>283</v>
      </c>
      <c r="H877" s="256" t="s">
        <v>283</v>
      </c>
      <c r="I877" s="256" t="s">
        <v>15</v>
      </c>
      <c r="J877" s="256" t="s">
        <v>283</v>
      </c>
      <c r="K877" s="256" t="s">
        <v>283</v>
      </c>
      <c r="L877" s="256" t="s">
        <v>283</v>
      </c>
      <c r="M877" s="256" t="s">
        <v>283</v>
      </c>
      <c r="N877" s="256" t="s">
        <v>283</v>
      </c>
      <c r="O877" s="257" t="s">
        <v>15</v>
      </c>
      <c r="P877" s="257" t="s">
        <v>15</v>
      </c>
      <c r="Q877" s="257" t="s">
        <v>15</v>
      </c>
      <c r="R877" s="257" t="s">
        <v>283</v>
      </c>
      <c r="S877" s="257" t="s">
        <v>283</v>
      </c>
      <c r="T877" s="257" t="s">
        <v>283</v>
      </c>
      <c r="U877" s="257" t="s">
        <v>283</v>
      </c>
      <c r="V877" s="257" t="s">
        <v>283</v>
      </c>
      <c r="W877" s="258" t="s">
        <v>283</v>
      </c>
      <c r="X877" s="258" t="s">
        <v>283</v>
      </c>
      <c r="Y877" s="259" t="s">
        <v>283</v>
      </c>
    </row>
    <row r="878" spans="1:25">
      <c r="A878" s="253">
        <v>16</v>
      </c>
      <c r="B878" s="254" t="str">
        <f>VLOOKUP(Tabel10[[#This Row],[Code]],Ruimtegroepen[[Code]:[Ruimte omschrijving]],2,FALSE)</f>
        <v>Leslokalen</v>
      </c>
      <c r="C878" s="255" t="s">
        <v>1013</v>
      </c>
      <c r="D878" s="254" t="s">
        <v>27</v>
      </c>
      <c r="E878" s="255" t="s">
        <v>99</v>
      </c>
      <c r="F878" s="255" t="s">
        <v>1015</v>
      </c>
      <c r="G878" s="260" t="s">
        <v>283</v>
      </c>
      <c r="H878" s="256" t="s">
        <v>15</v>
      </c>
      <c r="I878" s="256" t="s">
        <v>283</v>
      </c>
      <c r="J878" s="256" t="s">
        <v>283</v>
      </c>
      <c r="K878" s="256" t="s">
        <v>283</v>
      </c>
      <c r="L878" s="256" t="s">
        <v>283</v>
      </c>
      <c r="M878" s="256" t="s">
        <v>283</v>
      </c>
      <c r="N878" s="256" t="s">
        <v>283</v>
      </c>
      <c r="O878" s="257" t="s">
        <v>15</v>
      </c>
      <c r="P878" s="257" t="s">
        <v>15</v>
      </c>
      <c r="Q878" s="257" t="s">
        <v>15</v>
      </c>
      <c r="R878" s="257" t="s">
        <v>283</v>
      </c>
      <c r="S878" s="257" t="s">
        <v>283</v>
      </c>
      <c r="T878" s="257" t="s">
        <v>283</v>
      </c>
      <c r="U878" s="257" t="s">
        <v>283</v>
      </c>
      <c r="V878" s="257" t="s">
        <v>283</v>
      </c>
      <c r="W878" s="258" t="s">
        <v>283</v>
      </c>
      <c r="X878" s="258" t="s">
        <v>283</v>
      </c>
      <c r="Y878" s="259" t="s">
        <v>283</v>
      </c>
    </row>
    <row r="879" spans="1:25">
      <c r="A879" s="253">
        <v>16</v>
      </c>
      <c r="B879" s="254" t="str">
        <f>VLOOKUP(Tabel10[[#This Row],[Code]],Ruimtegroepen[[Code]:[Ruimte omschrijving]],2,FALSE)</f>
        <v>Leslokalen</v>
      </c>
      <c r="C879" s="255" t="s">
        <v>1013</v>
      </c>
      <c r="D879" s="254" t="s">
        <v>27</v>
      </c>
      <c r="E879" s="255" t="s">
        <v>1312</v>
      </c>
      <c r="F879" s="255" t="s">
        <v>1392</v>
      </c>
      <c r="G879" s="260" t="s">
        <v>283</v>
      </c>
      <c r="H879" s="256" t="s">
        <v>283</v>
      </c>
      <c r="I879" s="256" t="s">
        <v>15</v>
      </c>
      <c r="J879" s="256" t="s">
        <v>283</v>
      </c>
      <c r="K879" s="256" t="s">
        <v>283</v>
      </c>
      <c r="L879" s="256" t="s">
        <v>283</v>
      </c>
      <c r="M879" s="256" t="s">
        <v>283</v>
      </c>
      <c r="N879" s="256" t="s">
        <v>283</v>
      </c>
      <c r="O879" s="257" t="s">
        <v>15</v>
      </c>
      <c r="P879" s="257" t="s">
        <v>15</v>
      </c>
      <c r="Q879" s="257" t="s">
        <v>15</v>
      </c>
      <c r="R879" s="257" t="s">
        <v>283</v>
      </c>
      <c r="S879" s="257" t="s">
        <v>283</v>
      </c>
      <c r="T879" s="257" t="s">
        <v>283</v>
      </c>
      <c r="U879" s="257" t="s">
        <v>283</v>
      </c>
      <c r="V879" s="257" t="s">
        <v>283</v>
      </c>
      <c r="W879" s="258" t="s">
        <v>283</v>
      </c>
      <c r="X879" s="258" t="s">
        <v>283</v>
      </c>
      <c r="Y879" s="259" t="s">
        <v>283</v>
      </c>
    </row>
    <row r="880" spans="1:25">
      <c r="A880" s="253">
        <v>16</v>
      </c>
      <c r="B880" s="254" t="str">
        <f>VLOOKUP(Tabel10[[#This Row],[Code]],Ruimtegroepen[[Code]:[Ruimte omschrijving]],2,FALSE)</f>
        <v>Leslokalen</v>
      </c>
      <c r="C880" s="255" t="s">
        <v>1018</v>
      </c>
      <c r="D880" s="254" t="s">
        <v>28</v>
      </c>
      <c r="E880" s="255" t="s">
        <v>100</v>
      </c>
      <c r="F880" s="255" t="s">
        <v>1019</v>
      </c>
      <c r="G880" s="260" t="s">
        <v>283</v>
      </c>
      <c r="H880" s="256" t="s">
        <v>283</v>
      </c>
      <c r="I880" s="256" t="s">
        <v>17</v>
      </c>
      <c r="J880" s="256" t="s">
        <v>283</v>
      </c>
      <c r="K880" s="256" t="s">
        <v>283</v>
      </c>
      <c r="L880" s="256" t="s">
        <v>283</v>
      </c>
      <c r="M880" s="256" t="s">
        <v>283</v>
      </c>
      <c r="N880" s="256" t="s">
        <v>283</v>
      </c>
      <c r="O880" s="257" t="s">
        <v>17</v>
      </c>
      <c r="P880" s="257" t="s">
        <v>17</v>
      </c>
      <c r="Q880" s="257" t="s">
        <v>15</v>
      </c>
      <c r="R880" s="257" t="s">
        <v>283</v>
      </c>
      <c r="S880" s="257" t="s">
        <v>283</v>
      </c>
      <c r="T880" s="257" t="s">
        <v>283</v>
      </c>
      <c r="U880" s="257" t="s">
        <v>283</v>
      </c>
      <c r="V880" s="257" t="s">
        <v>283</v>
      </c>
      <c r="W880" s="258" t="s">
        <v>283</v>
      </c>
      <c r="X880" s="258" t="s">
        <v>283</v>
      </c>
      <c r="Y880" s="259" t="s">
        <v>283</v>
      </c>
    </row>
    <row r="881" spans="1:25">
      <c r="A881" s="253">
        <v>16</v>
      </c>
      <c r="B881" s="254" t="str">
        <f>VLOOKUP(Tabel10[[#This Row],[Code]],Ruimtegroepen[[Code]:[Ruimte omschrijving]],2,FALSE)</f>
        <v>Leslokalen</v>
      </c>
      <c r="C881" s="255" t="s">
        <v>1018</v>
      </c>
      <c r="D881" s="254" t="s">
        <v>28</v>
      </c>
      <c r="E881" s="255" t="s">
        <v>99</v>
      </c>
      <c r="F881" s="255" t="s">
        <v>1020</v>
      </c>
      <c r="G881" s="260" t="s">
        <v>283</v>
      </c>
      <c r="H881" s="256" t="s">
        <v>17</v>
      </c>
      <c r="I881" s="256" t="s">
        <v>283</v>
      </c>
      <c r="J881" s="256" t="s">
        <v>283</v>
      </c>
      <c r="K881" s="256" t="s">
        <v>283</v>
      </c>
      <c r="L881" s="256" t="s">
        <v>283</v>
      </c>
      <c r="M881" s="256" t="s">
        <v>283</v>
      </c>
      <c r="N881" s="256" t="s">
        <v>283</v>
      </c>
      <c r="O881" s="257" t="s">
        <v>17</v>
      </c>
      <c r="P881" s="257" t="s">
        <v>17</v>
      </c>
      <c r="Q881" s="257" t="s">
        <v>15</v>
      </c>
      <c r="R881" s="257" t="s">
        <v>283</v>
      </c>
      <c r="S881" s="257" t="s">
        <v>283</v>
      </c>
      <c r="T881" s="257" t="s">
        <v>283</v>
      </c>
      <c r="U881" s="257" t="s">
        <v>283</v>
      </c>
      <c r="V881" s="257" t="s">
        <v>283</v>
      </c>
      <c r="W881" s="258" t="s">
        <v>283</v>
      </c>
      <c r="X881" s="258" t="s">
        <v>283</v>
      </c>
      <c r="Y881" s="259" t="s">
        <v>283</v>
      </c>
    </row>
    <row r="882" spans="1:25">
      <c r="A882" s="253">
        <v>16</v>
      </c>
      <c r="B882" s="254" t="str">
        <f>VLOOKUP(Tabel10[[#This Row],[Code]],Ruimtegroepen[[Code]:[Ruimte omschrijving]],2,FALSE)</f>
        <v>Leslokalen</v>
      </c>
      <c r="C882" s="255" t="s">
        <v>1018</v>
      </c>
      <c r="D882" s="254" t="s">
        <v>28</v>
      </c>
      <c r="E882" s="255" t="s">
        <v>101</v>
      </c>
      <c r="F882" s="255" t="s">
        <v>1021</v>
      </c>
      <c r="G882" s="260" t="s">
        <v>283</v>
      </c>
      <c r="H882" s="256" t="s">
        <v>283</v>
      </c>
      <c r="I882" s="256" t="s">
        <v>17</v>
      </c>
      <c r="J882" s="256" t="s">
        <v>283</v>
      </c>
      <c r="K882" s="256" t="s">
        <v>283</v>
      </c>
      <c r="L882" s="256" t="s">
        <v>283</v>
      </c>
      <c r="M882" s="256" t="s">
        <v>283</v>
      </c>
      <c r="N882" s="256" t="s">
        <v>283</v>
      </c>
      <c r="O882" s="257" t="s">
        <v>17</v>
      </c>
      <c r="P882" s="257" t="s">
        <v>17</v>
      </c>
      <c r="Q882" s="257" t="s">
        <v>15</v>
      </c>
      <c r="R882" s="257" t="s">
        <v>283</v>
      </c>
      <c r="S882" s="257" t="s">
        <v>283</v>
      </c>
      <c r="T882" s="257" t="s">
        <v>283</v>
      </c>
      <c r="U882" s="257" t="s">
        <v>283</v>
      </c>
      <c r="V882" s="257" t="s">
        <v>283</v>
      </c>
      <c r="W882" s="258" t="s">
        <v>283</v>
      </c>
      <c r="X882" s="258" t="s">
        <v>283</v>
      </c>
      <c r="Y882" s="259" t="s">
        <v>283</v>
      </c>
    </row>
    <row r="883" spans="1:25">
      <c r="A883" s="253">
        <v>16</v>
      </c>
      <c r="B883" s="254" t="str">
        <f>VLOOKUP(Tabel10[[#This Row],[Code]],Ruimtegroepen[[Code]:[Ruimte omschrijving]],2,FALSE)</f>
        <v>Leslokalen</v>
      </c>
      <c r="C883" s="255" t="s">
        <v>1018</v>
      </c>
      <c r="D883" s="254" t="s">
        <v>28</v>
      </c>
      <c r="E883" s="255" t="s">
        <v>102</v>
      </c>
      <c r="F883" s="255" t="s">
        <v>1022</v>
      </c>
      <c r="G883" s="260" t="s">
        <v>283</v>
      </c>
      <c r="H883" s="256" t="s">
        <v>283</v>
      </c>
      <c r="I883" s="256" t="s">
        <v>17</v>
      </c>
      <c r="J883" s="256" t="s">
        <v>283</v>
      </c>
      <c r="K883" s="256" t="s">
        <v>283</v>
      </c>
      <c r="L883" s="256" t="s">
        <v>283</v>
      </c>
      <c r="M883" s="256" t="s">
        <v>283</v>
      </c>
      <c r="N883" s="256" t="s">
        <v>283</v>
      </c>
      <c r="O883" s="257" t="s">
        <v>17</v>
      </c>
      <c r="P883" s="257" t="s">
        <v>17</v>
      </c>
      <c r="Q883" s="257" t="s">
        <v>15</v>
      </c>
      <c r="R883" s="257" t="s">
        <v>283</v>
      </c>
      <c r="S883" s="257" t="s">
        <v>283</v>
      </c>
      <c r="T883" s="257" t="s">
        <v>283</v>
      </c>
      <c r="U883" s="257" t="s">
        <v>283</v>
      </c>
      <c r="V883" s="257" t="s">
        <v>283</v>
      </c>
      <c r="W883" s="258" t="s">
        <v>283</v>
      </c>
      <c r="X883" s="258" t="s">
        <v>283</v>
      </c>
      <c r="Y883" s="259" t="s">
        <v>283</v>
      </c>
    </row>
    <row r="884" spans="1:25">
      <c r="A884" s="253">
        <v>16</v>
      </c>
      <c r="B884" s="254" t="str">
        <f>VLOOKUP(Tabel10[[#This Row],[Code]],Ruimtegroepen[[Code]:[Ruimte omschrijving]],2,FALSE)</f>
        <v>Leslokalen</v>
      </c>
      <c r="C884" s="255" t="s">
        <v>1018</v>
      </c>
      <c r="D884" s="254" t="s">
        <v>28</v>
      </c>
      <c r="E884" s="255" t="s">
        <v>99</v>
      </c>
      <c r="F884" s="255" t="s">
        <v>1020</v>
      </c>
      <c r="G884" s="260" t="s">
        <v>283</v>
      </c>
      <c r="H884" s="256" t="s">
        <v>17</v>
      </c>
      <c r="I884" s="256" t="s">
        <v>283</v>
      </c>
      <c r="J884" s="256" t="s">
        <v>283</v>
      </c>
      <c r="K884" s="256" t="s">
        <v>283</v>
      </c>
      <c r="L884" s="256" t="s">
        <v>283</v>
      </c>
      <c r="M884" s="256" t="s">
        <v>283</v>
      </c>
      <c r="N884" s="256" t="s">
        <v>283</v>
      </c>
      <c r="O884" s="257" t="s">
        <v>17</v>
      </c>
      <c r="P884" s="257" t="s">
        <v>17</v>
      </c>
      <c r="Q884" s="257" t="s">
        <v>15</v>
      </c>
      <c r="R884" s="257" t="s">
        <v>283</v>
      </c>
      <c r="S884" s="257" t="s">
        <v>283</v>
      </c>
      <c r="T884" s="257" t="s">
        <v>283</v>
      </c>
      <c r="U884" s="257" t="s">
        <v>283</v>
      </c>
      <c r="V884" s="257" t="s">
        <v>283</v>
      </c>
      <c r="W884" s="258" t="s">
        <v>283</v>
      </c>
      <c r="X884" s="258" t="s">
        <v>283</v>
      </c>
      <c r="Y884" s="259" t="s">
        <v>283</v>
      </c>
    </row>
    <row r="885" spans="1:25">
      <c r="A885" s="253">
        <v>16</v>
      </c>
      <c r="B885" s="254" t="str">
        <f>VLOOKUP(Tabel10[[#This Row],[Code]],Ruimtegroepen[[Code]:[Ruimte omschrijving]],2,FALSE)</f>
        <v>Leslokalen</v>
      </c>
      <c r="C885" s="255" t="s">
        <v>1018</v>
      </c>
      <c r="D885" s="254" t="s">
        <v>28</v>
      </c>
      <c r="E885" s="255" t="s">
        <v>1312</v>
      </c>
      <c r="F885" s="255" t="s">
        <v>1425</v>
      </c>
      <c r="G885" s="260" t="s">
        <v>283</v>
      </c>
      <c r="H885" s="256" t="s">
        <v>283</v>
      </c>
      <c r="I885" s="256" t="s">
        <v>17</v>
      </c>
      <c r="J885" s="256" t="s">
        <v>283</v>
      </c>
      <c r="K885" s="256" t="s">
        <v>283</v>
      </c>
      <c r="L885" s="256" t="s">
        <v>283</v>
      </c>
      <c r="M885" s="256" t="s">
        <v>283</v>
      </c>
      <c r="N885" s="256" t="s">
        <v>283</v>
      </c>
      <c r="O885" s="257" t="s">
        <v>17</v>
      </c>
      <c r="P885" s="257" t="s">
        <v>17</v>
      </c>
      <c r="Q885" s="257" t="s">
        <v>15</v>
      </c>
      <c r="R885" s="257" t="s">
        <v>283</v>
      </c>
      <c r="S885" s="257" t="s">
        <v>283</v>
      </c>
      <c r="T885" s="257" t="s">
        <v>283</v>
      </c>
      <c r="U885" s="257" t="s">
        <v>283</v>
      </c>
      <c r="V885" s="257" t="s">
        <v>283</v>
      </c>
      <c r="W885" s="258" t="s">
        <v>283</v>
      </c>
      <c r="X885" s="258" t="s">
        <v>283</v>
      </c>
      <c r="Y885" s="259" t="s">
        <v>283</v>
      </c>
    </row>
    <row r="886" spans="1:25">
      <c r="A886" s="253">
        <v>17</v>
      </c>
      <c r="B886" s="254" t="str">
        <f>VLOOKUP(Tabel10[[#This Row],[Code]],Ruimtegroepen[[Code]:[Ruimte omschrijving]],2,FALSE)</f>
        <v>Toestelberging</v>
      </c>
      <c r="C886" s="255" t="s">
        <v>1023</v>
      </c>
      <c r="D886" s="254" t="s">
        <v>29</v>
      </c>
      <c r="E886" s="255" t="s">
        <v>100</v>
      </c>
      <c r="F886" s="255" t="s">
        <v>1024</v>
      </c>
      <c r="G886" s="260" t="s">
        <v>283</v>
      </c>
      <c r="H886" s="256" t="s">
        <v>283</v>
      </c>
      <c r="I886" s="256" t="s">
        <v>20</v>
      </c>
      <c r="J886" s="256" t="s">
        <v>15</v>
      </c>
      <c r="K886" s="256" t="s">
        <v>283</v>
      </c>
      <c r="L886" s="256" t="s">
        <v>283</v>
      </c>
      <c r="M886" s="256" t="s">
        <v>283</v>
      </c>
      <c r="N886" s="256" t="s">
        <v>2</v>
      </c>
      <c r="O886" s="257" t="s">
        <v>2</v>
      </c>
      <c r="P886" s="257" t="s">
        <v>2</v>
      </c>
      <c r="Q886" s="257" t="s">
        <v>15</v>
      </c>
      <c r="R886" s="257" t="s">
        <v>15</v>
      </c>
      <c r="S886" s="257" t="s">
        <v>16</v>
      </c>
      <c r="T886" s="257" t="s">
        <v>330</v>
      </c>
      <c r="U886" s="257" t="s">
        <v>250</v>
      </c>
      <c r="V886" s="257" t="s">
        <v>2</v>
      </c>
      <c r="W886" s="258" t="s">
        <v>283</v>
      </c>
      <c r="X886" s="258" t="s">
        <v>283</v>
      </c>
      <c r="Y886" s="259" t="s">
        <v>283</v>
      </c>
    </row>
    <row r="887" spans="1:25">
      <c r="A887" s="253">
        <v>17</v>
      </c>
      <c r="B887" s="254" t="str">
        <f>VLOOKUP(Tabel10[[#This Row],[Code]],Ruimtegroepen[[Code]:[Ruimte omschrijving]],2,FALSE)</f>
        <v>Toestelberging</v>
      </c>
      <c r="C887" s="255" t="s">
        <v>1023</v>
      </c>
      <c r="D887" s="254" t="s">
        <v>29</v>
      </c>
      <c r="E887" s="255" t="s">
        <v>99</v>
      </c>
      <c r="F887" s="255" t="s">
        <v>1025</v>
      </c>
      <c r="G887" s="256" t="s">
        <v>20</v>
      </c>
      <c r="H887" s="256" t="s">
        <v>15</v>
      </c>
      <c r="I887" s="256" t="s">
        <v>283</v>
      </c>
      <c r="J887" s="256" t="s">
        <v>283</v>
      </c>
      <c r="K887" s="256" t="s">
        <v>283</v>
      </c>
      <c r="L887" s="256" t="s">
        <v>283</v>
      </c>
      <c r="M887" s="256" t="s">
        <v>283</v>
      </c>
      <c r="N887" s="256" t="s">
        <v>2</v>
      </c>
      <c r="O887" s="257" t="s">
        <v>2</v>
      </c>
      <c r="P887" s="257" t="s">
        <v>2</v>
      </c>
      <c r="Q887" s="257" t="s">
        <v>15</v>
      </c>
      <c r="R887" s="257" t="s">
        <v>15</v>
      </c>
      <c r="S887" s="257" t="s">
        <v>16</v>
      </c>
      <c r="T887" s="257" t="s">
        <v>330</v>
      </c>
      <c r="U887" s="257" t="s">
        <v>250</v>
      </c>
      <c r="V887" s="257" t="s">
        <v>2</v>
      </c>
      <c r="W887" s="258" t="s">
        <v>283</v>
      </c>
      <c r="X887" s="258" t="s">
        <v>283</v>
      </c>
      <c r="Y887" s="259" t="s">
        <v>283</v>
      </c>
    </row>
    <row r="888" spans="1:25">
      <c r="A888" s="253">
        <v>17</v>
      </c>
      <c r="B888" s="254" t="str">
        <f>VLOOKUP(Tabel10[[#This Row],[Code]],Ruimtegroepen[[Code]:[Ruimte omschrijving]],2,FALSE)</f>
        <v>Toestelberging</v>
      </c>
      <c r="C888" s="255" t="s">
        <v>1023</v>
      </c>
      <c r="D888" s="254" t="s">
        <v>29</v>
      </c>
      <c r="E888" s="255" t="s">
        <v>101</v>
      </c>
      <c r="F888" s="255" t="s">
        <v>1026</v>
      </c>
      <c r="G888" s="260" t="s">
        <v>283</v>
      </c>
      <c r="H888" s="256" t="s">
        <v>283</v>
      </c>
      <c r="I888" s="256" t="s">
        <v>20</v>
      </c>
      <c r="J888" s="256" t="s">
        <v>15</v>
      </c>
      <c r="K888" s="256" t="s">
        <v>284</v>
      </c>
      <c r="L888" s="256" t="s">
        <v>283</v>
      </c>
      <c r="M888" s="256" t="s">
        <v>283</v>
      </c>
      <c r="N888" s="256" t="s">
        <v>2</v>
      </c>
      <c r="O888" s="257" t="s">
        <v>2</v>
      </c>
      <c r="P888" s="257" t="s">
        <v>2</v>
      </c>
      <c r="Q888" s="257" t="s">
        <v>15</v>
      </c>
      <c r="R888" s="257" t="s">
        <v>15</v>
      </c>
      <c r="S888" s="257" t="s">
        <v>16</v>
      </c>
      <c r="T888" s="257" t="s">
        <v>330</v>
      </c>
      <c r="U888" s="257" t="s">
        <v>250</v>
      </c>
      <c r="V888" s="257" t="s">
        <v>2</v>
      </c>
      <c r="W888" s="258" t="s">
        <v>283</v>
      </c>
      <c r="X888" s="258" t="s">
        <v>283</v>
      </c>
      <c r="Y888" s="259" t="s">
        <v>283</v>
      </c>
    </row>
    <row r="889" spans="1:25">
      <c r="A889" s="253">
        <v>17</v>
      </c>
      <c r="B889" s="254" t="str">
        <f>VLOOKUP(Tabel10[[#This Row],[Code]],Ruimtegroepen[[Code]:[Ruimte omschrijving]],2,FALSE)</f>
        <v>Toestelberging</v>
      </c>
      <c r="C889" s="255" t="s">
        <v>1023</v>
      </c>
      <c r="D889" s="254" t="s">
        <v>29</v>
      </c>
      <c r="E889" s="255" t="s">
        <v>102</v>
      </c>
      <c r="F889" s="255" t="s">
        <v>1027</v>
      </c>
      <c r="G889" s="260" t="s">
        <v>283</v>
      </c>
      <c r="H889" s="256" t="s">
        <v>283</v>
      </c>
      <c r="I889" s="256" t="s">
        <v>20</v>
      </c>
      <c r="J889" s="256" t="s">
        <v>15</v>
      </c>
      <c r="K889" s="256" t="s">
        <v>284</v>
      </c>
      <c r="L889" s="256" t="s">
        <v>283</v>
      </c>
      <c r="M889" s="256" t="s">
        <v>283</v>
      </c>
      <c r="N889" s="256" t="s">
        <v>2</v>
      </c>
      <c r="O889" s="257" t="s">
        <v>2</v>
      </c>
      <c r="P889" s="257" t="s">
        <v>2</v>
      </c>
      <c r="Q889" s="257" t="s">
        <v>15</v>
      </c>
      <c r="R889" s="257" t="s">
        <v>15</v>
      </c>
      <c r="S889" s="257" t="s">
        <v>16</v>
      </c>
      <c r="T889" s="257" t="s">
        <v>330</v>
      </c>
      <c r="U889" s="257" t="s">
        <v>250</v>
      </c>
      <c r="V889" s="257" t="s">
        <v>2</v>
      </c>
      <c r="W889" s="258" t="s">
        <v>283</v>
      </c>
      <c r="X889" s="258" t="s">
        <v>283</v>
      </c>
      <c r="Y889" s="259" t="s">
        <v>283</v>
      </c>
    </row>
    <row r="890" spans="1:25">
      <c r="A890" s="253">
        <v>17</v>
      </c>
      <c r="B890" s="254" t="str">
        <f>VLOOKUP(Tabel10[[#This Row],[Code]],Ruimtegroepen[[Code]:[Ruimte omschrijving]],2,FALSE)</f>
        <v>Toestelberging</v>
      </c>
      <c r="C890" s="255" t="s">
        <v>1023</v>
      </c>
      <c r="D890" s="254" t="s">
        <v>29</v>
      </c>
      <c r="E890" s="255" t="s">
        <v>99</v>
      </c>
      <c r="F890" s="255" t="s">
        <v>1025</v>
      </c>
      <c r="G890" s="260" t="s">
        <v>283</v>
      </c>
      <c r="H890" s="256" t="s">
        <v>2</v>
      </c>
      <c r="I890" s="256" t="s">
        <v>283</v>
      </c>
      <c r="J890" s="256" t="s">
        <v>283</v>
      </c>
      <c r="K890" s="256" t="s">
        <v>283</v>
      </c>
      <c r="L890" s="256" t="s">
        <v>283</v>
      </c>
      <c r="M890" s="256" t="s">
        <v>283</v>
      </c>
      <c r="N890" s="256" t="s">
        <v>2</v>
      </c>
      <c r="O890" s="257" t="s">
        <v>2</v>
      </c>
      <c r="P890" s="257" t="s">
        <v>2</v>
      </c>
      <c r="Q890" s="257" t="s">
        <v>15</v>
      </c>
      <c r="R890" s="257" t="s">
        <v>15</v>
      </c>
      <c r="S890" s="257" t="s">
        <v>16</v>
      </c>
      <c r="T890" s="257" t="s">
        <v>330</v>
      </c>
      <c r="U890" s="257" t="s">
        <v>250</v>
      </c>
      <c r="V890" s="257" t="s">
        <v>2</v>
      </c>
      <c r="W890" s="258" t="s">
        <v>283</v>
      </c>
      <c r="X890" s="258" t="s">
        <v>283</v>
      </c>
      <c r="Y890" s="259" t="s">
        <v>283</v>
      </c>
    </row>
    <row r="891" spans="1:25">
      <c r="A891" s="253">
        <v>17</v>
      </c>
      <c r="B891" s="254" t="str">
        <f>VLOOKUP(Tabel10[[#This Row],[Code]],Ruimtegroepen[[Code]:[Ruimte omschrijving]],2,FALSE)</f>
        <v>Toestelberging</v>
      </c>
      <c r="C891" s="255" t="s">
        <v>1023</v>
      </c>
      <c r="D891" s="254" t="s">
        <v>29</v>
      </c>
      <c r="E891" s="255" t="s">
        <v>1312</v>
      </c>
      <c r="F891" s="255" t="s">
        <v>1493</v>
      </c>
      <c r="G891" s="260" t="s">
        <v>283</v>
      </c>
      <c r="H891" s="256" t="s">
        <v>283</v>
      </c>
      <c r="I891" s="256" t="s">
        <v>20</v>
      </c>
      <c r="J891" s="256" t="s">
        <v>15</v>
      </c>
      <c r="K891" s="256" t="s">
        <v>284</v>
      </c>
      <c r="L891" s="256" t="s">
        <v>283</v>
      </c>
      <c r="M891" s="256" t="s">
        <v>283</v>
      </c>
      <c r="N891" s="256" t="s">
        <v>2</v>
      </c>
      <c r="O891" s="257" t="s">
        <v>2</v>
      </c>
      <c r="P891" s="257" t="s">
        <v>2</v>
      </c>
      <c r="Q891" s="257" t="s">
        <v>15</v>
      </c>
      <c r="R891" s="257" t="s">
        <v>15</v>
      </c>
      <c r="S891" s="257" t="s">
        <v>16</v>
      </c>
      <c r="T891" s="257" t="s">
        <v>330</v>
      </c>
      <c r="U891" s="257" t="s">
        <v>250</v>
      </c>
      <c r="V891" s="257" t="s">
        <v>2</v>
      </c>
      <c r="W891" s="258" t="s">
        <v>283</v>
      </c>
      <c r="X891" s="258" t="s">
        <v>283</v>
      </c>
      <c r="Y891" s="259" t="s">
        <v>283</v>
      </c>
    </row>
    <row r="892" spans="1:25">
      <c r="A892" s="253">
        <v>17</v>
      </c>
      <c r="B892" s="254" t="str">
        <f>VLOOKUP(Tabel10[[#This Row],[Code]],Ruimtegroepen[[Code]:[Ruimte omschrijving]],2,FALSE)</f>
        <v>Toestelberging</v>
      </c>
      <c r="C892" s="255" t="s">
        <v>1028</v>
      </c>
      <c r="D892" s="254" t="s">
        <v>1</v>
      </c>
      <c r="E892" s="255" t="s">
        <v>100</v>
      </c>
      <c r="F892" s="255" t="s">
        <v>1029</v>
      </c>
      <c r="G892" s="260" t="s">
        <v>283</v>
      </c>
      <c r="H892" s="256" t="s">
        <v>283</v>
      </c>
      <c r="I892" s="256" t="s">
        <v>20</v>
      </c>
      <c r="J892" s="256" t="s">
        <v>15</v>
      </c>
      <c r="K892" s="256" t="s">
        <v>283</v>
      </c>
      <c r="L892" s="256" t="s">
        <v>283</v>
      </c>
      <c r="M892" s="256" t="s">
        <v>283</v>
      </c>
      <c r="N892" s="256" t="s">
        <v>283</v>
      </c>
      <c r="O892" s="257" t="s">
        <v>2</v>
      </c>
      <c r="P892" s="257" t="s">
        <v>2</v>
      </c>
      <c r="Q892" s="257" t="s">
        <v>15</v>
      </c>
      <c r="R892" s="257" t="s">
        <v>15</v>
      </c>
      <c r="S892" s="257" t="s">
        <v>16</v>
      </c>
      <c r="T892" s="257" t="s">
        <v>330</v>
      </c>
      <c r="U892" s="257" t="s">
        <v>250</v>
      </c>
      <c r="V892" s="257" t="s">
        <v>283</v>
      </c>
      <c r="W892" s="258" t="s">
        <v>283</v>
      </c>
      <c r="X892" s="258" t="s">
        <v>283</v>
      </c>
      <c r="Y892" s="259" t="s">
        <v>283</v>
      </c>
    </row>
    <row r="893" spans="1:25">
      <c r="A893" s="253">
        <v>17</v>
      </c>
      <c r="B893" s="254" t="str">
        <f>VLOOKUP(Tabel10[[#This Row],[Code]],Ruimtegroepen[[Code]:[Ruimte omschrijving]],2,FALSE)</f>
        <v>Toestelberging</v>
      </c>
      <c r="C893" s="255" t="s">
        <v>1028</v>
      </c>
      <c r="D893" s="254" t="s">
        <v>1</v>
      </c>
      <c r="E893" s="255" t="s">
        <v>99</v>
      </c>
      <c r="F893" s="255" t="s">
        <v>1030</v>
      </c>
      <c r="G893" s="256" t="s">
        <v>20</v>
      </c>
      <c r="H893" s="256" t="s">
        <v>15</v>
      </c>
      <c r="I893" s="256" t="s">
        <v>283</v>
      </c>
      <c r="J893" s="256" t="s">
        <v>283</v>
      </c>
      <c r="K893" s="256" t="s">
        <v>283</v>
      </c>
      <c r="L893" s="256" t="s">
        <v>283</v>
      </c>
      <c r="M893" s="256" t="s">
        <v>283</v>
      </c>
      <c r="N893" s="256" t="s">
        <v>283</v>
      </c>
      <c r="O893" s="257" t="s">
        <v>2</v>
      </c>
      <c r="P893" s="257" t="s">
        <v>2</v>
      </c>
      <c r="Q893" s="257" t="s">
        <v>15</v>
      </c>
      <c r="R893" s="257" t="s">
        <v>15</v>
      </c>
      <c r="S893" s="257" t="s">
        <v>16</v>
      </c>
      <c r="T893" s="257" t="s">
        <v>330</v>
      </c>
      <c r="U893" s="257" t="s">
        <v>250</v>
      </c>
      <c r="V893" s="257" t="s">
        <v>283</v>
      </c>
      <c r="W893" s="258" t="s">
        <v>283</v>
      </c>
      <c r="X893" s="258" t="s">
        <v>283</v>
      </c>
      <c r="Y893" s="259" t="s">
        <v>283</v>
      </c>
    </row>
    <row r="894" spans="1:25">
      <c r="A894" s="253">
        <v>17</v>
      </c>
      <c r="B894" s="254" t="str">
        <f>VLOOKUP(Tabel10[[#This Row],[Code]],Ruimtegroepen[[Code]:[Ruimte omschrijving]],2,FALSE)</f>
        <v>Toestelberging</v>
      </c>
      <c r="C894" s="255" t="s">
        <v>1028</v>
      </c>
      <c r="D894" s="254" t="s">
        <v>1</v>
      </c>
      <c r="E894" s="255" t="s">
        <v>101</v>
      </c>
      <c r="F894" s="255" t="s">
        <v>1031</v>
      </c>
      <c r="G894" s="260" t="s">
        <v>283</v>
      </c>
      <c r="H894" s="256" t="s">
        <v>283</v>
      </c>
      <c r="I894" s="256" t="s">
        <v>20</v>
      </c>
      <c r="J894" s="256" t="s">
        <v>15</v>
      </c>
      <c r="K894" s="256" t="s">
        <v>284</v>
      </c>
      <c r="L894" s="256" t="s">
        <v>283</v>
      </c>
      <c r="M894" s="256" t="s">
        <v>283</v>
      </c>
      <c r="N894" s="256" t="s">
        <v>283</v>
      </c>
      <c r="O894" s="257" t="s">
        <v>2</v>
      </c>
      <c r="P894" s="257" t="s">
        <v>2</v>
      </c>
      <c r="Q894" s="257" t="s">
        <v>15</v>
      </c>
      <c r="R894" s="257" t="s">
        <v>15</v>
      </c>
      <c r="S894" s="257" t="s">
        <v>16</v>
      </c>
      <c r="T894" s="257" t="s">
        <v>330</v>
      </c>
      <c r="U894" s="257" t="s">
        <v>250</v>
      </c>
      <c r="V894" s="257" t="s">
        <v>283</v>
      </c>
      <c r="W894" s="258" t="s">
        <v>283</v>
      </c>
      <c r="X894" s="258" t="s">
        <v>283</v>
      </c>
      <c r="Y894" s="259" t="s">
        <v>283</v>
      </c>
    </row>
    <row r="895" spans="1:25">
      <c r="A895" s="253">
        <v>17</v>
      </c>
      <c r="B895" s="254" t="str">
        <f>VLOOKUP(Tabel10[[#This Row],[Code]],Ruimtegroepen[[Code]:[Ruimte omschrijving]],2,FALSE)</f>
        <v>Toestelberging</v>
      </c>
      <c r="C895" s="255" t="s">
        <v>1028</v>
      </c>
      <c r="D895" s="254" t="s">
        <v>1</v>
      </c>
      <c r="E895" s="255" t="s">
        <v>102</v>
      </c>
      <c r="F895" s="255" t="s">
        <v>1032</v>
      </c>
      <c r="G895" s="260" t="s">
        <v>283</v>
      </c>
      <c r="H895" s="256" t="s">
        <v>283</v>
      </c>
      <c r="I895" s="256" t="s">
        <v>20</v>
      </c>
      <c r="J895" s="256" t="s">
        <v>15</v>
      </c>
      <c r="K895" s="256" t="s">
        <v>284</v>
      </c>
      <c r="L895" s="256" t="s">
        <v>283</v>
      </c>
      <c r="M895" s="256" t="s">
        <v>283</v>
      </c>
      <c r="N895" s="256" t="s">
        <v>283</v>
      </c>
      <c r="O895" s="257" t="s">
        <v>2</v>
      </c>
      <c r="P895" s="257" t="s">
        <v>2</v>
      </c>
      <c r="Q895" s="257" t="s">
        <v>15</v>
      </c>
      <c r="R895" s="257" t="s">
        <v>15</v>
      </c>
      <c r="S895" s="257" t="s">
        <v>16</v>
      </c>
      <c r="T895" s="257" t="s">
        <v>330</v>
      </c>
      <c r="U895" s="257" t="s">
        <v>250</v>
      </c>
      <c r="V895" s="257" t="s">
        <v>283</v>
      </c>
      <c r="W895" s="258" t="s">
        <v>283</v>
      </c>
      <c r="X895" s="258" t="s">
        <v>283</v>
      </c>
      <c r="Y895" s="259" t="s">
        <v>283</v>
      </c>
    </row>
    <row r="896" spans="1:25">
      <c r="A896" s="253">
        <v>17</v>
      </c>
      <c r="B896" s="254" t="str">
        <f>VLOOKUP(Tabel10[[#This Row],[Code]],Ruimtegroepen[[Code]:[Ruimte omschrijving]],2,FALSE)</f>
        <v>Toestelberging</v>
      </c>
      <c r="C896" s="255" t="s">
        <v>1028</v>
      </c>
      <c r="D896" s="254" t="s">
        <v>1</v>
      </c>
      <c r="E896" s="255" t="s">
        <v>99</v>
      </c>
      <c r="F896" s="255" t="s">
        <v>1030</v>
      </c>
      <c r="G896" s="260" t="s">
        <v>283</v>
      </c>
      <c r="H896" s="256" t="s">
        <v>2</v>
      </c>
      <c r="I896" s="256" t="s">
        <v>283</v>
      </c>
      <c r="J896" s="256" t="s">
        <v>283</v>
      </c>
      <c r="K896" s="256" t="s">
        <v>283</v>
      </c>
      <c r="L896" s="256" t="s">
        <v>283</v>
      </c>
      <c r="M896" s="256" t="s">
        <v>283</v>
      </c>
      <c r="N896" s="256" t="s">
        <v>283</v>
      </c>
      <c r="O896" s="257" t="s">
        <v>2</v>
      </c>
      <c r="P896" s="257" t="s">
        <v>2</v>
      </c>
      <c r="Q896" s="257" t="s">
        <v>15</v>
      </c>
      <c r="R896" s="257" t="s">
        <v>15</v>
      </c>
      <c r="S896" s="257" t="s">
        <v>16</v>
      </c>
      <c r="T896" s="257" t="s">
        <v>330</v>
      </c>
      <c r="U896" s="257" t="s">
        <v>250</v>
      </c>
      <c r="V896" s="257" t="s">
        <v>283</v>
      </c>
      <c r="W896" s="258" t="s">
        <v>283</v>
      </c>
      <c r="X896" s="258" t="s">
        <v>283</v>
      </c>
      <c r="Y896" s="259" t="s">
        <v>283</v>
      </c>
    </row>
    <row r="897" spans="1:25">
      <c r="A897" s="253">
        <v>17</v>
      </c>
      <c r="B897" s="254" t="str">
        <f>VLOOKUP(Tabel10[[#This Row],[Code]],Ruimtegroepen[[Code]:[Ruimte omschrijving]],2,FALSE)</f>
        <v>Toestelberging</v>
      </c>
      <c r="C897" s="255" t="s">
        <v>1028</v>
      </c>
      <c r="D897" s="254" t="s">
        <v>1</v>
      </c>
      <c r="E897" s="255" t="s">
        <v>1312</v>
      </c>
      <c r="F897" s="255" t="s">
        <v>1477</v>
      </c>
      <c r="G897" s="260" t="s">
        <v>283</v>
      </c>
      <c r="H897" s="256" t="s">
        <v>283</v>
      </c>
      <c r="I897" s="256" t="s">
        <v>20</v>
      </c>
      <c r="J897" s="256" t="s">
        <v>15</v>
      </c>
      <c r="K897" s="256" t="s">
        <v>284</v>
      </c>
      <c r="L897" s="256" t="s">
        <v>283</v>
      </c>
      <c r="M897" s="256" t="s">
        <v>283</v>
      </c>
      <c r="N897" s="256" t="s">
        <v>283</v>
      </c>
      <c r="O897" s="257" t="s">
        <v>2</v>
      </c>
      <c r="P897" s="257" t="s">
        <v>2</v>
      </c>
      <c r="Q897" s="257" t="s">
        <v>15</v>
      </c>
      <c r="R897" s="257" t="s">
        <v>15</v>
      </c>
      <c r="S897" s="257" t="s">
        <v>16</v>
      </c>
      <c r="T897" s="257" t="s">
        <v>330</v>
      </c>
      <c r="U897" s="257" t="s">
        <v>250</v>
      </c>
      <c r="V897" s="257" t="s">
        <v>283</v>
      </c>
      <c r="W897" s="258" t="s">
        <v>283</v>
      </c>
      <c r="X897" s="258" t="s">
        <v>283</v>
      </c>
      <c r="Y897" s="259" t="s">
        <v>283</v>
      </c>
    </row>
    <row r="898" spans="1:25">
      <c r="A898" s="253">
        <v>17</v>
      </c>
      <c r="B898" s="254" t="str">
        <f>VLOOKUP(Tabel10[[#This Row],[Code]],Ruimtegroepen[[Code]:[Ruimte omschrijving]],2,FALSE)</f>
        <v>Toestelberging</v>
      </c>
      <c r="C898" s="255" t="s">
        <v>1033</v>
      </c>
      <c r="D898" s="254" t="s">
        <v>21</v>
      </c>
      <c r="E898" s="255" t="s">
        <v>100</v>
      </c>
      <c r="F898" s="255" t="s">
        <v>1034</v>
      </c>
      <c r="G898" s="260" t="s">
        <v>283</v>
      </c>
      <c r="H898" s="256" t="s">
        <v>283</v>
      </c>
      <c r="I898" s="256" t="s">
        <v>18</v>
      </c>
      <c r="J898" s="256" t="s">
        <v>15</v>
      </c>
      <c r="K898" s="256" t="s">
        <v>283</v>
      </c>
      <c r="L898" s="256" t="s">
        <v>283</v>
      </c>
      <c r="M898" s="256" t="s">
        <v>283</v>
      </c>
      <c r="N898" s="256" t="s">
        <v>283</v>
      </c>
      <c r="O898" s="257" t="s">
        <v>20</v>
      </c>
      <c r="P898" s="257" t="s">
        <v>20</v>
      </c>
      <c r="Q898" s="257" t="s">
        <v>15</v>
      </c>
      <c r="R898" s="257" t="s">
        <v>15</v>
      </c>
      <c r="S898" s="257" t="s">
        <v>16</v>
      </c>
      <c r="T898" s="257" t="s">
        <v>330</v>
      </c>
      <c r="U898" s="257" t="s">
        <v>250</v>
      </c>
      <c r="V898" s="257" t="s">
        <v>283</v>
      </c>
      <c r="W898" s="258" t="s">
        <v>283</v>
      </c>
      <c r="X898" s="258" t="s">
        <v>283</v>
      </c>
      <c r="Y898" s="259" t="s">
        <v>283</v>
      </c>
    </row>
    <row r="899" spans="1:25">
      <c r="A899" s="253">
        <v>17</v>
      </c>
      <c r="B899" s="254" t="str">
        <f>VLOOKUP(Tabel10[[#This Row],[Code]],Ruimtegroepen[[Code]:[Ruimte omschrijving]],2,FALSE)</f>
        <v>Toestelberging</v>
      </c>
      <c r="C899" s="255" t="s">
        <v>1033</v>
      </c>
      <c r="D899" s="254" t="s">
        <v>21</v>
      </c>
      <c r="E899" s="255" t="s">
        <v>99</v>
      </c>
      <c r="F899" s="255" t="s">
        <v>1035</v>
      </c>
      <c r="G899" s="256" t="s">
        <v>18</v>
      </c>
      <c r="H899" s="256" t="s">
        <v>15</v>
      </c>
      <c r="I899" s="256" t="s">
        <v>283</v>
      </c>
      <c r="J899" s="256" t="s">
        <v>283</v>
      </c>
      <c r="K899" s="256" t="s">
        <v>283</v>
      </c>
      <c r="L899" s="256" t="s">
        <v>283</v>
      </c>
      <c r="M899" s="256" t="s">
        <v>283</v>
      </c>
      <c r="N899" s="256" t="s">
        <v>283</v>
      </c>
      <c r="O899" s="257" t="s">
        <v>20</v>
      </c>
      <c r="P899" s="257" t="s">
        <v>20</v>
      </c>
      <c r="Q899" s="257" t="s">
        <v>15</v>
      </c>
      <c r="R899" s="257" t="s">
        <v>15</v>
      </c>
      <c r="S899" s="257" t="s">
        <v>16</v>
      </c>
      <c r="T899" s="257" t="s">
        <v>330</v>
      </c>
      <c r="U899" s="257" t="s">
        <v>250</v>
      </c>
      <c r="V899" s="257" t="s">
        <v>283</v>
      </c>
      <c r="W899" s="258" t="s">
        <v>283</v>
      </c>
      <c r="X899" s="258" t="s">
        <v>283</v>
      </c>
      <c r="Y899" s="259" t="s">
        <v>283</v>
      </c>
    </row>
    <row r="900" spans="1:25">
      <c r="A900" s="253">
        <v>17</v>
      </c>
      <c r="B900" s="254" t="str">
        <f>VLOOKUP(Tabel10[[#This Row],[Code]],Ruimtegroepen[[Code]:[Ruimte omschrijving]],2,FALSE)</f>
        <v>Toestelberging</v>
      </c>
      <c r="C900" s="255" t="s">
        <v>1033</v>
      </c>
      <c r="D900" s="254" t="s">
        <v>21</v>
      </c>
      <c r="E900" s="255" t="s">
        <v>101</v>
      </c>
      <c r="F900" s="255" t="s">
        <v>1036</v>
      </c>
      <c r="G900" s="260" t="s">
        <v>283</v>
      </c>
      <c r="H900" s="256" t="s">
        <v>283</v>
      </c>
      <c r="I900" s="256" t="s">
        <v>18</v>
      </c>
      <c r="J900" s="256" t="s">
        <v>15</v>
      </c>
      <c r="K900" s="256" t="s">
        <v>284</v>
      </c>
      <c r="L900" s="256" t="s">
        <v>283</v>
      </c>
      <c r="M900" s="256" t="s">
        <v>283</v>
      </c>
      <c r="N900" s="256" t="s">
        <v>283</v>
      </c>
      <c r="O900" s="257" t="s">
        <v>20</v>
      </c>
      <c r="P900" s="257" t="s">
        <v>20</v>
      </c>
      <c r="Q900" s="257" t="s">
        <v>15</v>
      </c>
      <c r="R900" s="257" t="s">
        <v>15</v>
      </c>
      <c r="S900" s="257" t="s">
        <v>16</v>
      </c>
      <c r="T900" s="257" t="s">
        <v>330</v>
      </c>
      <c r="U900" s="257" t="s">
        <v>250</v>
      </c>
      <c r="V900" s="257" t="s">
        <v>283</v>
      </c>
      <c r="W900" s="258" t="s">
        <v>283</v>
      </c>
      <c r="X900" s="258" t="s">
        <v>283</v>
      </c>
      <c r="Y900" s="259" t="s">
        <v>283</v>
      </c>
    </row>
    <row r="901" spans="1:25">
      <c r="A901" s="253">
        <v>17</v>
      </c>
      <c r="B901" s="254" t="str">
        <f>VLOOKUP(Tabel10[[#This Row],[Code]],Ruimtegroepen[[Code]:[Ruimte omschrijving]],2,FALSE)</f>
        <v>Toestelberging</v>
      </c>
      <c r="C901" s="255" t="s">
        <v>1033</v>
      </c>
      <c r="D901" s="254" t="s">
        <v>21</v>
      </c>
      <c r="E901" s="255" t="s">
        <v>102</v>
      </c>
      <c r="F901" s="255" t="s">
        <v>1037</v>
      </c>
      <c r="G901" s="260" t="s">
        <v>283</v>
      </c>
      <c r="H901" s="256" t="s">
        <v>283</v>
      </c>
      <c r="I901" s="256" t="s">
        <v>18</v>
      </c>
      <c r="J901" s="256" t="s">
        <v>15</v>
      </c>
      <c r="K901" s="256" t="s">
        <v>284</v>
      </c>
      <c r="L901" s="256" t="s">
        <v>283</v>
      </c>
      <c r="M901" s="256" t="s">
        <v>283</v>
      </c>
      <c r="N901" s="256" t="s">
        <v>283</v>
      </c>
      <c r="O901" s="257" t="s">
        <v>20</v>
      </c>
      <c r="P901" s="257" t="s">
        <v>20</v>
      </c>
      <c r="Q901" s="257" t="s">
        <v>15</v>
      </c>
      <c r="R901" s="257" t="s">
        <v>15</v>
      </c>
      <c r="S901" s="257" t="s">
        <v>16</v>
      </c>
      <c r="T901" s="257" t="s">
        <v>330</v>
      </c>
      <c r="U901" s="257" t="s">
        <v>250</v>
      </c>
      <c r="V901" s="257" t="s">
        <v>283</v>
      </c>
      <c r="W901" s="258" t="s">
        <v>283</v>
      </c>
      <c r="X901" s="258" t="s">
        <v>283</v>
      </c>
      <c r="Y901" s="259" t="s">
        <v>283</v>
      </c>
    </row>
    <row r="902" spans="1:25">
      <c r="A902" s="253">
        <v>17</v>
      </c>
      <c r="B902" s="254" t="str">
        <f>VLOOKUP(Tabel10[[#This Row],[Code]],Ruimtegroepen[[Code]:[Ruimte omschrijving]],2,FALSE)</f>
        <v>Toestelberging</v>
      </c>
      <c r="C902" s="255" t="s">
        <v>1033</v>
      </c>
      <c r="D902" s="254" t="s">
        <v>21</v>
      </c>
      <c r="E902" s="255" t="s">
        <v>99</v>
      </c>
      <c r="F902" s="255" t="s">
        <v>1035</v>
      </c>
      <c r="G902" s="260" t="s">
        <v>283</v>
      </c>
      <c r="H902" s="256" t="s">
        <v>20</v>
      </c>
      <c r="I902" s="256" t="s">
        <v>283</v>
      </c>
      <c r="J902" s="256" t="s">
        <v>283</v>
      </c>
      <c r="K902" s="256" t="s">
        <v>283</v>
      </c>
      <c r="L902" s="256" t="s">
        <v>283</v>
      </c>
      <c r="M902" s="256" t="s">
        <v>283</v>
      </c>
      <c r="N902" s="256" t="s">
        <v>283</v>
      </c>
      <c r="O902" s="257" t="s">
        <v>20</v>
      </c>
      <c r="P902" s="257" t="s">
        <v>20</v>
      </c>
      <c r="Q902" s="257" t="s">
        <v>15</v>
      </c>
      <c r="R902" s="257" t="s">
        <v>15</v>
      </c>
      <c r="S902" s="257" t="s">
        <v>16</v>
      </c>
      <c r="T902" s="257" t="s">
        <v>330</v>
      </c>
      <c r="U902" s="257" t="s">
        <v>250</v>
      </c>
      <c r="V902" s="257" t="s">
        <v>283</v>
      </c>
      <c r="W902" s="258" t="s">
        <v>283</v>
      </c>
      <c r="X902" s="258" t="s">
        <v>283</v>
      </c>
      <c r="Y902" s="259" t="s">
        <v>283</v>
      </c>
    </row>
    <row r="903" spans="1:25">
      <c r="A903" s="253">
        <v>17</v>
      </c>
      <c r="B903" s="254" t="str">
        <f>VLOOKUP(Tabel10[[#This Row],[Code]],Ruimtegroepen[[Code]:[Ruimte omschrijving]],2,FALSE)</f>
        <v>Toestelberging</v>
      </c>
      <c r="C903" s="255" t="s">
        <v>1033</v>
      </c>
      <c r="D903" s="254" t="s">
        <v>21</v>
      </c>
      <c r="E903" s="255" t="s">
        <v>1312</v>
      </c>
      <c r="F903" s="255" t="s">
        <v>1460</v>
      </c>
      <c r="G903" s="260" t="s">
        <v>283</v>
      </c>
      <c r="H903" s="256" t="s">
        <v>283</v>
      </c>
      <c r="I903" s="256" t="s">
        <v>18</v>
      </c>
      <c r="J903" s="256" t="s">
        <v>15</v>
      </c>
      <c r="K903" s="256" t="s">
        <v>284</v>
      </c>
      <c r="L903" s="256" t="s">
        <v>283</v>
      </c>
      <c r="M903" s="256" t="s">
        <v>283</v>
      </c>
      <c r="N903" s="256" t="s">
        <v>283</v>
      </c>
      <c r="O903" s="257" t="s">
        <v>20</v>
      </c>
      <c r="P903" s="257" t="s">
        <v>20</v>
      </c>
      <c r="Q903" s="257" t="s">
        <v>15</v>
      </c>
      <c r="R903" s="257" t="s">
        <v>15</v>
      </c>
      <c r="S903" s="257" t="s">
        <v>16</v>
      </c>
      <c r="T903" s="257" t="s">
        <v>330</v>
      </c>
      <c r="U903" s="257" t="s">
        <v>250</v>
      </c>
      <c r="V903" s="257" t="s">
        <v>283</v>
      </c>
      <c r="W903" s="258" t="s">
        <v>283</v>
      </c>
      <c r="X903" s="258" t="s">
        <v>283</v>
      </c>
      <c r="Y903" s="259" t="s">
        <v>283</v>
      </c>
    </row>
    <row r="904" spans="1:25">
      <c r="A904" s="253">
        <v>17</v>
      </c>
      <c r="B904" s="254" t="str">
        <f>VLOOKUP(Tabel10[[#This Row],[Code]],Ruimtegroepen[[Code]:[Ruimte omschrijving]],2,FALSE)</f>
        <v>Toestelberging</v>
      </c>
      <c r="C904" s="255" t="s">
        <v>1038</v>
      </c>
      <c r="D904" s="254" t="s">
        <v>12</v>
      </c>
      <c r="E904" s="255" t="s">
        <v>100</v>
      </c>
      <c r="F904" s="255" t="s">
        <v>1039</v>
      </c>
      <c r="G904" s="260" t="s">
        <v>283</v>
      </c>
      <c r="H904" s="256" t="s">
        <v>283</v>
      </c>
      <c r="I904" s="256" t="s">
        <v>17</v>
      </c>
      <c r="J904" s="256" t="s">
        <v>15</v>
      </c>
      <c r="K904" s="256" t="s">
        <v>283</v>
      </c>
      <c r="L904" s="256" t="s">
        <v>283</v>
      </c>
      <c r="M904" s="256" t="s">
        <v>283</v>
      </c>
      <c r="N904" s="256" t="s">
        <v>283</v>
      </c>
      <c r="O904" s="257" t="s">
        <v>18</v>
      </c>
      <c r="P904" s="257" t="s">
        <v>18</v>
      </c>
      <c r="Q904" s="257" t="s">
        <v>15</v>
      </c>
      <c r="R904" s="257" t="s">
        <v>15</v>
      </c>
      <c r="S904" s="257" t="s">
        <v>16</v>
      </c>
      <c r="T904" s="257" t="s">
        <v>330</v>
      </c>
      <c r="U904" s="257" t="s">
        <v>250</v>
      </c>
      <c r="V904" s="257" t="s">
        <v>283</v>
      </c>
      <c r="W904" s="258" t="s">
        <v>283</v>
      </c>
      <c r="X904" s="258" t="s">
        <v>283</v>
      </c>
      <c r="Y904" s="259" t="s">
        <v>283</v>
      </c>
    </row>
    <row r="905" spans="1:25">
      <c r="A905" s="253">
        <v>17</v>
      </c>
      <c r="B905" s="254" t="str">
        <f>VLOOKUP(Tabel10[[#This Row],[Code]],Ruimtegroepen[[Code]:[Ruimte omschrijving]],2,FALSE)</f>
        <v>Toestelberging</v>
      </c>
      <c r="C905" s="255" t="s">
        <v>1038</v>
      </c>
      <c r="D905" s="254" t="s">
        <v>12</v>
      </c>
      <c r="E905" s="255" t="s">
        <v>99</v>
      </c>
      <c r="F905" s="255" t="s">
        <v>1040</v>
      </c>
      <c r="G905" s="256" t="s">
        <v>17</v>
      </c>
      <c r="H905" s="256" t="s">
        <v>15</v>
      </c>
      <c r="I905" s="256" t="s">
        <v>283</v>
      </c>
      <c r="J905" s="256" t="s">
        <v>283</v>
      </c>
      <c r="K905" s="256" t="s">
        <v>283</v>
      </c>
      <c r="L905" s="256" t="s">
        <v>283</v>
      </c>
      <c r="M905" s="256" t="s">
        <v>283</v>
      </c>
      <c r="N905" s="256" t="s">
        <v>283</v>
      </c>
      <c r="O905" s="257" t="s">
        <v>18</v>
      </c>
      <c r="P905" s="257" t="s">
        <v>18</v>
      </c>
      <c r="Q905" s="257" t="s">
        <v>15</v>
      </c>
      <c r="R905" s="257" t="s">
        <v>15</v>
      </c>
      <c r="S905" s="257" t="s">
        <v>16</v>
      </c>
      <c r="T905" s="257" t="s">
        <v>330</v>
      </c>
      <c r="U905" s="257" t="s">
        <v>250</v>
      </c>
      <c r="V905" s="257" t="s">
        <v>283</v>
      </c>
      <c r="W905" s="258" t="s">
        <v>283</v>
      </c>
      <c r="X905" s="258" t="s">
        <v>283</v>
      </c>
      <c r="Y905" s="259" t="s">
        <v>283</v>
      </c>
    </row>
    <row r="906" spans="1:25">
      <c r="A906" s="253">
        <v>17</v>
      </c>
      <c r="B906" s="254" t="str">
        <f>VLOOKUP(Tabel10[[#This Row],[Code]],Ruimtegroepen[[Code]:[Ruimte omschrijving]],2,FALSE)</f>
        <v>Toestelberging</v>
      </c>
      <c r="C906" s="255" t="s">
        <v>1038</v>
      </c>
      <c r="D906" s="254" t="s">
        <v>12</v>
      </c>
      <c r="E906" s="255" t="s">
        <v>101</v>
      </c>
      <c r="F906" s="255" t="s">
        <v>1041</v>
      </c>
      <c r="G906" s="260" t="s">
        <v>283</v>
      </c>
      <c r="H906" s="256" t="s">
        <v>283</v>
      </c>
      <c r="I906" s="256" t="s">
        <v>17</v>
      </c>
      <c r="J906" s="256" t="s">
        <v>15</v>
      </c>
      <c r="K906" s="256" t="s">
        <v>284</v>
      </c>
      <c r="L906" s="256" t="s">
        <v>283</v>
      </c>
      <c r="M906" s="256" t="s">
        <v>283</v>
      </c>
      <c r="N906" s="256" t="s">
        <v>283</v>
      </c>
      <c r="O906" s="257" t="s">
        <v>18</v>
      </c>
      <c r="P906" s="257" t="s">
        <v>18</v>
      </c>
      <c r="Q906" s="257" t="s">
        <v>15</v>
      </c>
      <c r="R906" s="257" t="s">
        <v>15</v>
      </c>
      <c r="S906" s="257" t="s">
        <v>16</v>
      </c>
      <c r="T906" s="257" t="s">
        <v>330</v>
      </c>
      <c r="U906" s="257" t="s">
        <v>250</v>
      </c>
      <c r="V906" s="257" t="s">
        <v>283</v>
      </c>
      <c r="W906" s="258" t="s">
        <v>283</v>
      </c>
      <c r="X906" s="258" t="s">
        <v>283</v>
      </c>
      <c r="Y906" s="259" t="s">
        <v>283</v>
      </c>
    </row>
    <row r="907" spans="1:25">
      <c r="A907" s="253">
        <v>17</v>
      </c>
      <c r="B907" s="254" t="str">
        <f>VLOOKUP(Tabel10[[#This Row],[Code]],Ruimtegroepen[[Code]:[Ruimte omschrijving]],2,FALSE)</f>
        <v>Toestelberging</v>
      </c>
      <c r="C907" s="255" t="s">
        <v>1038</v>
      </c>
      <c r="D907" s="254" t="s">
        <v>12</v>
      </c>
      <c r="E907" s="255" t="s">
        <v>102</v>
      </c>
      <c r="F907" s="255" t="s">
        <v>1042</v>
      </c>
      <c r="G907" s="260" t="s">
        <v>283</v>
      </c>
      <c r="H907" s="256" t="s">
        <v>283</v>
      </c>
      <c r="I907" s="256" t="s">
        <v>17</v>
      </c>
      <c r="J907" s="256" t="s">
        <v>15</v>
      </c>
      <c r="K907" s="256" t="s">
        <v>284</v>
      </c>
      <c r="L907" s="256" t="s">
        <v>283</v>
      </c>
      <c r="M907" s="256" t="s">
        <v>283</v>
      </c>
      <c r="N907" s="256" t="s">
        <v>283</v>
      </c>
      <c r="O907" s="257" t="s">
        <v>18</v>
      </c>
      <c r="P907" s="257" t="s">
        <v>18</v>
      </c>
      <c r="Q907" s="257" t="s">
        <v>15</v>
      </c>
      <c r="R907" s="257" t="s">
        <v>15</v>
      </c>
      <c r="S907" s="257" t="s">
        <v>16</v>
      </c>
      <c r="T907" s="257" t="s">
        <v>330</v>
      </c>
      <c r="U907" s="257" t="s">
        <v>250</v>
      </c>
      <c r="V907" s="257" t="s">
        <v>283</v>
      </c>
      <c r="W907" s="258" t="s">
        <v>283</v>
      </c>
      <c r="X907" s="258" t="s">
        <v>283</v>
      </c>
      <c r="Y907" s="259" t="s">
        <v>283</v>
      </c>
    </row>
    <row r="908" spans="1:25">
      <c r="A908" s="253">
        <v>17</v>
      </c>
      <c r="B908" s="254" t="str">
        <f>VLOOKUP(Tabel10[[#This Row],[Code]],Ruimtegroepen[[Code]:[Ruimte omschrijving]],2,FALSE)</f>
        <v>Toestelberging</v>
      </c>
      <c r="C908" s="255" t="s">
        <v>1038</v>
      </c>
      <c r="D908" s="254" t="s">
        <v>12</v>
      </c>
      <c r="E908" s="255" t="s">
        <v>99</v>
      </c>
      <c r="F908" s="255" t="s">
        <v>1040</v>
      </c>
      <c r="G908" s="260" t="s">
        <v>283</v>
      </c>
      <c r="H908" s="256" t="s">
        <v>18</v>
      </c>
      <c r="I908" s="256" t="s">
        <v>283</v>
      </c>
      <c r="J908" s="256" t="s">
        <v>283</v>
      </c>
      <c r="K908" s="256" t="s">
        <v>283</v>
      </c>
      <c r="L908" s="256" t="s">
        <v>283</v>
      </c>
      <c r="M908" s="256" t="s">
        <v>283</v>
      </c>
      <c r="N908" s="256" t="s">
        <v>283</v>
      </c>
      <c r="O908" s="257" t="s">
        <v>18</v>
      </c>
      <c r="P908" s="257" t="s">
        <v>18</v>
      </c>
      <c r="Q908" s="257" t="s">
        <v>15</v>
      </c>
      <c r="R908" s="257" t="s">
        <v>15</v>
      </c>
      <c r="S908" s="257" t="s">
        <v>16</v>
      </c>
      <c r="T908" s="257" t="s">
        <v>330</v>
      </c>
      <c r="U908" s="257" t="s">
        <v>250</v>
      </c>
      <c r="V908" s="257" t="s">
        <v>283</v>
      </c>
      <c r="W908" s="258" t="s">
        <v>283</v>
      </c>
      <c r="X908" s="258" t="s">
        <v>283</v>
      </c>
      <c r="Y908" s="259" t="s">
        <v>283</v>
      </c>
    </row>
    <row r="909" spans="1:25">
      <c r="A909" s="253">
        <v>17</v>
      </c>
      <c r="B909" s="254" t="str">
        <f>VLOOKUP(Tabel10[[#This Row],[Code]],Ruimtegroepen[[Code]:[Ruimte omschrijving]],2,FALSE)</f>
        <v>Toestelberging</v>
      </c>
      <c r="C909" s="255" t="s">
        <v>1038</v>
      </c>
      <c r="D909" s="254" t="s">
        <v>12</v>
      </c>
      <c r="E909" s="255" t="s">
        <v>1312</v>
      </c>
      <c r="F909" s="255" t="s">
        <v>1442</v>
      </c>
      <c r="G909" s="260" t="s">
        <v>283</v>
      </c>
      <c r="H909" s="256" t="s">
        <v>283</v>
      </c>
      <c r="I909" s="256" t="s">
        <v>17</v>
      </c>
      <c r="J909" s="256" t="s">
        <v>15</v>
      </c>
      <c r="K909" s="256" t="s">
        <v>284</v>
      </c>
      <c r="L909" s="256" t="s">
        <v>283</v>
      </c>
      <c r="M909" s="256" t="s">
        <v>283</v>
      </c>
      <c r="N909" s="256" t="s">
        <v>283</v>
      </c>
      <c r="O909" s="257" t="s">
        <v>18</v>
      </c>
      <c r="P909" s="257" t="s">
        <v>18</v>
      </c>
      <c r="Q909" s="257" t="s">
        <v>15</v>
      </c>
      <c r="R909" s="257" t="s">
        <v>15</v>
      </c>
      <c r="S909" s="257" t="s">
        <v>16</v>
      </c>
      <c r="T909" s="257" t="s">
        <v>330</v>
      </c>
      <c r="U909" s="257" t="s">
        <v>250</v>
      </c>
      <c r="V909" s="257" t="s">
        <v>283</v>
      </c>
      <c r="W909" s="258" t="s">
        <v>283</v>
      </c>
      <c r="X909" s="258" t="s">
        <v>283</v>
      </c>
      <c r="Y909" s="259" t="s">
        <v>283</v>
      </c>
    </row>
    <row r="910" spans="1:25">
      <c r="A910" s="253">
        <v>17</v>
      </c>
      <c r="B910" s="254" t="str">
        <f>VLOOKUP(Tabel10[[#This Row],[Code]],Ruimtegroepen[[Code]:[Ruimte omschrijving]],2,FALSE)</f>
        <v>Toestelberging</v>
      </c>
      <c r="C910" s="255" t="s">
        <v>1043</v>
      </c>
      <c r="D910" s="254" t="s">
        <v>14</v>
      </c>
      <c r="E910" s="255" t="s">
        <v>100</v>
      </c>
      <c r="F910" s="255" t="s">
        <v>1044</v>
      </c>
      <c r="G910" s="260" t="s">
        <v>283</v>
      </c>
      <c r="H910" s="256" t="s">
        <v>283</v>
      </c>
      <c r="I910" s="256" t="s">
        <v>15</v>
      </c>
      <c r="J910" s="256" t="s">
        <v>15</v>
      </c>
      <c r="K910" s="256" t="s">
        <v>283</v>
      </c>
      <c r="L910" s="256" t="s">
        <v>283</v>
      </c>
      <c r="M910" s="256" t="s">
        <v>283</v>
      </c>
      <c r="N910" s="256" t="s">
        <v>283</v>
      </c>
      <c r="O910" s="257" t="s">
        <v>17</v>
      </c>
      <c r="P910" s="257" t="s">
        <v>17</v>
      </c>
      <c r="Q910" s="257" t="s">
        <v>15</v>
      </c>
      <c r="R910" s="257" t="s">
        <v>15</v>
      </c>
      <c r="S910" s="257" t="s">
        <v>16</v>
      </c>
      <c r="T910" s="257" t="s">
        <v>330</v>
      </c>
      <c r="U910" s="257" t="s">
        <v>250</v>
      </c>
      <c r="V910" s="257" t="s">
        <v>283</v>
      </c>
      <c r="W910" s="258" t="s">
        <v>283</v>
      </c>
      <c r="X910" s="258" t="s">
        <v>283</v>
      </c>
      <c r="Y910" s="259" t="s">
        <v>283</v>
      </c>
    </row>
    <row r="911" spans="1:25">
      <c r="A911" s="253">
        <v>17</v>
      </c>
      <c r="B911" s="254" t="str">
        <f>VLOOKUP(Tabel10[[#This Row],[Code]],Ruimtegroepen[[Code]:[Ruimte omschrijving]],2,FALSE)</f>
        <v>Toestelberging</v>
      </c>
      <c r="C911" s="255" t="s">
        <v>1043</v>
      </c>
      <c r="D911" s="254" t="s">
        <v>14</v>
      </c>
      <c r="E911" s="255" t="s">
        <v>99</v>
      </c>
      <c r="F911" s="255" t="s">
        <v>1045</v>
      </c>
      <c r="G911" s="256" t="s">
        <v>15</v>
      </c>
      <c r="H911" s="256" t="s">
        <v>15</v>
      </c>
      <c r="I911" s="256" t="s">
        <v>283</v>
      </c>
      <c r="J911" s="256" t="s">
        <v>283</v>
      </c>
      <c r="K911" s="256" t="s">
        <v>283</v>
      </c>
      <c r="L911" s="256" t="s">
        <v>283</v>
      </c>
      <c r="M911" s="256" t="s">
        <v>283</v>
      </c>
      <c r="N911" s="256" t="s">
        <v>283</v>
      </c>
      <c r="O911" s="257" t="s">
        <v>17</v>
      </c>
      <c r="P911" s="257" t="s">
        <v>17</v>
      </c>
      <c r="Q911" s="257" t="s">
        <v>15</v>
      </c>
      <c r="R911" s="257" t="s">
        <v>15</v>
      </c>
      <c r="S911" s="257" t="s">
        <v>16</v>
      </c>
      <c r="T911" s="257" t="s">
        <v>330</v>
      </c>
      <c r="U911" s="257" t="s">
        <v>250</v>
      </c>
      <c r="V911" s="257" t="s">
        <v>283</v>
      </c>
      <c r="W911" s="258" t="s">
        <v>283</v>
      </c>
      <c r="X911" s="258" t="s">
        <v>283</v>
      </c>
      <c r="Y911" s="259" t="s">
        <v>283</v>
      </c>
    </row>
    <row r="912" spans="1:25">
      <c r="A912" s="253">
        <v>17</v>
      </c>
      <c r="B912" s="254" t="str">
        <f>VLOOKUP(Tabel10[[#This Row],[Code]],Ruimtegroepen[[Code]:[Ruimte omschrijving]],2,FALSE)</f>
        <v>Toestelberging</v>
      </c>
      <c r="C912" s="255" t="s">
        <v>1043</v>
      </c>
      <c r="D912" s="254" t="s">
        <v>14</v>
      </c>
      <c r="E912" s="255" t="s">
        <v>101</v>
      </c>
      <c r="F912" s="255" t="s">
        <v>1046</v>
      </c>
      <c r="G912" s="260" t="s">
        <v>283</v>
      </c>
      <c r="H912" s="256" t="s">
        <v>283</v>
      </c>
      <c r="I912" s="256" t="s">
        <v>15</v>
      </c>
      <c r="J912" s="256" t="s">
        <v>15</v>
      </c>
      <c r="K912" s="256" t="s">
        <v>284</v>
      </c>
      <c r="L912" s="256" t="s">
        <v>283</v>
      </c>
      <c r="M912" s="256" t="s">
        <v>283</v>
      </c>
      <c r="N912" s="256" t="s">
        <v>283</v>
      </c>
      <c r="O912" s="257" t="s">
        <v>17</v>
      </c>
      <c r="P912" s="257" t="s">
        <v>17</v>
      </c>
      <c r="Q912" s="257" t="s">
        <v>15</v>
      </c>
      <c r="R912" s="257" t="s">
        <v>15</v>
      </c>
      <c r="S912" s="257" t="s">
        <v>16</v>
      </c>
      <c r="T912" s="257" t="s">
        <v>330</v>
      </c>
      <c r="U912" s="257" t="s">
        <v>250</v>
      </c>
      <c r="V912" s="257" t="s">
        <v>283</v>
      </c>
      <c r="W912" s="258" t="s">
        <v>283</v>
      </c>
      <c r="X912" s="258" t="s">
        <v>283</v>
      </c>
      <c r="Y912" s="259" t="s">
        <v>283</v>
      </c>
    </row>
    <row r="913" spans="1:25">
      <c r="A913" s="253">
        <v>17</v>
      </c>
      <c r="B913" s="254" t="str">
        <f>VLOOKUP(Tabel10[[#This Row],[Code]],Ruimtegroepen[[Code]:[Ruimte omschrijving]],2,FALSE)</f>
        <v>Toestelberging</v>
      </c>
      <c r="C913" s="255" t="s">
        <v>1043</v>
      </c>
      <c r="D913" s="254" t="s">
        <v>14</v>
      </c>
      <c r="E913" s="255" t="s">
        <v>102</v>
      </c>
      <c r="F913" s="255" t="s">
        <v>1047</v>
      </c>
      <c r="G913" s="260" t="s">
        <v>283</v>
      </c>
      <c r="H913" s="256" t="s">
        <v>283</v>
      </c>
      <c r="I913" s="256" t="s">
        <v>15</v>
      </c>
      <c r="J913" s="256" t="s">
        <v>15</v>
      </c>
      <c r="K913" s="256" t="s">
        <v>284</v>
      </c>
      <c r="L913" s="256" t="s">
        <v>283</v>
      </c>
      <c r="M913" s="256" t="s">
        <v>283</v>
      </c>
      <c r="N913" s="256" t="s">
        <v>283</v>
      </c>
      <c r="O913" s="257" t="s">
        <v>17</v>
      </c>
      <c r="P913" s="257" t="s">
        <v>17</v>
      </c>
      <c r="Q913" s="257" t="s">
        <v>15</v>
      </c>
      <c r="R913" s="257" t="s">
        <v>15</v>
      </c>
      <c r="S913" s="257" t="s">
        <v>16</v>
      </c>
      <c r="T913" s="257" t="s">
        <v>330</v>
      </c>
      <c r="U913" s="257" t="s">
        <v>250</v>
      </c>
      <c r="V913" s="257" t="s">
        <v>283</v>
      </c>
      <c r="W913" s="258" t="s">
        <v>283</v>
      </c>
      <c r="X913" s="258" t="s">
        <v>283</v>
      </c>
      <c r="Y913" s="259" t="s">
        <v>283</v>
      </c>
    </row>
    <row r="914" spans="1:25">
      <c r="A914" s="253">
        <v>17</v>
      </c>
      <c r="B914" s="254" t="str">
        <f>VLOOKUP(Tabel10[[#This Row],[Code]],Ruimtegroepen[[Code]:[Ruimte omschrijving]],2,FALSE)</f>
        <v>Toestelberging</v>
      </c>
      <c r="C914" s="255" t="s">
        <v>1043</v>
      </c>
      <c r="D914" s="254" t="s">
        <v>14</v>
      </c>
      <c r="E914" s="255" t="s">
        <v>99</v>
      </c>
      <c r="F914" s="255" t="s">
        <v>1045</v>
      </c>
      <c r="G914" s="260" t="s">
        <v>283</v>
      </c>
      <c r="H914" s="256" t="s">
        <v>17</v>
      </c>
      <c r="I914" s="256" t="s">
        <v>283</v>
      </c>
      <c r="J914" s="256" t="s">
        <v>283</v>
      </c>
      <c r="K914" s="256" t="s">
        <v>283</v>
      </c>
      <c r="L914" s="256" t="s">
        <v>283</v>
      </c>
      <c r="M914" s="256" t="s">
        <v>283</v>
      </c>
      <c r="N914" s="256" t="s">
        <v>283</v>
      </c>
      <c r="O914" s="257" t="s">
        <v>17</v>
      </c>
      <c r="P914" s="257" t="s">
        <v>17</v>
      </c>
      <c r="Q914" s="257" t="s">
        <v>15</v>
      </c>
      <c r="R914" s="257" t="s">
        <v>15</v>
      </c>
      <c r="S914" s="257" t="s">
        <v>16</v>
      </c>
      <c r="T914" s="257" t="s">
        <v>330</v>
      </c>
      <c r="U914" s="257" t="s">
        <v>250</v>
      </c>
      <c r="V914" s="257" t="s">
        <v>283</v>
      </c>
      <c r="W914" s="258" t="s">
        <v>283</v>
      </c>
      <c r="X914" s="258" t="s">
        <v>283</v>
      </c>
      <c r="Y914" s="259" t="s">
        <v>283</v>
      </c>
    </row>
    <row r="915" spans="1:25">
      <c r="A915" s="253">
        <v>17</v>
      </c>
      <c r="B915" s="254" t="str">
        <f>VLOOKUP(Tabel10[[#This Row],[Code]],Ruimtegroepen[[Code]:[Ruimte omschrijving]],2,FALSE)</f>
        <v>Toestelberging</v>
      </c>
      <c r="C915" s="255" t="s">
        <v>1043</v>
      </c>
      <c r="D915" s="254" t="s">
        <v>14</v>
      </c>
      <c r="E915" s="255" t="s">
        <v>1312</v>
      </c>
      <c r="F915" s="255" t="s">
        <v>1409</v>
      </c>
      <c r="G915" s="260" t="s">
        <v>283</v>
      </c>
      <c r="H915" s="256" t="s">
        <v>283</v>
      </c>
      <c r="I915" s="256" t="s">
        <v>15</v>
      </c>
      <c r="J915" s="256" t="s">
        <v>15</v>
      </c>
      <c r="K915" s="256" t="s">
        <v>284</v>
      </c>
      <c r="L915" s="256" t="s">
        <v>283</v>
      </c>
      <c r="M915" s="256" t="s">
        <v>283</v>
      </c>
      <c r="N915" s="256" t="s">
        <v>283</v>
      </c>
      <c r="O915" s="257" t="s">
        <v>17</v>
      </c>
      <c r="P915" s="257" t="s">
        <v>17</v>
      </c>
      <c r="Q915" s="257" t="s">
        <v>15</v>
      </c>
      <c r="R915" s="257" t="s">
        <v>15</v>
      </c>
      <c r="S915" s="257" t="s">
        <v>16</v>
      </c>
      <c r="T915" s="257" t="s">
        <v>330</v>
      </c>
      <c r="U915" s="257" t="s">
        <v>250</v>
      </c>
      <c r="V915" s="257" t="s">
        <v>283</v>
      </c>
      <c r="W915" s="258" t="s">
        <v>283</v>
      </c>
      <c r="X915" s="258" t="s">
        <v>283</v>
      </c>
      <c r="Y915" s="259" t="s">
        <v>283</v>
      </c>
    </row>
    <row r="916" spans="1:25">
      <c r="A916" s="253">
        <v>17</v>
      </c>
      <c r="B916" s="254" t="str">
        <f>VLOOKUP(Tabel10[[#This Row],[Code]],Ruimtegroepen[[Code]:[Ruimte omschrijving]],2,FALSE)</f>
        <v>Toestelberging</v>
      </c>
      <c r="C916" s="255" t="s">
        <v>1048</v>
      </c>
      <c r="D916" s="254" t="s">
        <v>13</v>
      </c>
      <c r="E916" s="255" t="s">
        <v>100</v>
      </c>
      <c r="F916" s="255" t="s">
        <v>1049</v>
      </c>
      <c r="G916" s="260" t="s">
        <v>283</v>
      </c>
      <c r="H916" s="256" t="s">
        <v>283</v>
      </c>
      <c r="I916" s="256" t="s">
        <v>283</v>
      </c>
      <c r="J916" s="256" t="s">
        <v>15</v>
      </c>
      <c r="K916" s="256" t="s">
        <v>283</v>
      </c>
      <c r="L916" s="256" t="s">
        <v>283</v>
      </c>
      <c r="M916" s="256" t="s">
        <v>283</v>
      </c>
      <c r="N916" s="256" t="s">
        <v>283</v>
      </c>
      <c r="O916" s="257" t="s">
        <v>15</v>
      </c>
      <c r="P916" s="257" t="s">
        <v>15</v>
      </c>
      <c r="Q916" s="257" t="s">
        <v>15</v>
      </c>
      <c r="R916" s="257" t="s">
        <v>15</v>
      </c>
      <c r="S916" s="257" t="s">
        <v>16</v>
      </c>
      <c r="T916" s="257" t="s">
        <v>330</v>
      </c>
      <c r="U916" s="257" t="s">
        <v>250</v>
      </c>
      <c r="V916" s="257" t="s">
        <v>283</v>
      </c>
      <c r="W916" s="258" t="s">
        <v>283</v>
      </c>
      <c r="X916" s="258" t="s">
        <v>283</v>
      </c>
      <c r="Y916" s="259" t="s">
        <v>283</v>
      </c>
    </row>
    <row r="917" spans="1:25">
      <c r="A917" s="253">
        <v>17</v>
      </c>
      <c r="B917" s="254" t="str">
        <f>VLOOKUP(Tabel10[[#This Row],[Code]],Ruimtegroepen[[Code]:[Ruimte omschrijving]],2,FALSE)</f>
        <v>Toestelberging</v>
      </c>
      <c r="C917" s="255" t="s">
        <v>1048</v>
      </c>
      <c r="D917" s="254" t="s">
        <v>13</v>
      </c>
      <c r="E917" s="255" t="s">
        <v>99</v>
      </c>
      <c r="F917" s="255" t="s">
        <v>1050</v>
      </c>
      <c r="G917" s="260" t="s">
        <v>283</v>
      </c>
      <c r="H917" s="256" t="s">
        <v>15</v>
      </c>
      <c r="I917" s="256" t="s">
        <v>283</v>
      </c>
      <c r="J917" s="256" t="s">
        <v>283</v>
      </c>
      <c r="K917" s="256" t="s">
        <v>283</v>
      </c>
      <c r="L917" s="256" t="s">
        <v>283</v>
      </c>
      <c r="M917" s="256" t="s">
        <v>283</v>
      </c>
      <c r="N917" s="256" t="s">
        <v>283</v>
      </c>
      <c r="O917" s="257" t="s">
        <v>15</v>
      </c>
      <c r="P917" s="257" t="s">
        <v>15</v>
      </c>
      <c r="Q917" s="257" t="s">
        <v>15</v>
      </c>
      <c r="R917" s="257" t="s">
        <v>15</v>
      </c>
      <c r="S917" s="257" t="s">
        <v>16</v>
      </c>
      <c r="T917" s="257" t="s">
        <v>330</v>
      </c>
      <c r="U917" s="257" t="s">
        <v>250</v>
      </c>
      <c r="V917" s="257" t="s">
        <v>283</v>
      </c>
      <c r="W917" s="258" t="s">
        <v>283</v>
      </c>
      <c r="X917" s="258" t="s">
        <v>283</v>
      </c>
      <c r="Y917" s="259" t="s">
        <v>283</v>
      </c>
    </row>
    <row r="918" spans="1:25">
      <c r="A918" s="253">
        <v>17</v>
      </c>
      <c r="B918" s="254" t="str">
        <f>VLOOKUP(Tabel10[[#This Row],[Code]],Ruimtegroepen[[Code]:[Ruimte omschrijving]],2,FALSE)</f>
        <v>Toestelberging</v>
      </c>
      <c r="C918" s="255" t="s">
        <v>1048</v>
      </c>
      <c r="D918" s="254" t="s">
        <v>13</v>
      </c>
      <c r="E918" s="255" t="s">
        <v>101</v>
      </c>
      <c r="F918" s="255" t="s">
        <v>1051</v>
      </c>
      <c r="G918" s="260" t="s">
        <v>283</v>
      </c>
      <c r="H918" s="256" t="s">
        <v>283</v>
      </c>
      <c r="I918" s="256" t="s">
        <v>283</v>
      </c>
      <c r="J918" s="256" t="s">
        <v>15</v>
      </c>
      <c r="K918" s="256" t="s">
        <v>284</v>
      </c>
      <c r="L918" s="256" t="s">
        <v>283</v>
      </c>
      <c r="M918" s="256" t="s">
        <v>283</v>
      </c>
      <c r="N918" s="256" t="s">
        <v>283</v>
      </c>
      <c r="O918" s="257" t="s">
        <v>15</v>
      </c>
      <c r="P918" s="257" t="s">
        <v>15</v>
      </c>
      <c r="Q918" s="257" t="s">
        <v>15</v>
      </c>
      <c r="R918" s="257" t="s">
        <v>15</v>
      </c>
      <c r="S918" s="257" t="s">
        <v>16</v>
      </c>
      <c r="T918" s="257" t="s">
        <v>330</v>
      </c>
      <c r="U918" s="257" t="s">
        <v>250</v>
      </c>
      <c r="V918" s="257" t="s">
        <v>283</v>
      </c>
      <c r="W918" s="258" t="s">
        <v>283</v>
      </c>
      <c r="X918" s="258" t="s">
        <v>283</v>
      </c>
      <c r="Y918" s="259" t="s">
        <v>283</v>
      </c>
    </row>
    <row r="919" spans="1:25">
      <c r="A919" s="253">
        <v>17</v>
      </c>
      <c r="B919" s="254" t="str">
        <f>VLOOKUP(Tabel10[[#This Row],[Code]],Ruimtegroepen[[Code]:[Ruimte omschrijving]],2,FALSE)</f>
        <v>Toestelberging</v>
      </c>
      <c r="C919" s="255" t="s">
        <v>1048</v>
      </c>
      <c r="D919" s="254" t="s">
        <v>13</v>
      </c>
      <c r="E919" s="255" t="s">
        <v>102</v>
      </c>
      <c r="F919" s="255" t="s">
        <v>1052</v>
      </c>
      <c r="G919" s="260" t="s">
        <v>283</v>
      </c>
      <c r="H919" s="256" t="s">
        <v>283</v>
      </c>
      <c r="I919" s="256" t="s">
        <v>283</v>
      </c>
      <c r="J919" s="256" t="s">
        <v>15</v>
      </c>
      <c r="K919" s="256" t="s">
        <v>284</v>
      </c>
      <c r="L919" s="256" t="s">
        <v>283</v>
      </c>
      <c r="M919" s="256" t="s">
        <v>283</v>
      </c>
      <c r="N919" s="256" t="s">
        <v>283</v>
      </c>
      <c r="O919" s="257" t="s">
        <v>15</v>
      </c>
      <c r="P919" s="257" t="s">
        <v>15</v>
      </c>
      <c r="Q919" s="257" t="s">
        <v>15</v>
      </c>
      <c r="R919" s="257" t="s">
        <v>15</v>
      </c>
      <c r="S919" s="257" t="s">
        <v>16</v>
      </c>
      <c r="T919" s="257" t="s">
        <v>330</v>
      </c>
      <c r="U919" s="257" t="s">
        <v>250</v>
      </c>
      <c r="V919" s="257" t="s">
        <v>283</v>
      </c>
      <c r="W919" s="258" t="s">
        <v>283</v>
      </c>
      <c r="X919" s="258" t="s">
        <v>283</v>
      </c>
      <c r="Y919" s="259" t="s">
        <v>283</v>
      </c>
    </row>
    <row r="920" spans="1:25">
      <c r="A920" s="253">
        <v>17</v>
      </c>
      <c r="B920" s="254" t="str">
        <f>VLOOKUP(Tabel10[[#This Row],[Code]],Ruimtegroepen[[Code]:[Ruimte omschrijving]],2,FALSE)</f>
        <v>Toestelberging</v>
      </c>
      <c r="C920" s="255" t="s">
        <v>1048</v>
      </c>
      <c r="D920" s="254" t="s">
        <v>13</v>
      </c>
      <c r="E920" s="255" t="s">
        <v>99</v>
      </c>
      <c r="F920" s="255" t="s">
        <v>1050</v>
      </c>
      <c r="G920" s="260" t="s">
        <v>283</v>
      </c>
      <c r="H920" s="256" t="s">
        <v>15</v>
      </c>
      <c r="I920" s="256" t="s">
        <v>283</v>
      </c>
      <c r="J920" s="256" t="s">
        <v>283</v>
      </c>
      <c r="K920" s="256" t="s">
        <v>283</v>
      </c>
      <c r="L920" s="256" t="s">
        <v>283</v>
      </c>
      <c r="M920" s="256" t="s">
        <v>283</v>
      </c>
      <c r="N920" s="256" t="s">
        <v>283</v>
      </c>
      <c r="O920" s="257" t="s">
        <v>15</v>
      </c>
      <c r="P920" s="257" t="s">
        <v>15</v>
      </c>
      <c r="Q920" s="257" t="s">
        <v>15</v>
      </c>
      <c r="R920" s="257" t="s">
        <v>15</v>
      </c>
      <c r="S920" s="257" t="s">
        <v>16</v>
      </c>
      <c r="T920" s="257" t="s">
        <v>330</v>
      </c>
      <c r="U920" s="257" t="s">
        <v>250</v>
      </c>
      <c r="V920" s="257" t="s">
        <v>283</v>
      </c>
      <c r="W920" s="258" t="s">
        <v>283</v>
      </c>
      <c r="X920" s="258" t="s">
        <v>283</v>
      </c>
      <c r="Y920" s="259" t="s">
        <v>283</v>
      </c>
    </row>
    <row r="921" spans="1:25">
      <c r="A921" s="253">
        <v>17</v>
      </c>
      <c r="B921" s="254" t="str">
        <f>VLOOKUP(Tabel10[[#This Row],[Code]],Ruimtegroepen[[Code]:[Ruimte omschrijving]],2,FALSE)</f>
        <v>Toestelberging</v>
      </c>
      <c r="C921" s="255" t="s">
        <v>1048</v>
      </c>
      <c r="D921" s="254" t="s">
        <v>13</v>
      </c>
      <c r="E921" s="255" t="s">
        <v>1312</v>
      </c>
      <c r="F921" s="255" t="s">
        <v>1376</v>
      </c>
      <c r="G921" s="260" t="s">
        <v>283</v>
      </c>
      <c r="H921" s="256" t="s">
        <v>283</v>
      </c>
      <c r="I921" s="256" t="s">
        <v>283</v>
      </c>
      <c r="J921" s="256" t="s">
        <v>15</v>
      </c>
      <c r="K921" s="256" t="s">
        <v>284</v>
      </c>
      <c r="L921" s="256" t="s">
        <v>283</v>
      </c>
      <c r="M921" s="256" t="s">
        <v>283</v>
      </c>
      <c r="N921" s="256" t="s">
        <v>283</v>
      </c>
      <c r="O921" s="257" t="s">
        <v>15</v>
      </c>
      <c r="P921" s="257" t="s">
        <v>15</v>
      </c>
      <c r="Q921" s="257" t="s">
        <v>15</v>
      </c>
      <c r="R921" s="257" t="s">
        <v>15</v>
      </c>
      <c r="S921" s="257" t="s">
        <v>16</v>
      </c>
      <c r="T921" s="257" t="s">
        <v>330</v>
      </c>
      <c r="U921" s="257" t="s">
        <v>250</v>
      </c>
      <c r="V921" s="257" t="s">
        <v>283</v>
      </c>
      <c r="W921" s="258" t="s">
        <v>283</v>
      </c>
      <c r="X921" s="258" t="s">
        <v>283</v>
      </c>
      <c r="Y921" s="259" t="s">
        <v>283</v>
      </c>
    </row>
    <row r="922" spans="1:25">
      <c r="A922" s="253">
        <v>17</v>
      </c>
      <c r="B922" s="254" t="str">
        <f>VLOOKUP(Tabel10[[#This Row],[Code]],Ruimtegroepen[[Code]:[Ruimte omschrijving]],2,FALSE)</f>
        <v>Toestelberging</v>
      </c>
      <c r="C922" s="255" t="s">
        <v>1053</v>
      </c>
      <c r="D922" s="254" t="s">
        <v>0</v>
      </c>
      <c r="E922" s="255" t="s">
        <v>100</v>
      </c>
      <c r="F922" s="255" t="s">
        <v>1054</v>
      </c>
      <c r="G922" s="260" t="s">
        <v>283</v>
      </c>
      <c r="H922" s="256" t="s">
        <v>283</v>
      </c>
      <c r="I922" s="256" t="s">
        <v>16</v>
      </c>
      <c r="J922" s="256" t="s">
        <v>283</v>
      </c>
      <c r="K922" s="256" t="s">
        <v>283</v>
      </c>
      <c r="L922" s="256" t="s">
        <v>283</v>
      </c>
      <c r="M922" s="256" t="s">
        <v>283</v>
      </c>
      <c r="N922" s="256" t="s">
        <v>283</v>
      </c>
      <c r="O922" s="257" t="s">
        <v>16</v>
      </c>
      <c r="P922" s="257" t="s">
        <v>16</v>
      </c>
      <c r="Q922" s="257" t="s">
        <v>16</v>
      </c>
      <c r="R922" s="257" t="s">
        <v>16</v>
      </c>
      <c r="S922" s="257" t="s">
        <v>16</v>
      </c>
      <c r="T922" s="257" t="s">
        <v>330</v>
      </c>
      <c r="U922" s="257" t="s">
        <v>250</v>
      </c>
      <c r="V922" s="257" t="s">
        <v>283</v>
      </c>
      <c r="W922" s="258" t="s">
        <v>283</v>
      </c>
      <c r="X922" s="258" t="s">
        <v>283</v>
      </c>
      <c r="Y922" s="259" t="s">
        <v>283</v>
      </c>
    </row>
    <row r="923" spans="1:25">
      <c r="A923" s="253">
        <v>17</v>
      </c>
      <c r="B923" s="254" t="str">
        <f>VLOOKUP(Tabel10[[#This Row],[Code]],Ruimtegroepen[[Code]:[Ruimte omschrijving]],2,FALSE)</f>
        <v>Toestelberging</v>
      </c>
      <c r="C923" s="255" t="s">
        <v>1053</v>
      </c>
      <c r="D923" s="254" t="s">
        <v>0</v>
      </c>
      <c r="E923" s="255" t="s">
        <v>99</v>
      </c>
      <c r="F923" s="255" t="s">
        <v>1055</v>
      </c>
      <c r="G923" s="260" t="s">
        <v>283</v>
      </c>
      <c r="H923" s="256" t="s">
        <v>16</v>
      </c>
      <c r="I923" s="256" t="s">
        <v>283</v>
      </c>
      <c r="J923" s="256" t="s">
        <v>283</v>
      </c>
      <c r="K923" s="256" t="s">
        <v>283</v>
      </c>
      <c r="L923" s="256" t="s">
        <v>283</v>
      </c>
      <c r="M923" s="256" t="s">
        <v>283</v>
      </c>
      <c r="N923" s="256" t="s">
        <v>283</v>
      </c>
      <c r="O923" s="257" t="s">
        <v>16</v>
      </c>
      <c r="P923" s="257" t="s">
        <v>16</v>
      </c>
      <c r="Q923" s="257" t="s">
        <v>16</v>
      </c>
      <c r="R923" s="257" t="s">
        <v>16</v>
      </c>
      <c r="S923" s="257" t="s">
        <v>16</v>
      </c>
      <c r="T923" s="257" t="s">
        <v>330</v>
      </c>
      <c r="U923" s="257" t="s">
        <v>250</v>
      </c>
      <c r="V923" s="257" t="s">
        <v>283</v>
      </c>
      <c r="W923" s="258" t="s">
        <v>283</v>
      </c>
      <c r="X923" s="258" t="s">
        <v>283</v>
      </c>
      <c r="Y923" s="259" t="s">
        <v>283</v>
      </c>
    </row>
    <row r="924" spans="1:25">
      <c r="A924" s="253">
        <v>17</v>
      </c>
      <c r="B924" s="254" t="str">
        <f>VLOOKUP(Tabel10[[#This Row],[Code]],Ruimtegroepen[[Code]:[Ruimte omschrijving]],2,FALSE)</f>
        <v>Toestelberging</v>
      </c>
      <c r="C924" s="255" t="s">
        <v>1053</v>
      </c>
      <c r="D924" s="254" t="s">
        <v>0</v>
      </c>
      <c r="E924" s="255" t="s">
        <v>101</v>
      </c>
      <c r="F924" s="255" t="s">
        <v>1056</v>
      </c>
      <c r="G924" s="260" t="s">
        <v>283</v>
      </c>
      <c r="H924" s="256" t="s">
        <v>283</v>
      </c>
      <c r="I924" s="256" t="s">
        <v>16</v>
      </c>
      <c r="J924" s="256" t="s">
        <v>283</v>
      </c>
      <c r="K924" s="256" t="s">
        <v>284</v>
      </c>
      <c r="L924" s="256" t="s">
        <v>283</v>
      </c>
      <c r="M924" s="256" t="s">
        <v>283</v>
      </c>
      <c r="N924" s="256" t="s">
        <v>283</v>
      </c>
      <c r="O924" s="257" t="s">
        <v>16</v>
      </c>
      <c r="P924" s="257" t="s">
        <v>16</v>
      </c>
      <c r="Q924" s="257" t="s">
        <v>16</v>
      </c>
      <c r="R924" s="257" t="s">
        <v>16</v>
      </c>
      <c r="S924" s="257" t="s">
        <v>16</v>
      </c>
      <c r="T924" s="257" t="s">
        <v>330</v>
      </c>
      <c r="U924" s="257" t="s">
        <v>250</v>
      </c>
      <c r="V924" s="257" t="s">
        <v>283</v>
      </c>
      <c r="W924" s="258" t="s">
        <v>283</v>
      </c>
      <c r="X924" s="258" t="s">
        <v>283</v>
      </c>
      <c r="Y924" s="259" t="s">
        <v>283</v>
      </c>
    </row>
    <row r="925" spans="1:25">
      <c r="A925" s="253">
        <v>17</v>
      </c>
      <c r="B925" s="254" t="str">
        <f>VLOOKUP(Tabel10[[#This Row],[Code]],Ruimtegroepen[[Code]:[Ruimte omschrijving]],2,FALSE)</f>
        <v>Toestelberging</v>
      </c>
      <c r="C925" s="255" t="s">
        <v>1053</v>
      </c>
      <c r="D925" s="254" t="s">
        <v>0</v>
      </c>
      <c r="E925" s="255" t="s">
        <v>102</v>
      </c>
      <c r="F925" s="255" t="s">
        <v>1057</v>
      </c>
      <c r="G925" s="260" t="s">
        <v>283</v>
      </c>
      <c r="H925" s="256" t="s">
        <v>283</v>
      </c>
      <c r="I925" s="256" t="s">
        <v>16</v>
      </c>
      <c r="J925" s="256" t="s">
        <v>283</v>
      </c>
      <c r="K925" s="256" t="s">
        <v>284</v>
      </c>
      <c r="L925" s="256" t="s">
        <v>283</v>
      </c>
      <c r="M925" s="256" t="s">
        <v>283</v>
      </c>
      <c r="N925" s="256" t="s">
        <v>283</v>
      </c>
      <c r="O925" s="257" t="s">
        <v>16</v>
      </c>
      <c r="P925" s="257" t="s">
        <v>16</v>
      </c>
      <c r="Q925" s="257" t="s">
        <v>16</v>
      </c>
      <c r="R925" s="257" t="s">
        <v>16</v>
      </c>
      <c r="S925" s="257" t="s">
        <v>16</v>
      </c>
      <c r="T925" s="257" t="s">
        <v>330</v>
      </c>
      <c r="U925" s="257" t="s">
        <v>250</v>
      </c>
      <c r="V925" s="257" t="s">
        <v>283</v>
      </c>
      <c r="W925" s="258" t="s">
        <v>283</v>
      </c>
      <c r="X925" s="258" t="s">
        <v>283</v>
      </c>
      <c r="Y925" s="259" t="s">
        <v>283</v>
      </c>
    </row>
    <row r="926" spans="1:25">
      <c r="A926" s="253">
        <v>17</v>
      </c>
      <c r="B926" s="254" t="str">
        <f>VLOOKUP(Tabel10[[#This Row],[Code]],Ruimtegroepen[[Code]:[Ruimte omschrijving]],2,FALSE)</f>
        <v>Toestelberging</v>
      </c>
      <c r="C926" s="255" t="s">
        <v>1053</v>
      </c>
      <c r="D926" s="254" t="s">
        <v>0</v>
      </c>
      <c r="E926" s="255" t="s">
        <v>99</v>
      </c>
      <c r="F926" s="255" t="s">
        <v>1055</v>
      </c>
      <c r="G926" s="260" t="s">
        <v>283</v>
      </c>
      <c r="H926" s="256" t="s">
        <v>16</v>
      </c>
      <c r="I926" s="256" t="s">
        <v>283</v>
      </c>
      <c r="J926" s="256" t="s">
        <v>283</v>
      </c>
      <c r="K926" s="256" t="s">
        <v>283</v>
      </c>
      <c r="L926" s="256" t="s">
        <v>283</v>
      </c>
      <c r="M926" s="256" t="s">
        <v>283</v>
      </c>
      <c r="N926" s="256" t="s">
        <v>283</v>
      </c>
      <c r="O926" s="257" t="s">
        <v>16</v>
      </c>
      <c r="P926" s="257" t="s">
        <v>16</v>
      </c>
      <c r="Q926" s="257" t="s">
        <v>16</v>
      </c>
      <c r="R926" s="257" t="s">
        <v>16</v>
      </c>
      <c r="S926" s="257" t="s">
        <v>16</v>
      </c>
      <c r="T926" s="257" t="s">
        <v>330</v>
      </c>
      <c r="U926" s="257" t="s">
        <v>250</v>
      </c>
      <c r="V926" s="257" t="s">
        <v>283</v>
      </c>
      <c r="W926" s="258" t="s">
        <v>283</v>
      </c>
      <c r="X926" s="258" t="s">
        <v>283</v>
      </c>
      <c r="Y926" s="259" t="s">
        <v>283</v>
      </c>
    </row>
    <row r="927" spans="1:25">
      <c r="A927" s="253">
        <v>17</v>
      </c>
      <c r="B927" s="254" t="str">
        <f>VLOOKUP(Tabel10[[#This Row],[Code]],Ruimtegroepen[[Code]:[Ruimte omschrijving]],2,FALSE)</f>
        <v>Toestelberging</v>
      </c>
      <c r="C927" s="255" t="s">
        <v>1053</v>
      </c>
      <c r="D927" s="254" t="s">
        <v>0</v>
      </c>
      <c r="E927" s="255" t="s">
        <v>1312</v>
      </c>
      <c r="F927" s="255" t="s">
        <v>1360</v>
      </c>
      <c r="G927" s="260" t="s">
        <v>283</v>
      </c>
      <c r="H927" s="256" t="s">
        <v>283</v>
      </c>
      <c r="I927" s="256" t="s">
        <v>16</v>
      </c>
      <c r="J927" s="256" t="s">
        <v>283</v>
      </c>
      <c r="K927" s="256" t="s">
        <v>284</v>
      </c>
      <c r="L927" s="256" t="s">
        <v>283</v>
      </c>
      <c r="M927" s="256" t="s">
        <v>283</v>
      </c>
      <c r="N927" s="256" t="s">
        <v>283</v>
      </c>
      <c r="O927" s="257" t="s">
        <v>16</v>
      </c>
      <c r="P927" s="257" t="s">
        <v>16</v>
      </c>
      <c r="Q927" s="257" t="s">
        <v>16</v>
      </c>
      <c r="R927" s="257" t="s">
        <v>16</v>
      </c>
      <c r="S927" s="257" t="s">
        <v>16</v>
      </c>
      <c r="T927" s="257" t="s">
        <v>330</v>
      </c>
      <c r="U927" s="257" t="s">
        <v>250</v>
      </c>
      <c r="V927" s="257" t="s">
        <v>283</v>
      </c>
      <c r="W927" s="258" t="s">
        <v>283</v>
      </c>
      <c r="X927" s="258" t="s">
        <v>283</v>
      </c>
      <c r="Y927" s="259" t="s">
        <v>283</v>
      </c>
    </row>
    <row r="928" spans="1:25">
      <c r="A928" s="253">
        <v>17</v>
      </c>
      <c r="B928" s="254" t="str">
        <f>VLOOKUP(Tabel10[[#This Row],[Code]],Ruimtegroepen[[Code]:[Ruimte omschrijving]],2,FALSE)</f>
        <v>Toestelberging</v>
      </c>
      <c r="C928" s="255" t="s">
        <v>1058</v>
      </c>
      <c r="D928" s="254" t="s">
        <v>27</v>
      </c>
      <c r="E928" s="255" t="s">
        <v>100</v>
      </c>
      <c r="F928" s="255" t="s">
        <v>1059</v>
      </c>
      <c r="G928" s="260" t="s">
        <v>283</v>
      </c>
      <c r="H928" s="256" t="s">
        <v>283</v>
      </c>
      <c r="I928" s="256" t="s">
        <v>15</v>
      </c>
      <c r="J928" s="256" t="s">
        <v>283</v>
      </c>
      <c r="K928" s="256" t="s">
        <v>283</v>
      </c>
      <c r="L928" s="256" t="s">
        <v>283</v>
      </c>
      <c r="M928" s="256" t="s">
        <v>283</v>
      </c>
      <c r="N928" s="256" t="s">
        <v>283</v>
      </c>
      <c r="O928" s="257" t="s">
        <v>15</v>
      </c>
      <c r="P928" s="257" t="s">
        <v>15</v>
      </c>
      <c r="Q928" s="257" t="s">
        <v>15</v>
      </c>
      <c r="R928" s="257" t="s">
        <v>283</v>
      </c>
      <c r="S928" s="257" t="s">
        <v>283</v>
      </c>
      <c r="T928" s="257" t="s">
        <v>283</v>
      </c>
      <c r="U928" s="257" t="s">
        <v>283</v>
      </c>
      <c r="V928" s="257" t="s">
        <v>283</v>
      </c>
      <c r="W928" s="258" t="s">
        <v>283</v>
      </c>
      <c r="X928" s="258" t="s">
        <v>283</v>
      </c>
      <c r="Y928" s="259" t="s">
        <v>283</v>
      </c>
    </row>
    <row r="929" spans="1:25">
      <c r="A929" s="253">
        <v>17</v>
      </c>
      <c r="B929" s="254" t="str">
        <f>VLOOKUP(Tabel10[[#This Row],[Code]],Ruimtegroepen[[Code]:[Ruimte omschrijving]],2,FALSE)</f>
        <v>Toestelberging</v>
      </c>
      <c r="C929" s="255" t="s">
        <v>1058</v>
      </c>
      <c r="D929" s="254" t="s">
        <v>27</v>
      </c>
      <c r="E929" s="255" t="s">
        <v>99</v>
      </c>
      <c r="F929" s="255" t="s">
        <v>1060</v>
      </c>
      <c r="G929" s="260" t="s">
        <v>283</v>
      </c>
      <c r="H929" s="256" t="s">
        <v>15</v>
      </c>
      <c r="I929" s="256" t="s">
        <v>283</v>
      </c>
      <c r="J929" s="256" t="s">
        <v>283</v>
      </c>
      <c r="K929" s="256" t="s">
        <v>283</v>
      </c>
      <c r="L929" s="256" t="s">
        <v>283</v>
      </c>
      <c r="M929" s="256" t="s">
        <v>283</v>
      </c>
      <c r="N929" s="256" t="s">
        <v>283</v>
      </c>
      <c r="O929" s="257" t="s">
        <v>15</v>
      </c>
      <c r="P929" s="257" t="s">
        <v>15</v>
      </c>
      <c r="Q929" s="257" t="s">
        <v>15</v>
      </c>
      <c r="R929" s="257" t="s">
        <v>283</v>
      </c>
      <c r="S929" s="257" t="s">
        <v>283</v>
      </c>
      <c r="T929" s="257" t="s">
        <v>283</v>
      </c>
      <c r="U929" s="257" t="s">
        <v>283</v>
      </c>
      <c r="V929" s="257" t="s">
        <v>283</v>
      </c>
      <c r="W929" s="258" t="s">
        <v>283</v>
      </c>
      <c r="X929" s="258" t="s">
        <v>283</v>
      </c>
      <c r="Y929" s="259" t="s">
        <v>283</v>
      </c>
    </row>
    <row r="930" spans="1:25">
      <c r="A930" s="253">
        <v>17</v>
      </c>
      <c r="B930" s="254" t="str">
        <f>VLOOKUP(Tabel10[[#This Row],[Code]],Ruimtegroepen[[Code]:[Ruimte omschrijving]],2,FALSE)</f>
        <v>Toestelberging</v>
      </c>
      <c r="C930" s="255" t="s">
        <v>1058</v>
      </c>
      <c r="D930" s="254" t="s">
        <v>27</v>
      </c>
      <c r="E930" s="255" t="s">
        <v>101</v>
      </c>
      <c r="F930" s="255" t="s">
        <v>1061</v>
      </c>
      <c r="G930" s="260" t="s">
        <v>283</v>
      </c>
      <c r="H930" s="256" t="s">
        <v>283</v>
      </c>
      <c r="I930" s="256" t="s">
        <v>15</v>
      </c>
      <c r="J930" s="256" t="s">
        <v>283</v>
      </c>
      <c r="K930" s="256" t="s">
        <v>283</v>
      </c>
      <c r="L930" s="256" t="s">
        <v>283</v>
      </c>
      <c r="M930" s="256" t="s">
        <v>283</v>
      </c>
      <c r="N930" s="256" t="s">
        <v>283</v>
      </c>
      <c r="O930" s="257" t="s">
        <v>15</v>
      </c>
      <c r="P930" s="257" t="s">
        <v>15</v>
      </c>
      <c r="Q930" s="257" t="s">
        <v>15</v>
      </c>
      <c r="R930" s="257" t="s">
        <v>283</v>
      </c>
      <c r="S930" s="257" t="s">
        <v>283</v>
      </c>
      <c r="T930" s="257" t="s">
        <v>283</v>
      </c>
      <c r="U930" s="257" t="s">
        <v>283</v>
      </c>
      <c r="V930" s="257" t="s">
        <v>283</v>
      </c>
      <c r="W930" s="258" t="s">
        <v>283</v>
      </c>
      <c r="X930" s="258" t="s">
        <v>283</v>
      </c>
      <c r="Y930" s="259" t="s">
        <v>283</v>
      </c>
    </row>
    <row r="931" spans="1:25">
      <c r="A931" s="253">
        <v>17</v>
      </c>
      <c r="B931" s="254" t="str">
        <f>VLOOKUP(Tabel10[[#This Row],[Code]],Ruimtegroepen[[Code]:[Ruimte omschrijving]],2,FALSE)</f>
        <v>Toestelberging</v>
      </c>
      <c r="C931" s="255" t="s">
        <v>1058</v>
      </c>
      <c r="D931" s="254" t="s">
        <v>27</v>
      </c>
      <c r="E931" s="255" t="s">
        <v>102</v>
      </c>
      <c r="F931" s="255" t="s">
        <v>1062</v>
      </c>
      <c r="G931" s="260" t="s">
        <v>283</v>
      </c>
      <c r="H931" s="256" t="s">
        <v>283</v>
      </c>
      <c r="I931" s="256" t="s">
        <v>15</v>
      </c>
      <c r="J931" s="256" t="s">
        <v>283</v>
      </c>
      <c r="K931" s="256" t="s">
        <v>283</v>
      </c>
      <c r="L931" s="256" t="s">
        <v>283</v>
      </c>
      <c r="M931" s="256" t="s">
        <v>283</v>
      </c>
      <c r="N931" s="256" t="s">
        <v>283</v>
      </c>
      <c r="O931" s="257" t="s">
        <v>15</v>
      </c>
      <c r="P931" s="257" t="s">
        <v>15</v>
      </c>
      <c r="Q931" s="257" t="s">
        <v>15</v>
      </c>
      <c r="R931" s="257" t="s">
        <v>283</v>
      </c>
      <c r="S931" s="257" t="s">
        <v>283</v>
      </c>
      <c r="T931" s="257" t="s">
        <v>283</v>
      </c>
      <c r="U931" s="257" t="s">
        <v>283</v>
      </c>
      <c r="V931" s="257" t="s">
        <v>283</v>
      </c>
      <c r="W931" s="258" t="s">
        <v>283</v>
      </c>
      <c r="X931" s="258" t="s">
        <v>283</v>
      </c>
      <c r="Y931" s="259" t="s">
        <v>283</v>
      </c>
    </row>
    <row r="932" spans="1:25">
      <c r="A932" s="253">
        <v>17</v>
      </c>
      <c r="B932" s="254" t="str">
        <f>VLOOKUP(Tabel10[[#This Row],[Code]],Ruimtegroepen[[Code]:[Ruimte omschrijving]],2,FALSE)</f>
        <v>Toestelberging</v>
      </c>
      <c r="C932" s="255" t="s">
        <v>1058</v>
      </c>
      <c r="D932" s="254" t="s">
        <v>27</v>
      </c>
      <c r="E932" s="255" t="s">
        <v>99</v>
      </c>
      <c r="F932" s="255" t="s">
        <v>1060</v>
      </c>
      <c r="G932" s="260" t="s">
        <v>283</v>
      </c>
      <c r="H932" s="256" t="s">
        <v>15</v>
      </c>
      <c r="I932" s="256" t="s">
        <v>283</v>
      </c>
      <c r="J932" s="256" t="s">
        <v>283</v>
      </c>
      <c r="K932" s="256" t="s">
        <v>283</v>
      </c>
      <c r="L932" s="256" t="s">
        <v>283</v>
      </c>
      <c r="M932" s="256" t="s">
        <v>283</v>
      </c>
      <c r="N932" s="256" t="s">
        <v>283</v>
      </c>
      <c r="O932" s="257" t="s">
        <v>15</v>
      </c>
      <c r="P932" s="257" t="s">
        <v>15</v>
      </c>
      <c r="Q932" s="257" t="s">
        <v>15</v>
      </c>
      <c r="R932" s="257" t="s">
        <v>283</v>
      </c>
      <c r="S932" s="257" t="s">
        <v>283</v>
      </c>
      <c r="T932" s="257" t="s">
        <v>283</v>
      </c>
      <c r="U932" s="257" t="s">
        <v>283</v>
      </c>
      <c r="V932" s="257" t="s">
        <v>283</v>
      </c>
      <c r="W932" s="258" t="s">
        <v>283</v>
      </c>
      <c r="X932" s="258" t="s">
        <v>283</v>
      </c>
      <c r="Y932" s="259" t="s">
        <v>283</v>
      </c>
    </row>
    <row r="933" spans="1:25">
      <c r="A933" s="253">
        <v>17</v>
      </c>
      <c r="B933" s="254" t="str">
        <f>VLOOKUP(Tabel10[[#This Row],[Code]],Ruimtegroepen[[Code]:[Ruimte omschrijving]],2,FALSE)</f>
        <v>Toestelberging</v>
      </c>
      <c r="C933" s="255" t="s">
        <v>1058</v>
      </c>
      <c r="D933" s="254" t="s">
        <v>27</v>
      </c>
      <c r="E933" s="255" t="s">
        <v>1312</v>
      </c>
      <c r="F933" s="255" t="s">
        <v>1393</v>
      </c>
      <c r="G933" s="260" t="s">
        <v>283</v>
      </c>
      <c r="H933" s="256" t="s">
        <v>283</v>
      </c>
      <c r="I933" s="256" t="s">
        <v>15</v>
      </c>
      <c r="J933" s="256" t="s">
        <v>283</v>
      </c>
      <c r="K933" s="256" t="s">
        <v>283</v>
      </c>
      <c r="L933" s="256" t="s">
        <v>283</v>
      </c>
      <c r="M933" s="256" t="s">
        <v>283</v>
      </c>
      <c r="N933" s="256" t="s">
        <v>283</v>
      </c>
      <c r="O933" s="257" t="s">
        <v>15</v>
      </c>
      <c r="P933" s="257" t="s">
        <v>15</v>
      </c>
      <c r="Q933" s="257" t="s">
        <v>15</v>
      </c>
      <c r="R933" s="257" t="s">
        <v>283</v>
      </c>
      <c r="S933" s="257" t="s">
        <v>283</v>
      </c>
      <c r="T933" s="257" t="s">
        <v>283</v>
      </c>
      <c r="U933" s="257" t="s">
        <v>283</v>
      </c>
      <c r="V933" s="257" t="s">
        <v>283</v>
      </c>
      <c r="W933" s="258" t="s">
        <v>283</v>
      </c>
      <c r="X933" s="258" t="s">
        <v>283</v>
      </c>
      <c r="Y933" s="259" t="s">
        <v>283</v>
      </c>
    </row>
    <row r="934" spans="1:25">
      <c r="A934" s="253">
        <v>17</v>
      </c>
      <c r="B934" s="254" t="str">
        <f>VLOOKUP(Tabel10[[#This Row],[Code]],Ruimtegroepen[[Code]:[Ruimte omschrijving]],2,FALSE)</f>
        <v>Toestelberging</v>
      </c>
      <c r="C934" s="255" t="s">
        <v>1063</v>
      </c>
      <c r="D934" s="254" t="s">
        <v>28</v>
      </c>
      <c r="E934" s="255" t="s">
        <v>100</v>
      </c>
      <c r="F934" s="255" t="s">
        <v>1064</v>
      </c>
      <c r="G934" s="260" t="s">
        <v>283</v>
      </c>
      <c r="H934" s="256" t="s">
        <v>283</v>
      </c>
      <c r="I934" s="256" t="s">
        <v>17</v>
      </c>
      <c r="J934" s="256" t="s">
        <v>283</v>
      </c>
      <c r="K934" s="256" t="s">
        <v>283</v>
      </c>
      <c r="L934" s="256" t="s">
        <v>283</v>
      </c>
      <c r="M934" s="256" t="s">
        <v>283</v>
      </c>
      <c r="N934" s="256" t="s">
        <v>283</v>
      </c>
      <c r="O934" s="257" t="s">
        <v>17</v>
      </c>
      <c r="P934" s="257" t="s">
        <v>17</v>
      </c>
      <c r="Q934" s="257" t="s">
        <v>15</v>
      </c>
      <c r="R934" s="257" t="s">
        <v>283</v>
      </c>
      <c r="S934" s="257" t="s">
        <v>283</v>
      </c>
      <c r="T934" s="257" t="s">
        <v>283</v>
      </c>
      <c r="U934" s="257" t="s">
        <v>283</v>
      </c>
      <c r="V934" s="257" t="s">
        <v>283</v>
      </c>
      <c r="W934" s="258" t="s">
        <v>283</v>
      </c>
      <c r="X934" s="258" t="s">
        <v>283</v>
      </c>
      <c r="Y934" s="259" t="s">
        <v>283</v>
      </c>
    </row>
    <row r="935" spans="1:25">
      <c r="A935" s="253">
        <v>17</v>
      </c>
      <c r="B935" s="254" t="str">
        <f>VLOOKUP(Tabel10[[#This Row],[Code]],Ruimtegroepen[[Code]:[Ruimte omschrijving]],2,FALSE)</f>
        <v>Toestelberging</v>
      </c>
      <c r="C935" s="255" t="s">
        <v>1063</v>
      </c>
      <c r="D935" s="254" t="s">
        <v>28</v>
      </c>
      <c r="E935" s="255" t="s">
        <v>99</v>
      </c>
      <c r="F935" s="255" t="s">
        <v>1065</v>
      </c>
      <c r="G935" s="260" t="s">
        <v>283</v>
      </c>
      <c r="H935" s="256" t="s">
        <v>17</v>
      </c>
      <c r="I935" s="256" t="s">
        <v>283</v>
      </c>
      <c r="J935" s="256" t="s">
        <v>283</v>
      </c>
      <c r="K935" s="256" t="s">
        <v>283</v>
      </c>
      <c r="L935" s="256" t="s">
        <v>283</v>
      </c>
      <c r="M935" s="256" t="s">
        <v>283</v>
      </c>
      <c r="N935" s="256" t="s">
        <v>283</v>
      </c>
      <c r="O935" s="257" t="s">
        <v>17</v>
      </c>
      <c r="P935" s="257" t="s">
        <v>17</v>
      </c>
      <c r="Q935" s="257" t="s">
        <v>15</v>
      </c>
      <c r="R935" s="257" t="s">
        <v>283</v>
      </c>
      <c r="S935" s="257" t="s">
        <v>283</v>
      </c>
      <c r="T935" s="257" t="s">
        <v>283</v>
      </c>
      <c r="U935" s="257" t="s">
        <v>283</v>
      </c>
      <c r="V935" s="257" t="s">
        <v>283</v>
      </c>
      <c r="W935" s="258" t="s">
        <v>283</v>
      </c>
      <c r="X935" s="258" t="s">
        <v>283</v>
      </c>
      <c r="Y935" s="259" t="s">
        <v>283</v>
      </c>
    </row>
    <row r="936" spans="1:25">
      <c r="A936" s="253">
        <v>17</v>
      </c>
      <c r="B936" s="254" t="str">
        <f>VLOOKUP(Tabel10[[#This Row],[Code]],Ruimtegroepen[[Code]:[Ruimte omschrijving]],2,FALSE)</f>
        <v>Toestelberging</v>
      </c>
      <c r="C936" s="255" t="s">
        <v>1063</v>
      </c>
      <c r="D936" s="254" t="s">
        <v>28</v>
      </c>
      <c r="E936" s="255" t="s">
        <v>101</v>
      </c>
      <c r="F936" s="255" t="s">
        <v>1066</v>
      </c>
      <c r="G936" s="260" t="s">
        <v>283</v>
      </c>
      <c r="H936" s="256" t="s">
        <v>283</v>
      </c>
      <c r="I936" s="256" t="s">
        <v>17</v>
      </c>
      <c r="J936" s="256" t="s">
        <v>283</v>
      </c>
      <c r="K936" s="256" t="s">
        <v>283</v>
      </c>
      <c r="L936" s="256" t="s">
        <v>283</v>
      </c>
      <c r="M936" s="256" t="s">
        <v>283</v>
      </c>
      <c r="N936" s="256" t="s">
        <v>283</v>
      </c>
      <c r="O936" s="257" t="s">
        <v>17</v>
      </c>
      <c r="P936" s="257" t="s">
        <v>17</v>
      </c>
      <c r="Q936" s="257" t="s">
        <v>15</v>
      </c>
      <c r="R936" s="257" t="s">
        <v>283</v>
      </c>
      <c r="S936" s="257" t="s">
        <v>283</v>
      </c>
      <c r="T936" s="257" t="s">
        <v>283</v>
      </c>
      <c r="U936" s="257" t="s">
        <v>283</v>
      </c>
      <c r="V936" s="257" t="s">
        <v>283</v>
      </c>
      <c r="W936" s="258" t="s">
        <v>283</v>
      </c>
      <c r="X936" s="258" t="s">
        <v>283</v>
      </c>
      <c r="Y936" s="259" t="s">
        <v>283</v>
      </c>
    </row>
    <row r="937" spans="1:25">
      <c r="A937" s="253">
        <v>17</v>
      </c>
      <c r="B937" s="254" t="str">
        <f>VLOOKUP(Tabel10[[#This Row],[Code]],Ruimtegroepen[[Code]:[Ruimte omschrijving]],2,FALSE)</f>
        <v>Toestelberging</v>
      </c>
      <c r="C937" s="255" t="s">
        <v>1063</v>
      </c>
      <c r="D937" s="254" t="s">
        <v>28</v>
      </c>
      <c r="E937" s="255" t="s">
        <v>102</v>
      </c>
      <c r="F937" s="255" t="s">
        <v>1067</v>
      </c>
      <c r="G937" s="260" t="s">
        <v>283</v>
      </c>
      <c r="H937" s="256" t="s">
        <v>283</v>
      </c>
      <c r="I937" s="256" t="s">
        <v>17</v>
      </c>
      <c r="J937" s="256" t="s">
        <v>283</v>
      </c>
      <c r="K937" s="256" t="s">
        <v>283</v>
      </c>
      <c r="L937" s="256" t="s">
        <v>283</v>
      </c>
      <c r="M937" s="256" t="s">
        <v>283</v>
      </c>
      <c r="N937" s="256" t="s">
        <v>283</v>
      </c>
      <c r="O937" s="257" t="s">
        <v>17</v>
      </c>
      <c r="P937" s="257" t="s">
        <v>17</v>
      </c>
      <c r="Q937" s="257" t="s">
        <v>15</v>
      </c>
      <c r="R937" s="257" t="s">
        <v>283</v>
      </c>
      <c r="S937" s="257" t="s">
        <v>283</v>
      </c>
      <c r="T937" s="257" t="s">
        <v>283</v>
      </c>
      <c r="U937" s="257" t="s">
        <v>283</v>
      </c>
      <c r="V937" s="257" t="s">
        <v>283</v>
      </c>
      <c r="W937" s="258" t="s">
        <v>283</v>
      </c>
      <c r="X937" s="258" t="s">
        <v>283</v>
      </c>
      <c r="Y937" s="259" t="s">
        <v>283</v>
      </c>
    </row>
    <row r="938" spans="1:25">
      <c r="A938" s="253">
        <v>17</v>
      </c>
      <c r="B938" s="254" t="str">
        <f>VLOOKUP(Tabel10[[#This Row],[Code]],Ruimtegroepen[[Code]:[Ruimte omschrijving]],2,FALSE)</f>
        <v>Toestelberging</v>
      </c>
      <c r="C938" s="255" t="s">
        <v>1063</v>
      </c>
      <c r="D938" s="254" t="s">
        <v>28</v>
      </c>
      <c r="E938" s="255" t="s">
        <v>99</v>
      </c>
      <c r="F938" s="255" t="s">
        <v>1065</v>
      </c>
      <c r="G938" s="260" t="s">
        <v>283</v>
      </c>
      <c r="H938" s="256" t="s">
        <v>17</v>
      </c>
      <c r="I938" s="256" t="s">
        <v>283</v>
      </c>
      <c r="J938" s="256" t="s">
        <v>283</v>
      </c>
      <c r="K938" s="256" t="s">
        <v>283</v>
      </c>
      <c r="L938" s="256" t="s">
        <v>283</v>
      </c>
      <c r="M938" s="256" t="s">
        <v>283</v>
      </c>
      <c r="N938" s="256" t="s">
        <v>283</v>
      </c>
      <c r="O938" s="257" t="s">
        <v>17</v>
      </c>
      <c r="P938" s="257" t="s">
        <v>17</v>
      </c>
      <c r="Q938" s="257" t="s">
        <v>15</v>
      </c>
      <c r="R938" s="257" t="s">
        <v>283</v>
      </c>
      <c r="S938" s="257" t="s">
        <v>283</v>
      </c>
      <c r="T938" s="257" t="s">
        <v>283</v>
      </c>
      <c r="U938" s="257" t="s">
        <v>283</v>
      </c>
      <c r="V938" s="257" t="s">
        <v>283</v>
      </c>
      <c r="W938" s="258" t="s">
        <v>283</v>
      </c>
      <c r="X938" s="258" t="s">
        <v>283</v>
      </c>
      <c r="Y938" s="259" t="s">
        <v>283</v>
      </c>
    </row>
    <row r="939" spans="1:25">
      <c r="A939" s="253">
        <v>17</v>
      </c>
      <c r="B939" s="254" t="str">
        <f>VLOOKUP(Tabel10[[#This Row],[Code]],Ruimtegroepen[[Code]:[Ruimte omschrijving]],2,FALSE)</f>
        <v>Toestelberging</v>
      </c>
      <c r="C939" s="255" t="s">
        <v>1063</v>
      </c>
      <c r="D939" s="254" t="s">
        <v>28</v>
      </c>
      <c r="E939" s="255" t="s">
        <v>1312</v>
      </c>
      <c r="F939" s="255" t="s">
        <v>1426</v>
      </c>
      <c r="G939" s="260" t="s">
        <v>283</v>
      </c>
      <c r="H939" s="256" t="s">
        <v>283</v>
      </c>
      <c r="I939" s="256" t="s">
        <v>17</v>
      </c>
      <c r="J939" s="256" t="s">
        <v>283</v>
      </c>
      <c r="K939" s="256" t="s">
        <v>283</v>
      </c>
      <c r="L939" s="256" t="s">
        <v>283</v>
      </c>
      <c r="M939" s="256" t="s">
        <v>283</v>
      </c>
      <c r="N939" s="256" t="s">
        <v>283</v>
      </c>
      <c r="O939" s="257" t="s">
        <v>17</v>
      </c>
      <c r="P939" s="257" t="s">
        <v>17</v>
      </c>
      <c r="Q939" s="257" t="s">
        <v>15</v>
      </c>
      <c r="R939" s="257" t="s">
        <v>283</v>
      </c>
      <c r="S939" s="257" t="s">
        <v>283</v>
      </c>
      <c r="T939" s="257" t="s">
        <v>283</v>
      </c>
      <c r="U939" s="257" t="s">
        <v>283</v>
      </c>
      <c r="V939" s="257" t="s">
        <v>283</v>
      </c>
      <c r="W939" s="258" t="s">
        <v>283</v>
      </c>
      <c r="X939" s="258" t="s">
        <v>283</v>
      </c>
      <c r="Y939" s="259" t="s">
        <v>283</v>
      </c>
    </row>
    <row r="940" spans="1:25">
      <c r="A940" s="253">
        <v>18</v>
      </c>
      <c r="B940" s="254" t="str">
        <f>VLOOKUP(Tabel10[[#This Row],[Code]],Ruimtegroepen[[Code]:[Ruimte omschrijving]],2,FALSE)</f>
        <v>Gymzaal</v>
      </c>
      <c r="C940" s="255" t="s">
        <v>1068</v>
      </c>
      <c r="D940" s="254" t="s">
        <v>29</v>
      </c>
      <c r="E940" s="255" t="s">
        <v>100</v>
      </c>
      <c r="F940" s="255" t="s">
        <v>1069</v>
      </c>
      <c r="G940" s="260" t="s">
        <v>283</v>
      </c>
      <c r="H940" s="256" t="s">
        <v>283</v>
      </c>
      <c r="I940" s="256" t="s">
        <v>20</v>
      </c>
      <c r="J940" s="256" t="s">
        <v>15</v>
      </c>
      <c r="K940" s="256" t="s">
        <v>283</v>
      </c>
      <c r="L940" s="256" t="s">
        <v>283</v>
      </c>
      <c r="M940" s="256" t="s">
        <v>283</v>
      </c>
      <c r="N940" s="256" t="s">
        <v>2</v>
      </c>
      <c r="O940" s="257" t="s">
        <v>2</v>
      </c>
      <c r="P940" s="257" t="s">
        <v>2</v>
      </c>
      <c r="Q940" s="257" t="s">
        <v>2</v>
      </c>
      <c r="R940" s="257" t="s">
        <v>2</v>
      </c>
      <c r="S940" s="257" t="s">
        <v>16</v>
      </c>
      <c r="T940" s="257" t="s">
        <v>330</v>
      </c>
      <c r="U940" s="257" t="s">
        <v>250</v>
      </c>
      <c r="V940" s="257" t="s">
        <v>2</v>
      </c>
      <c r="W940" s="258" t="s">
        <v>283</v>
      </c>
      <c r="X940" s="258" t="s">
        <v>283</v>
      </c>
      <c r="Y940" s="259" t="s">
        <v>283</v>
      </c>
    </row>
    <row r="941" spans="1:25">
      <c r="A941" s="253">
        <v>18</v>
      </c>
      <c r="B941" s="254" t="str">
        <f>VLOOKUP(Tabel10[[#This Row],[Code]],Ruimtegroepen[[Code]:[Ruimte omschrijving]],2,FALSE)</f>
        <v>Gymzaal</v>
      </c>
      <c r="C941" s="255" t="s">
        <v>1068</v>
      </c>
      <c r="D941" s="254" t="s">
        <v>29</v>
      </c>
      <c r="E941" s="255" t="s">
        <v>99</v>
      </c>
      <c r="F941" s="255" t="s">
        <v>1070</v>
      </c>
      <c r="G941" s="256" t="s">
        <v>20</v>
      </c>
      <c r="H941" s="256" t="s">
        <v>15</v>
      </c>
      <c r="I941" s="256" t="s">
        <v>283</v>
      </c>
      <c r="J941" s="256" t="s">
        <v>283</v>
      </c>
      <c r="K941" s="256" t="s">
        <v>283</v>
      </c>
      <c r="L941" s="256" t="s">
        <v>283</v>
      </c>
      <c r="M941" s="256" t="s">
        <v>283</v>
      </c>
      <c r="N941" s="256" t="s">
        <v>2</v>
      </c>
      <c r="O941" s="257" t="s">
        <v>2</v>
      </c>
      <c r="P941" s="257" t="s">
        <v>2</v>
      </c>
      <c r="Q941" s="257" t="s">
        <v>2</v>
      </c>
      <c r="R941" s="257" t="s">
        <v>2</v>
      </c>
      <c r="S941" s="257" t="s">
        <v>16</v>
      </c>
      <c r="T941" s="257" t="s">
        <v>330</v>
      </c>
      <c r="U941" s="257" t="s">
        <v>250</v>
      </c>
      <c r="V941" s="257" t="s">
        <v>2</v>
      </c>
      <c r="W941" s="258" t="s">
        <v>283</v>
      </c>
      <c r="X941" s="258" t="s">
        <v>283</v>
      </c>
      <c r="Y941" s="259" t="s">
        <v>283</v>
      </c>
    </row>
    <row r="942" spans="1:25">
      <c r="A942" s="253">
        <v>18</v>
      </c>
      <c r="B942" s="254" t="str">
        <f>VLOOKUP(Tabel10[[#This Row],[Code]],Ruimtegroepen[[Code]:[Ruimte omschrijving]],2,FALSE)</f>
        <v>Gymzaal</v>
      </c>
      <c r="C942" s="255" t="s">
        <v>1068</v>
      </c>
      <c r="D942" s="254" t="s">
        <v>29</v>
      </c>
      <c r="E942" s="255" t="s">
        <v>101</v>
      </c>
      <c r="F942" s="255" t="s">
        <v>1071</v>
      </c>
      <c r="G942" s="260" t="s">
        <v>283</v>
      </c>
      <c r="H942" s="256" t="s">
        <v>283</v>
      </c>
      <c r="I942" s="256" t="s">
        <v>20</v>
      </c>
      <c r="J942" s="256" t="s">
        <v>15</v>
      </c>
      <c r="K942" s="256" t="s">
        <v>284</v>
      </c>
      <c r="L942" s="256" t="s">
        <v>283</v>
      </c>
      <c r="M942" s="256" t="s">
        <v>283</v>
      </c>
      <c r="N942" s="256" t="s">
        <v>2</v>
      </c>
      <c r="O942" s="257" t="s">
        <v>2</v>
      </c>
      <c r="P942" s="257" t="s">
        <v>2</v>
      </c>
      <c r="Q942" s="257" t="s">
        <v>2</v>
      </c>
      <c r="R942" s="257" t="s">
        <v>2</v>
      </c>
      <c r="S942" s="257" t="s">
        <v>16</v>
      </c>
      <c r="T942" s="257" t="s">
        <v>330</v>
      </c>
      <c r="U942" s="257" t="s">
        <v>250</v>
      </c>
      <c r="V942" s="257" t="s">
        <v>2</v>
      </c>
      <c r="W942" s="258" t="s">
        <v>283</v>
      </c>
      <c r="X942" s="258" t="s">
        <v>283</v>
      </c>
      <c r="Y942" s="259" t="s">
        <v>283</v>
      </c>
    </row>
    <row r="943" spans="1:25">
      <c r="A943" s="253">
        <v>18</v>
      </c>
      <c r="B943" s="254" t="str">
        <f>VLOOKUP(Tabel10[[#This Row],[Code]],Ruimtegroepen[[Code]:[Ruimte omschrijving]],2,FALSE)</f>
        <v>Gymzaal</v>
      </c>
      <c r="C943" s="255" t="s">
        <v>1068</v>
      </c>
      <c r="D943" s="254" t="s">
        <v>29</v>
      </c>
      <c r="E943" s="255" t="s">
        <v>102</v>
      </c>
      <c r="F943" s="255" t="s">
        <v>1072</v>
      </c>
      <c r="G943" s="260" t="s">
        <v>283</v>
      </c>
      <c r="H943" s="256" t="s">
        <v>283</v>
      </c>
      <c r="I943" s="256" t="s">
        <v>20</v>
      </c>
      <c r="J943" s="256" t="s">
        <v>15</v>
      </c>
      <c r="K943" s="256" t="s">
        <v>284</v>
      </c>
      <c r="L943" s="256" t="s">
        <v>283</v>
      </c>
      <c r="M943" s="256" t="s">
        <v>283</v>
      </c>
      <c r="N943" s="256" t="s">
        <v>2</v>
      </c>
      <c r="O943" s="257" t="s">
        <v>2</v>
      </c>
      <c r="P943" s="257" t="s">
        <v>2</v>
      </c>
      <c r="Q943" s="257" t="s">
        <v>2</v>
      </c>
      <c r="R943" s="257" t="s">
        <v>2</v>
      </c>
      <c r="S943" s="257" t="s">
        <v>16</v>
      </c>
      <c r="T943" s="257" t="s">
        <v>330</v>
      </c>
      <c r="U943" s="257" t="s">
        <v>250</v>
      </c>
      <c r="V943" s="257" t="s">
        <v>2</v>
      </c>
      <c r="W943" s="258" t="s">
        <v>283</v>
      </c>
      <c r="X943" s="258" t="s">
        <v>283</v>
      </c>
      <c r="Y943" s="259" t="s">
        <v>283</v>
      </c>
    </row>
    <row r="944" spans="1:25">
      <c r="A944" s="253">
        <v>18</v>
      </c>
      <c r="B944" s="254" t="str">
        <f>VLOOKUP(Tabel10[[#This Row],[Code]],Ruimtegroepen[[Code]:[Ruimte omschrijving]],2,FALSE)</f>
        <v>Gymzaal</v>
      </c>
      <c r="C944" s="255" t="s">
        <v>1068</v>
      </c>
      <c r="D944" s="254" t="s">
        <v>29</v>
      </c>
      <c r="E944" s="255" t="s">
        <v>99</v>
      </c>
      <c r="F944" s="255" t="s">
        <v>1070</v>
      </c>
      <c r="G944" s="260" t="s">
        <v>283</v>
      </c>
      <c r="H944" s="256" t="s">
        <v>2</v>
      </c>
      <c r="I944" s="256" t="s">
        <v>283</v>
      </c>
      <c r="J944" s="256" t="s">
        <v>283</v>
      </c>
      <c r="K944" s="256" t="s">
        <v>283</v>
      </c>
      <c r="L944" s="256" t="s">
        <v>283</v>
      </c>
      <c r="M944" s="256" t="s">
        <v>283</v>
      </c>
      <c r="N944" s="256" t="s">
        <v>2</v>
      </c>
      <c r="O944" s="257" t="s">
        <v>2</v>
      </c>
      <c r="P944" s="257" t="s">
        <v>2</v>
      </c>
      <c r="Q944" s="257" t="s">
        <v>2</v>
      </c>
      <c r="R944" s="257" t="s">
        <v>2</v>
      </c>
      <c r="S944" s="257" t="s">
        <v>16</v>
      </c>
      <c r="T944" s="257" t="s">
        <v>330</v>
      </c>
      <c r="U944" s="257" t="s">
        <v>250</v>
      </c>
      <c r="V944" s="257" t="s">
        <v>2</v>
      </c>
      <c r="W944" s="258" t="s">
        <v>283</v>
      </c>
      <c r="X944" s="258" t="s">
        <v>283</v>
      </c>
      <c r="Y944" s="259" t="s">
        <v>283</v>
      </c>
    </row>
    <row r="945" spans="1:25">
      <c r="A945" s="253">
        <v>18</v>
      </c>
      <c r="B945" s="254" t="str">
        <f>VLOOKUP(Tabel10[[#This Row],[Code]],Ruimtegroepen[[Code]:[Ruimte omschrijving]],2,FALSE)</f>
        <v>Gymzaal</v>
      </c>
      <c r="C945" s="255" t="s">
        <v>1068</v>
      </c>
      <c r="D945" s="254" t="s">
        <v>29</v>
      </c>
      <c r="E945" s="255" t="s">
        <v>1312</v>
      </c>
      <c r="F945" s="255" t="s">
        <v>1494</v>
      </c>
      <c r="G945" s="260" t="s">
        <v>283</v>
      </c>
      <c r="H945" s="256" t="s">
        <v>283</v>
      </c>
      <c r="I945" s="256" t="s">
        <v>20</v>
      </c>
      <c r="J945" s="256" t="s">
        <v>15</v>
      </c>
      <c r="K945" s="256" t="s">
        <v>284</v>
      </c>
      <c r="L945" s="256" t="s">
        <v>283</v>
      </c>
      <c r="M945" s="256" t="s">
        <v>283</v>
      </c>
      <c r="N945" s="256" t="s">
        <v>2</v>
      </c>
      <c r="O945" s="257" t="s">
        <v>2</v>
      </c>
      <c r="P945" s="257" t="s">
        <v>2</v>
      </c>
      <c r="Q945" s="257" t="s">
        <v>2</v>
      </c>
      <c r="R945" s="257" t="s">
        <v>2</v>
      </c>
      <c r="S945" s="257" t="s">
        <v>16</v>
      </c>
      <c r="T945" s="257" t="s">
        <v>330</v>
      </c>
      <c r="U945" s="257" t="s">
        <v>250</v>
      </c>
      <c r="V945" s="257" t="s">
        <v>2</v>
      </c>
      <c r="W945" s="258" t="s">
        <v>283</v>
      </c>
      <c r="X945" s="258" t="s">
        <v>283</v>
      </c>
      <c r="Y945" s="259" t="s">
        <v>283</v>
      </c>
    </row>
    <row r="946" spans="1:25">
      <c r="A946" s="253">
        <v>18</v>
      </c>
      <c r="B946" s="254" t="str">
        <f>VLOOKUP(Tabel10[[#This Row],[Code]],Ruimtegroepen[[Code]:[Ruimte omschrijving]],2,FALSE)</f>
        <v>Gymzaal</v>
      </c>
      <c r="C946" s="255" t="s">
        <v>1073</v>
      </c>
      <c r="D946" s="254" t="s">
        <v>1</v>
      </c>
      <c r="E946" s="255" t="s">
        <v>100</v>
      </c>
      <c r="F946" s="255" t="s">
        <v>1074</v>
      </c>
      <c r="G946" s="260" t="s">
        <v>283</v>
      </c>
      <c r="H946" s="256" t="s">
        <v>283</v>
      </c>
      <c r="I946" s="256" t="s">
        <v>20</v>
      </c>
      <c r="J946" s="256" t="s">
        <v>15</v>
      </c>
      <c r="K946" s="256" t="s">
        <v>283</v>
      </c>
      <c r="L946" s="256" t="s">
        <v>283</v>
      </c>
      <c r="M946" s="256" t="s">
        <v>283</v>
      </c>
      <c r="N946" s="256" t="s">
        <v>283</v>
      </c>
      <c r="O946" s="257" t="s">
        <v>2</v>
      </c>
      <c r="P946" s="257" t="s">
        <v>2</v>
      </c>
      <c r="Q946" s="257" t="s">
        <v>2</v>
      </c>
      <c r="R946" s="257" t="s">
        <v>2</v>
      </c>
      <c r="S946" s="257" t="s">
        <v>16</v>
      </c>
      <c r="T946" s="257" t="s">
        <v>330</v>
      </c>
      <c r="U946" s="257" t="s">
        <v>250</v>
      </c>
      <c r="V946" s="257" t="s">
        <v>283</v>
      </c>
      <c r="W946" s="258" t="s">
        <v>283</v>
      </c>
      <c r="X946" s="258" t="s">
        <v>283</v>
      </c>
      <c r="Y946" s="259" t="s">
        <v>283</v>
      </c>
    </row>
    <row r="947" spans="1:25">
      <c r="A947" s="253">
        <v>18</v>
      </c>
      <c r="B947" s="254" t="str">
        <f>VLOOKUP(Tabel10[[#This Row],[Code]],Ruimtegroepen[[Code]:[Ruimte omschrijving]],2,FALSE)</f>
        <v>Gymzaal</v>
      </c>
      <c r="C947" s="255" t="s">
        <v>1073</v>
      </c>
      <c r="D947" s="254" t="s">
        <v>1</v>
      </c>
      <c r="E947" s="255" t="s">
        <v>99</v>
      </c>
      <c r="F947" s="255" t="s">
        <v>1075</v>
      </c>
      <c r="G947" s="256" t="s">
        <v>20</v>
      </c>
      <c r="H947" s="256" t="s">
        <v>15</v>
      </c>
      <c r="I947" s="256" t="s">
        <v>283</v>
      </c>
      <c r="J947" s="256" t="s">
        <v>283</v>
      </c>
      <c r="K947" s="256" t="s">
        <v>283</v>
      </c>
      <c r="L947" s="256" t="s">
        <v>283</v>
      </c>
      <c r="M947" s="256" t="s">
        <v>283</v>
      </c>
      <c r="N947" s="256" t="s">
        <v>283</v>
      </c>
      <c r="O947" s="257" t="s">
        <v>2</v>
      </c>
      <c r="P947" s="257" t="s">
        <v>2</v>
      </c>
      <c r="Q947" s="257" t="s">
        <v>2</v>
      </c>
      <c r="R947" s="257" t="s">
        <v>2</v>
      </c>
      <c r="S947" s="257" t="s">
        <v>16</v>
      </c>
      <c r="T947" s="257" t="s">
        <v>330</v>
      </c>
      <c r="U947" s="257" t="s">
        <v>250</v>
      </c>
      <c r="V947" s="257" t="s">
        <v>283</v>
      </c>
      <c r="W947" s="258" t="s">
        <v>283</v>
      </c>
      <c r="X947" s="258" t="s">
        <v>283</v>
      </c>
      <c r="Y947" s="259" t="s">
        <v>283</v>
      </c>
    </row>
    <row r="948" spans="1:25">
      <c r="A948" s="253">
        <v>18</v>
      </c>
      <c r="B948" s="254" t="str">
        <f>VLOOKUP(Tabel10[[#This Row],[Code]],Ruimtegroepen[[Code]:[Ruimte omschrijving]],2,FALSE)</f>
        <v>Gymzaal</v>
      </c>
      <c r="C948" s="255" t="s">
        <v>1073</v>
      </c>
      <c r="D948" s="254" t="s">
        <v>1</v>
      </c>
      <c r="E948" s="255" t="s">
        <v>101</v>
      </c>
      <c r="F948" s="255" t="s">
        <v>1076</v>
      </c>
      <c r="G948" s="260" t="s">
        <v>283</v>
      </c>
      <c r="H948" s="256" t="s">
        <v>283</v>
      </c>
      <c r="I948" s="256" t="s">
        <v>20</v>
      </c>
      <c r="J948" s="256" t="s">
        <v>15</v>
      </c>
      <c r="K948" s="256" t="s">
        <v>284</v>
      </c>
      <c r="L948" s="256" t="s">
        <v>283</v>
      </c>
      <c r="M948" s="256" t="s">
        <v>283</v>
      </c>
      <c r="N948" s="256" t="s">
        <v>283</v>
      </c>
      <c r="O948" s="257" t="s">
        <v>2</v>
      </c>
      <c r="P948" s="257" t="s">
        <v>2</v>
      </c>
      <c r="Q948" s="257" t="s">
        <v>2</v>
      </c>
      <c r="R948" s="257" t="s">
        <v>2</v>
      </c>
      <c r="S948" s="257" t="s">
        <v>16</v>
      </c>
      <c r="T948" s="257" t="s">
        <v>330</v>
      </c>
      <c r="U948" s="257" t="s">
        <v>250</v>
      </c>
      <c r="V948" s="257" t="s">
        <v>283</v>
      </c>
      <c r="W948" s="258" t="s">
        <v>283</v>
      </c>
      <c r="X948" s="258" t="s">
        <v>283</v>
      </c>
      <c r="Y948" s="259" t="s">
        <v>283</v>
      </c>
    </row>
    <row r="949" spans="1:25">
      <c r="A949" s="253">
        <v>18</v>
      </c>
      <c r="B949" s="254" t="str">
        <f>VLOOKUP(Tabel10[[#This Row],[Code]],Ruimtegroepen[[Code]:[Ruimte omschrijving]],2,FALSE)</f>
        <v>Gymzaal</v>
      </c>
      <c r="C949" s="255" t="s">
        <v>1073</v>
      </c>
      <c r="D949" s="254" t="s">
        <v>1</v>
      </c>
      <c r="E949" s="255" t="s">
        <v>102</v>
      </c>
      <c r="F949" s="255" t="s">
        <v>1077</v>
      </c>
      <c r="G949" s="260" t="s">
        <v>283</v>
      </c>
      <c r="H949" s="256" t="s">
        <v>283</v>
      </c>
      <c r="I949" s="256" t="s">
        <v>20</v>
      </c>
      <c r="J949" s="256" t="s">
        <v>15</v>
      </c>
      <c r="K949" s="256" t="s">
        <v>284</v>
      </c>
      <c r="L949" s="256" t="s">
        <v>283</v>
      </c>
      <c r="M949" s="256" t="s">
        <v>283</v>
      </c>
      <c r="N949" s="256" t="s">
        <v>283</v>
      </c>
      <c r="O949" s="257" t="s">
        <v>2</v>
      </c>
      <c r="P949" s="257" t="s">
        <v>2</v>
      </c>
      <c r="Q949" s="257" t="s">
        <v>2</v>
      </c>
      <c r="R949" s="257" t="s">
        <v>2</v>
      </c>
      <c r="S949" s="257" t="s">
        <v>16</v>
      </c>
      <c r="T949" s="257" t="s">
        <v>330</v>
      </c>
      <c r="U949" s="257" t="s">
        <v>250</v>
      </c>
      <c r="V949" s="257" t="s">
        <v>283</v>
      </c>
      <c r="W949" s="258" t="s">
        <v>283</v>
      </c>
      <c r="X949" s="258" t="s">
        <v>283</v>
      </c>
      <c r="Y949" s="259" t="s">
        <v>283</v>
      </c>
    </row>
    <row r="950" spans="1:25">
      <c r="A950" s="253">
        <v>18</v>
      </c>
      <c r="B950" s="254" t="str">
        <f>VLOOKUP(Tabel10[[#This Row],[Code]],Ruimtegroepen[[Code]:[Ruimte omschrijving]],2,FALSE)</f>
        <v>Gymzaal</v>
      </c>
      <c r="C950" s="255" t="s">
        <v>1073</v>
      </c>
      <c r="D950" s="254" t="s">
        <v>1</v>
      </c>
      <c r="E950" s="255" t="s">
        <v>99</v>
      </c>
      <c r="F950" s="255" t="s">
        <v>1075</v>
      </c>
      <c r="G950" s="260" t="s">
        <v>283</v>
      </c>
      <c r="H950" s="256" t="s">
        <v>2</v>
      </c>
      <c r="I950" s="256" t="s">
        <v>283</v>
      </c>
      <c r="J950" s="256" t="s">
        <v>283</v>
      </c>
      <c r="K950" s="256" t="s">
        <v>283</v>
      </c>
      <c r="L950" s="256" t="s">
        <v>283</v>
      </c>
      <c r="M950" s="256" t="s">
        <v>283</v>
      </c>
      <c r="N950" s="256" t="s">
        <v>283</v>
      </c>
      <c r="O950" s="257" t="s">
        <v>2</v>
      </c>
      <c r="P950" s="257" t="s">
        <v>2</v>
      </c>
      <c r="Q950" s="257" t="s">
        <v>2</v>
      </c>
      <c r="R950" s="257" t="s">
        <v>2</v>
      </c>
      <c r="S950" s="257" t="s">
        <v>16</v>
      </c>
      <c r="T950" s="257" t="s">
        <v>330</v>
      </c>
      <c r="U950" s="257" t="s">
        <v>250</v>
      </c>
      <c r="V950" s="257" t="s">
        <v>283</v>
      </c>
      <c r="W950" s="258" t="s">
        <v>283</v>
      </c>
      <c r="X950" s="258" t="s">
        <v>283</v>
      </c>
      <c r="Y950" s="259" t="s">
        <v>283</v>
      </c>
    </row>
    <row r="951" spans="1:25">
      <c r="A951" s="253">
        <v>18</v>
      </c>
      <c r="B951" s="254" t="str">
        <f>VLOOKUP(Tabel10[[#This Row],[Code]],Ruimtegroepen[[Code]:[Ruimte omschrijving]],2,FALSE)</f>
        <v>Gymzaal</v>
      </c>
      <c r="C951" s="255" t="s">
        <v>1073</v>
      </c>
      <c r="D951" s="254" t="s">
        <v>1</v>
      </c>
      <c r="E951" s="255" t="s">
        <v>1312</v>
      </c>
      <c r="F951" s="255" t="s">
        <v>1478</v>
      </c>
      <c r="G951" s="260" t="s">
        <v>283</v>
      </c>
      <c r="H951" s="256" t="s">
        <v>283</v>
      </c>
      <c r="I951" s="256" t="s">
        <v>20</v>
      </c>
      <c r="J951" s="256" t="s">
        <v>15</v>
      </c>
      <c r="K951" s="256" t="s">
        <v>284</v>
      </c>
      <c r="L951" s="256" t="s">
        <v>283</v>
      </c>
      <c r="M951" s="256" t="s">
        <v>283</v>
      </c>
      <c r="N951" s="256" t="s">
        <v>283</v>
      </c>
      <c r="O951" s="257" t="s">
        <v>2</v>
      </c>
      <c r="P951" s="257" t="s">
        <v>2</v>
      </c>
      <c r="Q951" s="257" t="s">
        <v>2</v>
      </c>
      <c r="R951" s="257" t="s">
        <v>2</v>
      </c>
      <c r="S951" s="257" t="s">
        <v>16</v>
      </c>
      <c r="T951" s="257" t="s">
        <v>330</v>
      </c>
      <c r="U951" s="257" t="s">
        <v>250</v>
      </c>
      <c r="V951" s="257" t="s">
        <v>283</v>
      </c>
      <c r="W951" s="258" t="s">
        <v>283</v>
      </c>
      <c r="X951" s="258" t="s">
        <v>283</v>
      </c>
      <c r="Y951" s="259" t="s">
        <v>283</v>
      </c>
    </row>
    <row r="952" spans="1:25">
      <c r="A952" s="253">
        <v>18</v>
      </c>
      <c r="B952" s="254" t="str">
        <f>VLOOKUP(Tabel10[[#This Row],[Code]],Ruimtegroepen[[Code]:[Ruimte omschrijving]],2,FALSE)</f>
        <v>Gymzaal</v>
      </c>
      <c r="C952" s="255" t="s">
        <v>1078</v>
      </c>
      <c r="D952" s="254" t="s">
        <v>21</v>
      </c>
      <c r="E952" s="255" t="s">
        <v>100</v>
      </c>
      <c r="F952" s="255" t="s">
        <v>1079</v>
      </c>
      <c r="G952" s="260" t="s">
        <v>283</v>
      </c>
      <c r="H952" s="256" t="s">
        <v>283</v>
      </c>
      <c r="I952" s="256" t="s">
        <v>18</v>
      </c>
      <c r="J952" s="256" t="s">
        <v>15</v>
      </c>
      <c r="K952" s="256" t="s">
        <v>283</v>
      </c>
      <c r="L952" s="256" t="s">
        <v>283</v>
      </c>
      <c r="M952" s="256" t="s">
        <v>283</v>
      </c>
      <c r="N952" s="256" t="s">
        <v>283</v>
      </c>
      <c r="O952" s="257" t="s">
        <v>20</v>
      </c>
      <c r="P952" s="257" t="s">
        <v>20</v>
      </c>
      <c r="Q952" s="257" t="s">
        <v>20</v>
      </c>
      <c r="R952" s="257" t="s">
        <v>15</v>
      </c>
      <c r="S952" s="257" t="s">
        <v>16</v>
      </c>
      <c r="T952" s="257" t="s">
        <v>330</v>
      </c>
      <c r="U952" s="257" t="s">
        <v>250</v>
      </c>
      <c r="V952" s="257" t="s">
        <v>283</v>
      </c>
      <c r="W952" s="258" t="s">
        <v>283</v>
      </c>
      <c r="X952" s="258" t="s">
        <v>283</v>
      </c>
      <c r="Y952" s="259" t="s">
        <v>283</v>
      </c>
    </row>
    <row r="953" spans="1:25">
      <c r="A953" s="253">
        <v>18</v>
      </c>
      <c r="B953" s="254" t="str">
        <f>VLOOKUP(Tabel10[[#This Row],[Code]],Ruimtegroepen[[Code]:[Ruimte omschrijving]],2,FALSE)</f>
        <v>Gymzaal</v>
      </c>
      <c r="C953" s="255" t="s">
        <v>1078</v>
      </c>
      <c r="D953" s="254" t="s">
        <v>21</v>
      </c>
      <c r="E953" s="255" t="s">
        <v>99</v>
      </c>
      <c r="F953" s="255" t="s">
        <v>1080</v>
      </c>
      <c r="G953" s="256" t="s">
        <v>18</v>
      </c>
      <c r="H953" s="256" t="s">
        <v>15</v>
      </c>
      <c r="I953" s="256" t="s">
        <v>283</v>
      </c>
      <c r="J953" s="256" t="s">
        <v>283</v>
      </c>
      <c r="K953" s="256" t="s">
        <v>283</v>
      </c>
      <c r="L953" s="256" t="s">
        <v>283</v>
      </c>
      <c r="M953" s="256" t="s">
        <v>283</v>
      </c>
      <c r="N953" s="256" t="s">
        <v>283</v>
      </c>
      <c r="O953" s="257" t="s">
        <v>20</v>
      </c>
      <c r="P953" s="257" t="s">
        <v>20</v>
      </c>
      <c r="Q953" s="257" t="s">
        <v>20</v>
      </c>
      <c r="R953" s="257" t="s">
        <v>15</v>
      </c>
      <c r="S953" s="257" t="s">
        <v>16</v>
      </c>
      <c r="T953" s="257" t="s">
        <v>330</v>
      </c>
      <c r="U953" s="257" t="s">
        <v>250</v>
      </c>
      <c r="V953" s="257" t="s">
        <v>283</v>
      </c>
      <c r="W953" s="258" t="s">
        <v>283</v>
      </c>
      <c r="X953" s="258" t="s">
        <v>283</v>
      </c>
      <c r="Y953" s="259" t="s">
        <v>283</v>
      </c>
    </row>
    <row r="954" spans="1:25">
      <c r="A954" s="253">
        <v>18</v>
      </c>
      <c r="B954" s="254" t="str">
        <f>VLOOKUP(Tabel10[[#This Row],[Code]],Ruimtegroepen[[Code]:[Ruimte omschrijving]],2,FALSE)</f>
        <v>Gymzaal</v>
      </c>
      <c r="C954" s="255" t="s">
        <v>1078</v>
      </c>
      <c r="D954" s="254" t="s">
        <v>21</v>
      </c>
      <c r="E954" s="255" t="s">
        <v>101</v>
      </c>
      <c r="F954" s="255" t="s">
        <v>1081</v>
      </c>
      <c r="G954" s="260" t="s">
        <v>283</v>
      </c>
      <c r="H954" s="256" t="s">
        <v>283</v>
      </c>
      <c r="I954" s="256" t="s">
        <v>18</v>
      </c>
      <c r="J954" s="256" t="s">
        <v>15</v>
      </c>
      <c r="K954" s="256" t="s">
        <v>284</v>
      </c>
      <c r="L954" s="256" t="s">
        <v>283</v>
      </c>
      <c r="M954" s="256" t="s">
        <v>283</v>
      </c>
      <c r="N954" s="256" t="s">
        <v>283</v>
      </c>
      <c r="O954" s="257" t="s">
        <v>20</v>
      </c>
      <c r="P954" s="257" t="s">
        <v>20</v>
      </c>
      <c r="Q954" s="257" t="s">
        <v>20</v>
      </c>
      <c r="R954" s="257" t="s">
        <v>15</v>
      </c>
      <c r="S954" s="257" t="s">
        <v>16</v>
      </c>
      <c r="T954" s="257" t="s">
        <v>330</v>
      </c>
      <c r="U954" s="257" t="s">
        <v>250</v>
      </c>
      <c r="V954" s="257" t="s">
        <v>283</v>
      </c>
      <c r="W954" s="258" t="s">
        <v>283</v>
      </c>
      <c r="X954" s="258" t="s">
        <v>283</v>
      </c>
      <c r="Y954" s="259" t="s">
        <v>283</v>
      </c>
    </row>
    <row r="955" spans="1:25">
      <c r="A955" s="253">
        <v>18</v>
      </c>
      <c r="B955" s="254" t="str">
        <f>VLOOKUP(Tabel10[[#This Row],[Code]],Ruimtegroepen[[Code]:[Ruimte omschrijving]],2,FALSE)</f>
        <v>Gymzaal</v>
      </c>
      <c r="C955" s="255" t="s">
        <v>1078</v>
      </c>
      <c r="D955" s="254" t="s">
        <v>21</v>
      </c>
      <c r="E955" s="255" t="s">
        <v>102</v>
      </c>
      <c r="F955" s="255" t="s">
        <v>1082</v>
      </c>
      <c r="G955" s="260" t="s">
        <v>283</v>
      </c>
      <c r="H955" s="256" t="s">
        <v>283</v>
      </c>
      <c r="I955" s="256" t="s">
        <v>18</v>
      </c>
      <c r="J955" s="256" t="s">
        <v>15</v>
      </c>
      <c r="K955" s="256" t="s">
        <v>284</v>
      </c>
      <c r="L955" s="256" t="s">
        <v>283</v>
      </c>
      <c r="M955" s="256" t="s">
        <v>283</v>
      </c>
      <c r="N955" s="256" t="s">
        <v>283</v>
      </c>
      <c r="O955" s="257" t="s">
        <v>20</v>
      </c>
      <c r="P955" s="257" t="s">
        <v>20</v>
      </c>
      <c r="Q955" s="257" t="s">
        <v>20</v>
      </c>
      <c r="R955" s="257" t="s">
        <v>15</v>
      </c>
      <c r="S955" s="257" t="s">
        <v>16</v>
      </c>
      <c r="T955" s="257" t="s">
        <v>330</v>
      </c>
      <c r="U955" s="257" t="s">
        <v>250</v>
      </c>
      <c r="V955" s="257" t="s">
        <v>283</v>
      </c>
      <c r="W955" s="258" t="s">
        <v>283</v>
      </c>
      <c r="X955" s="258" t="s">
        <v>283</v>
      </c>
      <c r="Y955" s="259" t="s">
        <v>283</v>
      </c>
    </row>
    <row r="956" spans="1:25">
      <c r="A956" s="253">
        <v>18</v>
      </c>
      <c r="B956" s="254" t="str">
        <f>VLOOKUP(Tabel10[[#This Row],[Code]],Ruimtegroepen[[Code]:[Ruimte omschrijving]],2,FALSE)</f>
        <v>Gymzaal</v>
      </c>
      <c r="C956" s="255" t="s">
        <v>1078</v>
      </c>
      <c r="D956" s="254" t="s">
        <v>21</v>
      </c>
      <c r="E956" s="255" t="s">
        <v>99</v>
      </c>
      <c r="F956" s="255" t="s">
        <v>1080</v>
      </c>
      <c r="G956" s="260" t="s">
        <v>283</v>
      </c>
      <c r="H956" s="256" t="s">
        <v>20</v>
      </c>
      <c r="I956" s="256" t="s">
        <v>283</v>
      </c>
      <c r="J956" s="256" t="s">
        <v>283</v>
      </c>
      <c r="K956" s="256" t="s">
        <v>283</v>
      </c>
      <c r="L956" s="256" t="s">
        <v>283</v>
      </c>
      <c r="M956" s="256" t="s">
        <v>283</v>
      </c>
      <c r="N956" s="256" t="s">
        <v>283</v>
      </c>
      <c r="O956" s="257" t="s">
        <v>20</v>
      </c>
      <c r="P956" s="257" t="s">
        <v>20</v>
      </c>
      <c r="Q956" s="257" t="s">
        <v>20</v>
      </c>
      <c r="R956" s="257" t="s">
        <v>15</v>
      </c>
      <c r="S956" s="257" t="s">
        <v>16</v>
      </c>
      <c r="T956" s="257" t="s">
        <v>330</v>
      </c>
      <c r="U956" s="257" t="s">
        <v>250</v>
      </c>
      <c r="V956" s="257" t="s">
        <v>283</v>
      </c>
      <c r="W956" s="258" t="s">
        <v>283</v>
      </c>
      <c r="X956" s="258" t="s">
        <v>283</v>
      </c>
      <c r="Y956" s="259" t="s">
        <v>283</v>
      </c>
    </row>
    <row r="957" spans="1:25">
      <c r="A957" s="253">
        <v>18</v>
      </c>
      <c r="B957" s="254" t="str">
        <f>VLOOKUP(Tabel10[[#This Row],[Code]],Ruimtegroepen[[Code]:[Ruimte omschrijving]],2,FALSE)</f>
        <v>Gymzaal</v>
      </c>
      <c r="C957" s="255" t="s">
        <v>1078</v>
      </c>
      <c r="D957" s="254" t="s">
        <v>21</v>
      </c>
      <c r="E957" s="255" t="s">
        <v>1312</v>
      </c>
      <c r="F957" s="255" t="s">
        <v>1461</v>
      </c>
      <c r="G957" s="260" t="s">
        <v>283</v>
      </c>
      <c r="H957" s="256" t="s">
        <v>283</v>
      </c>
      <c r="I957" s="256" t="s">
        <v>18</v>
      </c>
      <c r="J957" s="256" t="s">
        <v>15</v>
      </c>
      <c r="K957" s="256" t="s">
        <v>284</v>
      </c>
      <c r="L957" s="256" t="s">
        <v>283</v>
      </c>
      <c r="M957" s="256" t="s">
        <v>283</v>
      </c>
      <c r="N957" s="256" t="s">
        <v>283</v>
      </c>
      <c r="O957" s="257" t="s">
        <v>20</v>
      </c>
      <c r="P957" s="257" t="s">
        <v>20</v>
      </c>
      <c r="Q957" s="257" t="s">
        <v>20</v>
      </c>
      <c r="R957" s="257" t="s">
        <v>15</v>
      </c>
      <c r="S957" s="257" t="s">
        <v>16</v>
      </c>
      <c r="T957" s="257" t="s">
        <v>330</v>
      </c>
      <c r="U957" s="257" t="s">
        <v>250</v>
      </c>
      <c r="V957" s="257" t="s">
        <v>283</v>
      </c>
      <c r="W957" s="258" t="s">
        <v>283</v>
      </c>
      <c r="X957" s="258" t="s">
        <v>283</v>
      </c>
      <c r="Y957" s="259" t="s">
        <v>283</v>
      </c>
    </row>
    <row r="958" spans="1:25">
      <c r="A958" s="253">
        <v>18</v>
      </c>
      <c r="B958" s="254" t="str">
        <f>VLOOKUP(Tabel10[[#This Row],[Code]],Ruimtegroepen[[Code]:[Ruimte omschrijving]],2,FALSE)</f>
        <v>Gymzaal</v>
      </c>
      <c r="C958" s="255" t="s">
        <v>1083</v>
      </c>
      <c r="D958" s="254" t="s">
        <v>12</v>
      </c>
      <c r="E958" s="255" t="s">
        <v>100</v>
      </c>
      <c r="F958" s="255" t="s">
        <v>1084</v>
      </c>
      <c r="G958" s="260" t="s">
        <v>283</v>
      </c>
      <c r="H958" s="256" t="s">
        <v>283</v>
      </c>
      <c r="I958" s="256" t="s">
        <v>17</v>
      </c>
      <c r="J958" s="256" t="s">
        <v>15</v>
      </c>
      <c r="K958" s="256" t="s">
        <v>283</v>
      </c>
      <c r="L958" s="256" t="s">
        <v>283</v>
      </c>
      <c r="M958" s="256" t="s">
        <v>283</v>
      </c>
      <c r="N958" s="256" t="s">
        <v>283</v>
      </c>
      <c r="O958" s="257" t="s">
        <v>18</v>
      </c>
      <c r="P958" s="257" t="s">
        <v>18</v>
      </c>
      <c r="Q958" s="257" t="s">
        <v>18</v>
      </c>
      <c r="R958" s="257" t="s">
        <v>15</v>
      </c>
      <c r="S958" s="257" t="s">
        <v>16</v>
      </c>
      <c r="T958" s="257" t="s">
        <v>330</v>
      </c>
      <c r="U958" s="257" t="s">
        <v>250</v>
      </c>
      <c r="V958" s="257" t="s">
        <v>283</v>
      </c>
      <c r="W958" s="258" t="s">
        <v>283</v>
      </c>
      <c r="X958" s="258" t="s">
        <v>283</v>
      </c>
      <c r="Y958" s="259" t="s">
        <v>283</v>
      </c>
    </row>
    <row r="959" spans="1:25">
      <c r="A959" s="253">
        <v>18</v>
      </c>
      <c r="B959" s="254" t="str">
        <f>VLOOKUP(Tabel10[[#This Row],[Code]],Ruimtegroepen[[Code]:[Ruimte omschrijving]],2,FALSE)</f>
        <v>Gymzaal</v>
      </c>
      <c r="C959" s="266" t="s">
        <v>1083</v>
      </c>
      <c r="D959" s="254" t="s">
        <v>12</v>
      </c>
      <c r="E959" s="255" t="s">
        <v>99</v>
      </c>
      <c r="F959" s="255" t="s">
        <v>1085</v>
      </c>
      <c r="G959" s="262" t="s">
        <v>17</v>
      </c>
      <c r="H959" s="262" t="s">
        <v>15</v>
      </c>
      <c r="I959" s="256" t="s">
        <v>283</v>
      </c>
      <c r="J959" s="262" t="s">
        <v>283</v>
      </c>
      <c r="K959" s="262" t="s">
        <v>283</v>
      </c>
      <c r="L959" s="256" t="s">
        <v>283</v>
      </c>
      <c r="M959" s="256" t="s">
        <v>283</v>
      </c>
      <c r="N959" s="262" t="s">
        <v>283</v>
      </c>
      <c r="O959" s="263" t="s">
        <v>18</v>
      </c>
      <c r="P959" s="263" t="s">
        <v>18</v>
      </c>
      <c r="Q959" s="263" t="s">
        <v>18</v>
      </c>
      <c r="R959" s="263" t="s">
        <v>15</v>
      </c>
      <c r="S959" s="257" t="s">
        <v>16</v>
      </c>
      <c r="T959" s="257" t="s">
        <v>330</v>
      </c>
      <c r="U959" s="257" t="s">
        <v>250</v>
      </c>
      <c r="V959" s="263" t="s">
        <v>283</v>
      </c>
      <c r="W959" s="264" t="s">
        <v>283</v>
      </c>
      <c r="X959" s="264" t="s">
        <v>283</v>
      </c>
      <c r="Y959" s="265" t="s">
        <v>283</v>
      </c>
    </row>
    <row r="960" spans="1:25">
      <c r="A960" s="253">
        <v>18</v>
      </c>
      <c r="B960" s="254" t="str">
        <f>VLOOKUP(Tabel10[[#This Row],[Code]],Ruimtegroepen[[Code]:[Ruimte omschrijving]],2,FALSE)</f>
        <v>Gymzaal</v>
      </c>
      <c r="C960" s="255" t="s">
        <v>1083</v>
      </c>
      <c r="D960" s="254" t="s">
        <v>12</v>
      </c>
      <c r="E960" s="255" t="s">
        <v>101</v>
      </c>
      <c r="F960" s="255" t="s">
        <v>1086</v>
      </c>
      <c r="G960" s="260" t="s">
        <v>283</v>
      </c>
      <c r="H960" s="256" t="s">
        <v>283</v>
      </c>
      <c r="I960" s="256" t="s">
        <v>17</v>
      </c>
      <c r="J960" s="256" t="s">
        <v>15</v>
      </c>
      <c r="K960" s="256" t="s">
        <v>284</v>
      </c>
      <c r="L960" s="256" t="s">
        <v>283</v>
      </c>
      <c r="M960" s="256" t="s">
        <v>283</v>
      </c>
      <c r="N960" s="256" t="s">
        <v>283</v>
      </c>
      <c r="O960" s="257" t="s">
        <v>18</v>
      </c>
      <c r="P960" s="257" t="s">
        <v>18</v>
      </c>
      <c r="Q960" s="257" t="s">
        <v>18</v>
      </c>
      <c r="R960" s="257" t="s">
        <v>15</v>
      </c>
      <c r="S960" s="257" t="s">
        <v>16</v>
      </c>
      <c r="T960" s="257" t="s">
        <v>330</v>
      </c>
      <c r="U960" s="257" t="s">
        <v>250</v>
      </c>
      <c r="V960" s="257" t="s">
        <v>283</v>
      </c>
      <c r="W960" s="258" t="s">
        <v>283</v>
      </c>
      <c r="X960" s="258" t="s">
        <v>283</v>
      </c>
      <c r="Y960" s="259" t="s">
        <v>283</v>
      </c>
    </row>
    <row r="961" spans="1:25">
      <c r="A961" s="253">
        <v>18</v>
      </c>
      <c r="B961" s="254" t="str">
        <f>VLOOKUP(Tabel10[[#This Row],[Code]],Ruimtegroepen[[Code]:[Ruimte omschrijving]],2,FALSE)</f>
        <v>Gymzaal</v>
      </c>
      <c r="C961" s="255" t="s">
        <v>1083</v>
      </c>
      <c r="D961" s="254" t="s">
        <v>12</v>
      </c>
      <c r="E961" s="255" t="s">
        <v>102</v>
      </c>
      <c r="F961" s="255" t="s">
        <v>1087</v>
      </c>
      <c r="G961" s="260" t="s">
        <v>283</v>
      </c>
      <c r="H961" s="256" t="s">
        <v>283</v>
      </c>
      <c r="I961" s="256" t="s">
        <v>17</v>
      </c>
      <c r="J961" s="256" t="s">
        <v>15</v>
      </c>
      <c r="K961" s="256" t="s">
        <v>284</v>
      </c>
      <c r="L961" s="256" t="s">
        <v>283</v>
      </c>
      <c r="M961" s="256" t="s">
        <v>283</v>
      </c>
      <c r="N961" s="256" t="s">
        <v>283</v>
      </c>
      <c r="O961" s="257" t="s">
        <v>18</v>
      </c>
      <c r="P961" s="257" t="s">
        <v>18</v>
      </c>
      <c r="Q961" s="257" t="s">
        <v>18</v>
      </c>
      <c r="R961" s="257" t="s">
        <v>15</v>
      </c>
      <c r="S961" s="257" t="s">
        <v>16</v>
      </c>
      <c r="T961" s="257" t="s">
        <v>330</v>
      </c>
      <c r="U961" s="257" t="s">
        <v>250</v>
      </c>
      <c r="V961" s="257" t="s">
        <v>283</v>
      </c>
      <c r="W961" s="258" t="s">
        <v>283</v>
      </c>
      <c r="X961" s="258" t="s">
        <v>283</v>
      </c>
      <c r="Y961" s="259" t="s">
        <v>283</v>
      </c>
    </row>
    <row r="962" spans="1:25">
      <c r="A962" s="253">
        <v>18</v>
      </c>
      <c r="B962" s="254" t="str">
        <f>VLOOKUP(Tabel10[[#This Row],[Code]],Ruimtegroepen[[Code]:[Ruimte omschrijving]],2,FALSE)</f>
        <v>Gymzaal</v>
      </c>
      <c r="C962" s="255" t="s">
        <v>1083</v>
      </c>
      <c r="D962" s="254" t="s">
        <v>12</v>
      </c>
      <c r="E962" s="255" t="s">
        <v>99</v>
      </c>
      <c r="F962" s="255" t="s">
        <v>1085</v>
      </c>
      <c r="G962" s="260" t="s">
        <v>283</v>
      </c>
      <c r="H962" s="256" t="s">
        <v>18</v>
      </c>
      <c r="I962" s="256" t="s">
        <v>283</v>
      </c>
      <c r="J962" s="256" t="s">
        <v>283</v>
      </c>
      <c r="K962" s="256" t="s">
        <v>283</v>
      </c>
      <c r="L962" s="256" t="s">
        <v>283</v>
      </c>
      <c r="M962" s="256" t="s">
        <v>283</v>
      </c>
      <c r="N962" s="256" t="s">
        <v>283</v>
      </c>
      <c r="O962" s="257" t="s">
        <v>18</v>
      </c>
      <c r="P962" s="257" t="s">
        <v>18</v>
      </c>
      <c r="Q962" s="257" t="s">
        <v>18</v>
      </c>
      <c r="R962" s="257" t="s">
        <v>15</v>
      </c>
      <c r="S962" s="257" t="s">
        <v>16</v>
      </c>
      <c r="T962" s="257" t="s">
        <v>330</v>
      </c>
      <c r="U962" s="257" t="s">
        <v>250</v>
      </c>
      <c r="V962" s="257" t="s">
        <v>283</v>
      </c>
      <c r="W962" s="258" t="s">
        <v>283</v>
      </c>
      <c r="X962" s="258" t="s">
        <v>283</v>
      </c>
      <c r="Y962" s="259" t="s">
        <v>283</v>
      </c>
    </row>
    <row r="963" spans="1:25">
      <c r="A963" s="253">
        <v>18</v>
      </c>
      <c r="B963" s="254" t="str">
        <f>VLOOKUP(Tabel10[[#This Row],[Code]],Ruimtegroepen[[Code]:[Ruimte omschrijving]],2,FALSE)</f>
        <v>Gymzaal</v>
      </c>
      <c r="C963" s="255" t="s">
        <v>1083</v>
      </c>
      <c r="D963" s="254" t="s">
        <v>12</v>
      </c>
      <c r="E963" s="255" t="s">
        <v>1312</v>
      </c>
      <c r="F963" s="255" t="s">
        <v>1443</v>
      </c>
      <c r="G963" s="260" t="s">
        <v>283</v>
      </c>
      <c r="H963" s="256" t="s">
        <v>283</v>
      </c>
      <c r="I963" s="256" t="s">
        <v>17</v>
      </c>
      <c r="J963" s="256" t="s">
        <v>15</v>
      </c>
      <c r="K963" s="256" t="s">
        <v>284</v>
      </c>
      <c r="L963" s="256" t="s">
        <v>283</v>
      </c>
      <c r="M963" s="256" t="s">
        <v>283</v>
      </c>
      <c r="N963" s="256" t="s">
        <v>283</v>
      </c>
      <c r="O963" s="257" t="s">
        <v>18</v>
      </c>
      <c r="P963" s="257" t="s">
        <v>18</v>
      </c>
      <c r="Q963" s="257" t="s">
        <v>18</v>
      </c>
      <c r="R963" s="257" t="s">
        <v>15</v>
      </c>
      <c r="S963" s="257" t="s">
        <v>16</v>
      </c>
      <c r="T963" s="257" t="s">
        <v>330</v>
      </c>
      <c r="U963" s="257" t="s">
        <v>250</v>
      </c>
      <c r="V963" s="257" t="s">
        <v>283</v>
      </c>
      <c r="W963" s="258" t="s">
        <v>283</v>
      </c>
      <c r="X963" s="258" t="s">
        <v>283</v>
      </c>
      <c r="Y963" s="259" t="s">
        <v>283</v>
      </c>
    </row>
    <row r="964" spans="1:25">
      <c r="A964" s="253">
        <v>18</v>
      </c>
      <c r="B964" s="254" t="str">
        <f>VLOOKUP(Tabel10[[#This Row],[Code]],Ruimtegroepen[[Code]:[Ruimte omschrijving]],2,FALSE)</f>
        <v>Gymzaal</v>
      </c>
      <c r="C964" s="255" t="s">
        <v>1088</v>
      </c>
      <c r="D964" s="254" t="s">
        <v>14</v>
      </c>
      <c r="E964" s="255" t="s">
        <v>100</v>
      </c>
      <c r="F964" s="255" t="s">
        <v>1089</v>
      </c>
      <c r="G964" s="260" t="s">
        <v>283</v>
      </c>
      <c r="H964" s="256" t="s">
        <v>283</v>
      </c>
      <c r="I964" s="256" t="s">
        <v>17</v>
      </c>
      <c r="J964" s="256" t="s">
        <v>15</v>
      </c>
      <c r="K964" s="256" t="s">
        <v>283</v>
      </c>
      <c r="L964" s="256" t="s">
        <v>283</v>
      </c>
      <c r="M964" s="256" t="s">
        <v>283</v>
      </c>
      <c r="N964" s="256" t="s">
        <v>283</v>
      </c>
      <c r="O964" s="257" t="s">
        <v>17</v>
      </c>
      <c r="P964" s="257" t="s">
        <v>17</v>
      </c>
      <c r="Q964" s="257" t="s">
        <v>17</v>
      </c>
      <c r="R964" s="257" t="s">
        <v>15</v>
      </c>
      <c r="S964" s="257" t="s">
        <v>16</v>
      </c>
      <c r="T964" s="257" t="s">
        <v>330</v>
      </c>
      <c r="U964" s="257" t="s">
        <v>250</v>
      </c>
      <c r="V964" s="257" t="s">
        <v>283</v>
      </c>
      <c r="W964" s="258" t="s">
        <v>283</v>
      </c>
      <c r="X964" s="258" t="s">
        <v>283</v>
      </c>
      <c r="Y964" s="259" t="s">
        <v>283</v>
      </c>
    </row>
    <row r="965" spans="1:25">
      <c r="A965" s="253">
        <v>18</v>
      </c>
      <c r="B965" s="254" t="str">
        <f>VLOOKUP(Tabel10[[#This Row],[Code]],Ruimtegroepen[[Code]:[Ruimte omschrijving]],2,FALSE)</f>
        <v>Gymzaal</v>
      </c>
      <c r="C965" s="255" t="s">
        <v>1088</v>
      </c>
      <c r="D965" s="254" t="s">
        <v>14</v>
      </c>
      <c r="E965" s="255" t="s">
        <v>99</v>
      </c>
      <c r="F965" s="255" t="s">
        <v>1090</v>
      </c>
      <c r="G965" s="256" t="s">
        <v>15</v>
      </c>
      <c r="H965" s="256" t="s">
        <v>15</v>
      </c>
      <c r="I965" s="256" t="s">
        <v>283</v>
      </c>
      <c r="J965" s="256" t="s">
        <v>283</v>
      </c>
      <c r="K965" s="256" t="s">
        <v>283</v>
      </c>
      <c r="L965" s="256" t="s">
        <v>283</v>
      </c>
      <c r="M965" s="256" t="s">
        <v>283</v>
      </c>
      <c r="N965" s="256" t="s">
        <v>283</v>
      </c>
      <c r="O965" s="257" t="s">
        <v>17</v>
      </c>
      <c r="P965" s="257" t="s">
        <v>17</v>
      </c>
      <c r="Q965" s="257" t="s">
        <v>17</v>
      </c>
      <c r="R965" s="257" t="s">
        <v>15</v>
      </c>
      <c r="S965" s="257" t="s">
        <v>16</v>
      </c>
      <c r="T965" s="257" t="s">
        <v>330</v>
      </c>
      <c r="U965" s="257" t="s">
        <v>250</v>
      </c>
      <c r="V965" s="257" t="s">
        <v>283</v>
      </c>
      <c r="W965" s="258" t="s">
        <v>283</v>
      </c>
      <c r="X965" s="258" t="s">
        <v>283</v>
      </c>
      <c r="Y965" s="259" t="s">
        <v>283</v>
      </c>
    </row>
    <row r="966" spans="1:25">
      <c r="A966" s="253">
        <v>18</v>
      </c>
      <c r="B966" s="254" t="str">
        <f>VLOOKUP(Tabel10[[#This Row],[Code]],Ruimtegroepen[[Code]:[Ruimte omschrijving]],2,FALSE)</f>
        <v>Gymzaal</v>
      </c>
      <c r="C966" s="255" t="s">
        <v>1088</v>
      </c>
      <c r="D966" s="254" t="s">
        <v>14</v>
      </c>
      <c r="E966" s="255" t="s">
        <v>101</v>
      </c>
      <c r="F966" s="255" t="s">
        <v>1091</v>
      </c>
      <c r="G966" s="260" t="s">
        <v>283</v>
      </c>
      <c r="H966" s="256" t="s">
        <v>283</v>
      </c>
      <c r="I966" s="256" t="s">
        <v>15</v>
      </c>
      <c r="J966" s="256" t="s">
        <v>15</v>
      </c>
      <c r="K966" s="256" t="s">
        <v>284</v>
      </c>
      <c r="L966" s="256" t="s">
        <v>283</v>
      </c>
      <c r="M966" s="256" t="s">
        <v>283</v>
      </c>
      <c r="N966" s="256" t="s">
        <v>283</v>
      </c>
      <c r="O966" s="257" t="s">
        <v>17</v>
      </c>
      <c r="P966" s="257" t="s">
        <v>17</v>
      </c>
      <c r="Q966" s="257" t="s">
        <v>17</v>
      </c>
      <c r="R966" s="257" t="s">
        <v>15</v>
      </c>
      <c r="S966" s="257" t="s">
        <v>16</v>
      </c>
      <c r="T966" s="257" t="s">
        <v>330</v>
      </c>
      <c r="U966" s="257" t="s">
        <v>250</v>
      </c>
      <c r="V966" s="257" t="s">
        <v>283</v>
      </c>
      <c r="W966" s="258" t="s">
        <v>283</v>
      </c>
      <c r="X966" s="258" t="s">
        <v>283</v>
      </c>
      <c r="Y966" s="259" t="s">
        <v>283</v>
      </c>
    </row>
    <row r="967" spans="1:25">
      <c r="A967" s="253">
        <v>18</v>
      </c>
      <c r="B967" s="254" t="str">
        <f>VLOOKUP(Tabel10[[#This Row],[Code]],Ruimtegroepen[[Code]:[Ruimte omschrijving]],2,FALSE)</f>
        <v>Gymzaal</v>
      </c>
      <c r="C967" s="255" t="s">
        <v>1088</v>
      </c>
      <c r="D967" s="254" t="s">
        <v>14</v>
      </c>
      <c r="E967" s="255" t="s">
        <v>102</v>
      </c>
      <c r="F967" s="255" t="s">
        <v>1092</v>
      </c>
      <c r="G967" s="260" t="s">
        <v>283</v>
      </c>
      <c r="H967" s="256" t="s">
        <v>283</v>
      </c>
      <c r="I967" s="256" t="s">
        <v>17</v>
      </c>
      <c r="J967" s="256" t="s">
        <v>15</v>
      </c>
      <c r="K967" s="256" t="s">
        <v>284</v>
      </c>
      <c r="L967" s="256" t="s">
        <v>283</v>
      </c>
      <c r="M967" s="256" t="s">
        <v>283</v>
      </c>
      <c r="N967" s="256" t="s">
        <v>283</v>
      </c>
      <c r="O967" s="257" t="s">
        <v>17</v>
      </c>
      <c r="P967" s="257" t="s">
        <v>17</v>
      </c>
      <c r="Q967" s="257" t="s">
        <v>17</v>
      </c>
      <c r="R967" s="257" t="s">
        <v>15</v>
      </c>
      <c r="S967" s="257" t="s">
        <v>16</v>
      </c>
      <c r="T967" s="257" t="s">
        <v>330</v>
      </c>
      <c r="U967" s="257" t="s">
        <v>250</v>
      </c>
      <c r="V967" s="257" t="s">
        <v>283</v>
      </c>
      <c r="W967" s="258" t="s">
        <v>283</v>
      </c>
      <c r="X967" s="258" t="s">
        <v>283</v>
      </c>
      <c r="Y967" s="259" t="s">
        <v>283</v>
      </c>
    </row>
    <row r="968" spans="1:25">
      <c r="A968" s="253">
        <v>18</v>
      </c>
      <c r="B968" s="254" t="str">
        <f>VLOOKUP(Tabel10[[#This Row],[Code]],Ruimtegroepen[[Code]:[Ruimte omschrijving]],2,FALSE)</f>
        <v>Gymzaal</v>
      </c>
      <c r="C968" s="255" t="s">
        <v>1088</v>
      </c>
      <c r="D968" s="254" t="s">
        <v>14</v>
      </c>
      <c r="E968" s="255" t="s">
        <v>99</v>
      </c>
      <c r="F968" s="255" t="s">
        <v>1090</v>
      </c>
      <c r="G968" s="260" t="s">
        <v>283</v>
      </c>
      <c r="H968" s="256" t="s">
        <v>17</v>
      </c>
      <c r="I968" s="256" t="s">
        <v>283</v>
      </c>
      <c r="J968" s="256" t="s">
        <v>283</v>
      </c>
      <c r="K968" s="256" t="s">
        <v>283</v>
      </c>
      <c r="L968" s="256" t="s">
        <v>283</v>
      </c>
      <c r="M968" s="256" t="s">
        <v>283</v>
      </c>
      <c r="N968" s="256" t="s">
        <v>283</v>
      </c>
      <c r="O968" s="257" t="s">
        <v>17</v>
      </c>
      <c r="P968" s="257" t="s">
        <v>17</v>
      </c>
      <c r="Q968" s="257" t="s">
        <v>17</v>
      </c>
      <c r="R968" s="257" t="s">
        <v>15</v>
      </c>
      <c r="S968" s="257" t="s">
        <v>16</v>
      </c>
      <c r="T968" s="257" t="s">
        <v>330</v>
      </c>
      <c r="U968" s="257" t="s">
        <v>250</v>
      </c>
      <c r="V968" s="257" t="s">
        <v>283</v>
      </c>
      <c r="W968" s="258" t="s">
        <v>283</v>
      </c>
      <c r="X968" s="258" t="s">
        <v>283</v>
      </c>
      <c r="Y968" s="259" t="s">
        <v>283</v>
      </c>
    </row>
    <row r="969" spans="1:25">
      <c r="A969" s="253">
        <v>18</v>
      </c>
      <c r="B969" s="254" t="str">
        <f>VLOOKUP(Tabel10[[#This Row],[Code]],Ruimtegroepen[[Code]:[Ruimte omschrijving]],2,FALSE)</f>
        <v>Gymzaal</v>
      </c>
      <c r="C969" s="255" t="s">
        <v>1088</v>
      </c>
      <c r="D969" s="254" t="s">
        <v>14</v>
      </c>
      <c r="E969" s="255" t="s">
        <v>1312</v>
      </c>
      <c r="F969" s="255" t="s">
        <v>1410</v>
      </c>
      <c r="G969" s="260" t="s">
        <v>283</v>
      </c>
      <c r="H969" s="256" t="s">
        <v>283</v>
      </c>
      <c r="I969" s="256" t="s">
        <v>17</v>
      </c>
      <c r="J969" s="256" t="s">
        <v>15</v>
      </c>
      <c r="K969" s="256" t="s">
        <v>284</v>
      </c>
      <c r="L969" s="256" t="s">
        <v>283</v>
      </c>
      <c r="M969" s="256" t="s">
        <v>283</v>
      </c>
      <c r="N969" s="256" t="s">
        <v>283</v>
      </c>
      <c r="O969" s="257" t="s">
        <v>17</v>
      </c>
      <c r="P969" s="257" t="s">
        <v>17</v>
      </c>
      <c r="Q969" s="257" t="s">
        <v>17</v>
      </c>
      <c r="R969" s="257" t="s">
        <v>15</v>
      </c>
      <c r="S969" s="257" t="s">
        <v>16</v>
      </c>
      <c r="T969" s="257" t="s">
        <v>330</v>
      </c>
      <c r="U969" s="257" t="s">
        <v>250</v>
      </c>
      <c r="V969" s="257" t="s">
        <v>283</v>
      </c>
      <c r="W969" s="258" t="s">
        <v>283</v>
      </c>
      <c r="X969" s="258" t="s">
        <v>283</v>
      </c>
      <c r="Y969" s="259" t="s">
        <v>283</v>
      </c>
    </row>
    <row r="970" spans="1:25">
      <c r="A970" s="253">
        <v>18</v>
      </c>
      <c r="B970" s="254" t="str">
        <f>VLOOKUP(Tabel10[[#This Row],[Code]],Ruimtegroepen[[Code]:[Ruimte omschrijving]],2,FALSE)</f>
        <v>Gymzaal</v>
      </c>
      <c r="C970" s="255" t="s">
        <v>1093</v>
      </c>
      <c r="D970" s="254" t="s">
        <v>13</v>
      </c>
      <c r="E970" s="255" t="s">
        <v>100</v>
      </c>
      <c r="F970" s="255" t="s">
        <v>1094</v>
      </c>
      <c r="G970" s="260" t="s">
        <v>283</v>
      </c>
      <c r="H970" s="256" t="s">
        <v>283</v>
      </c>
      <c r="I970" s="256" t="s">
        <v>15</v>
      </c>
      <c r="J970" s="256" t="s">
        <v>15</v>
      </c>
      <c r="K970" s="256" t="s">
        <v>283</v>
      </c>
      <c r="L970" s="256" t="s">
        <v>283</v>
      </c>
      <c r="M970" s="256" t="s">
        <v>283</v>
      </c>
      <c r="N970" s="256" t="s">
        <v>283</v>
      </c>
      <c r="O970" s="257" t="s">
        <v>15</v>
      </c>
      <c r="P970" s="257" t="s">
        <v>15</v>
      </c>
      <c r="Q970" s="257" t="s">
        <v>15</v>
      </c>
      <c r="R970" s="257" t="s">
        <v>15</v>
      </c>
      <c r="S970" s="257" t="s">
        <v>16</v>
      </c>
      <c r="T970" s="257" t="s">
        <v>330</v>
      </c>
      <c r="U970" s="257" t="s">
        <v>250</v>
      </c>
      <c r="V970" s="257" t="s">
        <v>283</v>
      </c>
      <c r="W970" s="258" t="s">
        <v>283</v>
      </c>
      <c r="X970" s="258" t="s">
        <v>283</v>
      </c>
      <c r="Y970" s="259" t="s">
        <v>283</v>
      </c>
    </row>
    <row r="971" spans="1:25">
      <c r="A971" s="253">
        <v>18</v>
      </c>
      <c r="B971" s="254" t="str">
        <f>VLOOKUP(Tabel10[[#This Row],[Code]],Ruimtegroepen[[Code]:[Ruimte omschrijving]],2,FALSE)</f>
        <v>Gymzaal</v>
      </c>
      <c r="C971" s="255" t="s">
        <v>1093</v>
      </c>
      <c r="D971" s="254" t="s">
        <v>13</v>
      </c>
      <c r="E971" s="255" t="s">
        <v>99</v>
      </c>
      <c r="F971" s="255" t="s">
        <v>1095</v>
      </c>
      <c r="G971" s="260" t="s">
        <v>283</v>
      </c>
      <c r="H971" s="256" t="s">
        <v>15</v>
      </c>
      <c r="I971" s="256" t="s">
        <v>283</v>
      </c>
      <c r="J971" s="256" t="s">
        <v>283</v>
      </c>
      <c r="K971" s="256" t="s">
        <v>283</v>
      </c>
      <c r="L971" s="256" t="s">
        <v>283</v>
      </c>
      <c r="M971" s="256" t="s">
        <v>283</v>
      </c>
      <c r="N971" s="256" t="s">
        <v>283</v>
      </c>
      <c r="O971" s="257" t="s">
        <v>15</v>
      </c>
      <c r="P971" s="257" t="s">
        <v>15</v>
      </c>
      <c r="Q971" s="257" t="s">
        <v>15</v>
      </c>
      <c r="R971" s="257" t="s">
        <v>15</v>
      </c>
      <c r="S971" s="257" t="s">
        <v>16</v>
      </c>
      <c r="T971" s="257" t="s">
        <v>330</v>
      </c>
      <c r="U971" s="257" t="s">
        <v>250</v>
      </c>
      <c r="V971" s="257" t="s">
        <v>283</v>
      </c>
      <c r="W971" s="258" t="s">
        <v>283</v>
      </c>
      <c r="X971" s="258" t="s">
        <v>283</v>
      </c>
      <c r="Y971" s="259" t="s">
        <v>283</v>
      </c>
    </row>
    <row r="972" spans="1:25">
      <c r="A972" s="253">
        <v>18</v>
      </c>
      <c r="B972" s="254" t="str">
        <f>VLOOKUP(Tabel10[[#This Row],[Code]],Ruimtegroepen[[Code]:[Ruimte omschrijving]],2,FALSE)</f>
        <v>Gymzaal</v>
      </c>
      <c r="C972" s="255" t="s">
        <v>1093</v>
      </c>
      <c r="D972" s="254" t="s">
        <v>13</v>
      </c>
      <c r="E972" s="255" t="s">
        <v>101</v>
      </c>
      <c r="F972" s="255" t="s">
        <v>1096</v>
      </c>
      <c r="G972" s="260" t="s">
        <v>283</v>
      </c>
      <c r="H972" s="256" t="s">
        <v>283</v>
      </c>
      <c r="I972" s="256" t="s">
        <v>283</v>
      </c>
      <c r="J972" s="256" t="s">
        <v>15</v>
      </c>
      <c r="K972" s="256" t="s">
        <v>284</v>
      </c>
      <c r="L972" s="256" t="s">
        <v>283</v>
      </c>
      <c r="M972" s="256" t="s">
        <v>283</v>
      </c>
      <c r="N972" s="256" t="s">
        <v>283</v>
      </c>
      <c r="O972" s="257" t="s">
        <v>15</v>
      </c>
      <c r="P972" s="257" t="s">
        <v>15</v>
      </c>
      <c r="Q972" s="257" t="s">
        <v>15</v>
      </c>
      <c r="R972" s="257" t="s">
        <v>15</v>
      </c>
      <c r="S972" s="257" t="s">
        <v>16</v>
      </c>
      <c r="T972" s="257" t="s">
        <v>330</v>
      </c>
      <c r="U972" s="257" t="s">
        <v>250</v>
      </c>
      <c r="V972" s="257" t="s">
        <v>283</v>
      </c>
      <c r="W972" s="258" t="s">
        <v>283</v>
      </c>
      <c r="X972" s="258" t="s">
        <v>283</v>
      </c>
      <c r="Y972" s="259" t="s">
        <v>283</v>
      </c>
    </row>
    <row r="973" spans="1:25">
      <c r="A973" s="253">
        <v>18</v>
      </c>
      <c r="B973" s="254" t="str">
        <f>VLOOKUP(Tabel10[[#This Row],[Code]],Ruimtegroepen[[Code]:[Ruimte omschrijving]],2,FALSE)</f>
        <v>Gymzaal</v>
      </c>
      <c r="C973" s="255" t="s">
        <v>1093</v>
      </c>
      <c r="D973" s="254" t="s">
        <v>13</v>
      </c>
      <c r="E973" s="255" t="s">
        <v>102</v>
      </c>
      <c r="F973" s="255" t="s">
        <v>1097</v>
      </c>
      <c r="G973" s="260" t="s">
        <v>283</v>
      </c>
      <c r="H973" s="256" t="s">
        <v>283</v>
      </c>
      <c r="I973" s="256" t="s">
        <v>15</v>
      </c>
      <c r="J973" s="256" t="s">
        <v>15</v>
      </c>
      <c r="K973" s="256" t="s">
        <v>284</v>
      </c>
      <c r="L973" s="256" t="s">
        <v>283</v>
      </c>
      <c r="M973" s="256" t="s">
        <v>283</v>
      </c>
      <c r="N973" s="256" t="s">
        <v>283</v>
      </c>
      <c r="O973" s="257" t="s">
        <v>15</v>
      </c>
      <c r="P973" s="257" t="s">
        <v>15</v>
      </c>
      <c r="Q973" s="257" t="s">
        <v>15</v>
      </c>
      <c r="R973" s="257" t="s">
        <v>15</v>
      </c>
      <c r="S973" s="257" t="s">
        <v>16</v>
      </c>
      <c r="T973" s="257" t="s">
        <v>330</v>
      </c>
      <c r="U973" s="257" t="s">
        <v>250</v>
      </c>
      <c r="V973" s="257" t="s">
        <v>283</v>
      </c>
      <c r="W973" s="258" t="s">
        <v>283</v>
      </c>
      <c r="X973" s="258" t="s">
        <v>283</v>
      </c>
      <c r="Y973" s="259" t="s">
        <v>283</v>
      </c>
    </row>
    <row r="974" spans="1:25">
      <c r="A974" s="253">
        <v>18</v>
      </c>
      <c r="B974" s="254" t="str">
        <f>VLOOKUP(Tabel10[[#This Row],[Code]],Ruimtegroepen[[Code]:[Ruimte omschrijving]],2,FALSE)</f>
        <v>Gymzaal</v>
      </c>
      <c r="C974" s="255" t="s">
        <v>1093</v>
      </c>
      <c r="D974" s="254" t="s">
        <v>13</v>
      </c>
      <c r="E974" s="255" t="s">
        <v>99</v>
      </c>
      <c r="F974" s="255" t="s">
        <v>1095</v>
      </c>
      <c r="G974" s="260" t="s">
        <v>283</v>
      </c>
      <c r="H974" s="256" t="s">
        <v>15</v>
      </c>
      <c r="I974" s="256" t="s">
        <v>283</v>
      </c>
      <c r="J974" s="256" t="s">
        <v>283</v>
      </c>
      <c r="K974" s="256" t="s">
        <v>283</v>
      </c>
      <c r="L974" s="256" t="s">
        <v>283</v>
      </c>
      <c r="M974" s="256" t="s">
        <v>283</v>
      </c>
      <c r="N974" s="256" t="s">
        <v>283</v>
      </c>
      <c r="O974" s="257" t="s">
        <v>15</v>
      </c>
      <c r="P974" s="257" t="s">
        <v>15</v>
      </c>
      <c r="Q974" s="257" t="s">
        <v>15</v>
      </c>
      <c r="R974" s="257" t="s">
        <v>15</v>
      </c>
      <c r="S974" s="257" t="s">
        <v>16</v>
      </c>
      <c r="T974" s="257" t="s">
        <v>330</v>
      </c>
      <c r="U974" s="257" t="s">
        <v>250</v>
      </c>
      <c r="V974" s="257" t="s">
        <v>283</v>
      </c>
      <c r="W974" s="258" t="s">
        <v>283</v>
      </c>
      <c r="X974" s="258" t="s">
        <v>283</v>
      </c>
      <c r="Y974" s="259" t="s">
        <v>283</v>
      </c>
    </row>
    <row r="975" spans="1:25">
      <c r="A975" s="253">
        <v>18</v>
      </c>
      <c r="B975" s="254" t="str">
        <f>VLOOKUP(Tabel10[[#This Row],[Code]],Ruimtegroepen[[Code]:[Ruimte omschrijving]],2,FALSE)</f>
        <v>Gymzaal</v>
      </c>
      <c r="C975" s="255" t="s">
        <v>1093</v>
      </c>
      <c r="D975" s="254" t="s">
        <v>13</v>
      </c>
      <c r="E975" s="255" t="s">
        <v>1312</v>
      </c>
      <c r="F975" s="255" t="s">
        <v>1377</v>
      </c>
      <c r="G975" s="260" t="s">
        <v>283</v>
      </c>
      <c r="H975" s="256" t="s">
        <v>283</v>
      </c>
      <c r="I975" s="256" t="s">
        <v>15</v>
      </c>
      <c r="J975" s="256" t="s">
        <v>15</v>
      </c>
      <c r="K975" s="256" t="s">
        <v>284</v>
      </c>
      <c r="L975" s="256" t="s">
        <v>283</v>
      </c>
      <c r="M975" s="256" t="s">
        <v>283</v>
      </c>
      <c r="N975" s="256" t="s">
        <v>283</v>
      </c>
      <c r="O975" s="257" t="s">
        <v>15</v>
      </c>
      <c r="P975" s="257" t="s">
        <v>15</v>
      </c>
      <c r="Q975" s="257" t="s">
        <v>15</v>
      </c>
      <c r="R975" s="257" t="s">
        <v>15</v>
      </c>
      <c r="S975" s="257" t="s">
        <v>16</v>
      </c>
      <c r="T975" s="257" t="s">
        <v>330</v>
      </c>
      <c r="U975" s="257" t="s">
        <v>250</v>
      </c>
      <c r="V975" s="257" t="s">
        <v>283</v>
      </c>
      <c r="W975" s="258" t="s">
        <v>283</v>
      </c>
      <c r="X975" s="258" t="s">
        <v>283</v>
      </c>
      <c r="Y975" s="259" t="s">
        <v>283</v>
      </c>
    </row>
    <row r="976" spans="1:25">
      <c r="A976" s="253">
        <v>18</v>
      </c>
      <c r="B976" s="254" t="str">
        <f>VLOOKUP(Tabel10[[#This Row],[Code]],Ruimtegroepen[[Code]:[Ruimte omschrijving]],2,FALSE)</f>
        <v>Gymzaal</v>
      </c>
      <c r="C976" s="255" t="s">
        <v>1098</v>
      </c>
      <c r="D976" s="254" t="s">
        <v>0</v>
      </c>
      <c r="E976" s="255" t="s">
        <v>100</v>
      </c>
      <c r="F976" s="255" t="s">
        <v>1099</v>
      </c>
      <c r="G976" s="260" t="s">
        <v>283</v>
      </c>
      <c r="H976" s="256" t="s">
        <v>283</v>
      </c>
      <c r="I976" s="256" t="s">
        <v>16</v>
      </c>
      <c r="J976" s="256" t="s">
        <v>283</v>
      </c>
      <c r="K976" s="256" t="s">
        <v>283</v>
      </c>
      <c r="L976" s="256" t="s">
        <v>283</v>
      </c>
      <c r="M976" s="256" t="s">
        <v>283</v>
      </c>
      <c r="N976" s="256" t="s">
        <v>283</v>
      </c>
      <c r="O976" s="257" t="s">
        <v>16</v>
      </c>
      <c r="P976" s="257" t="s">
        <v>16</v>
      </c>
      <c r="Q976" s="257" t="s">
        <v>16</v>
      </c>
      <c r="R976" s="257" t="s">
        <v>16</v>
      </c>
      <c r="S976" s="257" t="s">
        <v>16</v>
      </c>
      <c r="T976" s="257" t="s">
        <v>330</v>
      </c>
      <c r="U976" s="257" t="s">
        <v>250</v>
      </c>
      <c r="V976" s="257" t="s">
        <v>283</v>
      </c>
      <c r="W976" s="258" t="s">
        <v>283</v>
      </c>
      <c r="X976" s="258" t="s">
        <v>283</v>
      </c>
      <c r="Y976" s="259" t="s">
        <v>283</v>
      </c>
    </row>
    <row r="977" spans="1:25">
      <c r="A977" s="253">
        <v>18</v>
      </c>
      <c r="B977" s="254" t="str">
        <f>VLOOKUP(Tabel10[[#This Row],[Code]],Ruimtegroepen[[Code]:[Ruimte omschrijving]],2,FALSE)</f>
        <v>Gymzaal</v>
      </c>
      <c r="C977" s="255" t="s">
        <v>1098</v>
      </c>
      <c r="D977" s="254" t="s">
        <v>0</v>
      </c>
      <c r="E977" s="255" t="s">
        <v>99</v>
      </c>
      <c r="F977" s="255" t="s">
        <v>1100</v>
      </c>
      <c r="G977" s="260" t="s">
        <v>283</v>
      </c>
      <c r="H977" s="256" t="s">
        <v>16</v>
      </c>
      <c r="I977" s="256" t="s">
        <v>283</v>
      </c>
      <c r="J977" s="256" t="s">
        <v>283</v>
      </c>
      <c r="K977" s="256" t="s">
        <v>283</v>
      </c>
      <c r="L977" s="256" t="s">
        <v>283</v>
      </c>
      <c r="M977" s="256" t="s">
        <v>283</v>
      </c>
      <c r="N977" s="256" t="s">
        <v>283</v>
      </c>
      <c r="O977" s="257" t="s">
        <v>16</v>
      </c>
      <c r="P977" s="257" t="s">
        <v>16</v>
      </c>
      <c r="Q977" s="257" t="s">
        <v>16</v>
      </c>
      <c r="R977" s="257" t="s">
        <v>16</v>
      </c>
      <c r="S977" s="257" t="s">
        <v>16</v>
      </c>
      <c r="T977" s="257" t="s">
        <v>330</v>
      </c>
      <c r="U977" s="257" t="s">
        <v>250</v>
      </c>
      <c r="V977" s="257" t="s">
        <v>283</v>
      </c>
      <c r="W977" s="258" t="s">
        <v>283</v>
      </c>
      <c r="X977" s="258" t="s">
        <v>283</v>
      </c>
      <c r="Y977" s="259" t="s">
        <v>283</v>
      </c>
    </row>
    <row r="978" spans="1:25">
      <c r="A978" s="253">
        <v>18</v>
      </c>
      <c r="B978" s="254" t="str">
        <f>VLOOKUP(Tabel10[[#This Row],[Code]],Ruimtegroepen[[Code]:[Ruimte omschrijving]],2,FALSE)</f>
        <v>Gymzaal</v>
      </c>
      <c r="C978" s="255" t="s">
        <v>1098</v>
      </c>
      <c r="D978" s="254" t="s">
        <v>0</v>
      </c>
      <c r="E978" s="255" t="s">
        <v>101</v>
      </c>
      <c r="F978" s="255" t="s">
        <v>1101</v>
      </c>
      <c r="G978" s="260" t="s">
        <v>283</v>
      </c>
      <c r="H978" s="256" t="s">
        <v>283</v>
      </c>
      <c r="I978" s="256" t="s">
        <v>16</v>
      </c>
      <c r="J978" s="256" t="s">
        <v>283</v>
      </c>
      <c r="K978" s="256" t="s">
        <v>284</v>
      </c>
      <c r="L978" s="256" t="s">
        <v>283</v>
      </c>
      <c r="M978" s="256" t="s">
        <v>283</v>
      </c>
      <c r="N978" s="256" t="s">
        <v>283</v>
      </c>
      <c r="O978" s="257" t="s">
        <v>16</v>
      </c>
      <c r="P978" s="257" t="s">
        <v>16</v>
      </c>
      <c r="Q978" s="257" t="s">
        <v>16</v>
      </c>
      <c r="R978" s="257" t="s">
        <v>16</v>
      </c>
      <c r="S978" s="257" t="s">
        <v>16</v>
      </c>
      <c r="T978" s="257" t="s">
        <v>330</v>
      </c>
      <c r="U978" s="257" t="s">
        <v>250</v>
      </c>
      <c r="V978" s="257" t="s">
        <v>283</v>
      </c>
      <c r="W978" s="258" t="s">
        <v>283</v>
      </c>
      <c r="X978" s="258" t="s">
        <v>283</v>
      </c>
      <c r="Y978" s="259" t="s">
        <v>283</v>
      </c>
    </row>
    <row r="979" spans="1:25">
      <c r="A979" s="253">
        <v>18</v>
      </c>
      <c r="B979" s="254" t="str">
        <f>VLOOKUP(Tabel10[[#This Row],[Code]],Ruimtegroepen[[Code]:[Ruimte omschrijving]],2,FALSE)</f>
        <v>Gymzaal</v>
      </c>
      <c r="C979" s="255" t="s">
        <v>1098</v>
      </c>
      <c r="D979" s="254" t="s">
        <v>0</v>
      </c>
      <c r="E979" s="255" t="s">
        <v>102</v>
      </c>
      <c r="F979" s="255" t="s">
        <v>1102</v>
      </c>
      <c r="G979" s="260" t="s">
        <v>283</v>
      </c>
      <c r="H979" s="256" t="s">
        <v>283</v>
      </c>
      <c r="I979" s="256" t="s">
        <v>16</v>
      </c>
      <c r="J979" s="256" t="s">
        <v>283</v>
      </c>
      <c r="K979" s="256" t="s">
        <v>284</v>
      </c>
      <c r="L979" s="256" t="s">
        <v>283</v>
      </c>
      <c r="M979" s="256" t="s">
        <v>283</v>
      </c>
      <c r="N979" s="256" t="s">
        <v>283</v>
      </c>
      <c r="O979" s="257" t="s">
        <v>16</v>
      </c>
      <c r="P979" s="257" t="s">
        <v>16</v>
      </c>
      <c r="Q979" s="257" t="s">
        <v>16</v>
      </c>
      <c r="R979" s="257" t="s">
        <v>16</v>
      </c>
      <c r="S979" s="257" t="s">
        <v>16</v>
      </c>
      <c r="T979" s="257" t="s">
        <v>330</v>
      </c>
      <c r="U979" s="257" t="s">
        <v>250</v>
      </c>
      <c r="V979" s="257" t="s">
        <v>283</v>
      </c>
      <c r="W979" s="258" t="s">
        <v>283</v>
      </c>
      <c r="X979" s="258" t="s">
        <v>283</v>
      </c>
      <c r="Y979" s="259" t="s">
        <v>283</v>
      </c>
    </row>
    <row r="980" spans="1:25">
      <c r="A980" s="253">
        <v>18</v>
      </c>
      <c r="B980" s="254" t="str">
        <f>VLOOKUP(Tabel10[[#This Row],[Code]],Ruimtegroepen[[Code]:[Ruimte omschrijving]],2,FALSE)</f>
        <v>Gymzaal</v>
      </c>
      <c r="C980" s="255" t="s">
        <v>1098</v>
      </c>
      <c r="D980" s="254" t="s">
        <v>0</v>
      </c>
      <c r="E980" s="255" t="s">
        <v>99</v>
      </c>
      <c r="F980" s="255" t="s">
        <v>1100</v>
      </c>
      <c r="G980" s="260" t="s">
        <v>283</v>
      </c>
      <c r="H980" s="256" t="s">
        <v>16</v>
      </c>
      <c r="I980" s="256" t="s">
        <v>283</v>
      </c>
      <c r="J980" s="256" t="s">
        <v>283</v>
      </c>
      <c r="K980" s="256" t="s">
        <v>283</v>
      </c>
      <c r="L980" s="256" t="s">
        <v>283</v>
      </c>
      <c r="M980" s="256" t="s">
        <v>283</v>
      </c>
      <c r="N980" s="256" t="s">
        <v>283</v>
      </c>
      <c r="O980" s="257" t="s">
        <v>16</v>
      </c>
      <c r="P980" s="257" t="s">
        <v>16</v>
      </c>
      <c r="Q980" s="257" t="s">
        <v>16</v>
      </c>
      <c r="R980" s="257" t="s">
        <v>16</v>
      </c>
      <c r="S980" s="257" t="s">
        <v>16</v>
      </c>
      <c r="T980" s="257" t="s">
        <v>330</v>
      </c>
      <c r="U980" s="257" t="s">
        <v>250</v>
      </c>
      <c r="V980" s="257" t="s">
        <v>283</v>
      </c>
      <c r="W980" s="258" t="s">
        <v>283</v>
      </c>
      <c r="X980" s="258" t="s">
        <v>283</v>
      </c>
      <c r="Y980" s="259" t="s">
        <v>283</v>
      </c>
    </row>
    <row r="981" spans="1:25">
      <c r="A981" s="253">
        <v>18</v>
      </c>
      <c r="B981" s="254" t="str">
        <f>VLOOKUP(Tabel10[[#This Row],[Code]],Ruimtegroepen[[Code]:[Ruimte omschrijving]],2,FALSE)</f>
        <v>Gymzaal</v>
      </c>
      <c r="C981" s="255" t="s">
        <v>1098</v>
      </c>
      <c r="D981" s="254" t="s">
        <v>0</v>
      </c>
      <c r="E981" s="255" t="s">
        <v>1312</v>
      </c>
      <c r="F981" s="255" t="s">
        <v>1361</v>
      </c>
      <c r="G981" s="260" t="s">
        <v>283</v>
      </c>
      <c r="H981" s="256" t="s">
        <v>283</v>
      </c>
      <c r="I981" s="256" t="s">
        <v>16</v>
      </c>
      <c r="J981" s="256" t="s">
        <v>283</v>
      </c>
      <c r="K981" s="256" t="s">
        <v>284</v>
      </c>
      <c r="L981" s="256" t="s">
        <v>283</v>
      </c>
      <c r="M981" s="256" t="s">
        <v>283</v>
      </c>
      <c r="N981" s="256" t="s">
        <v>283</v>
      </c>
      <c r="O981" s="257" t="s">
        <v>16</v>
      </c>
      <c r="P981" s="257" t="s">
        <v>16</v>
      </c>
      <c r="Q981" s="257" t="s">
        <v>16</v>
      </c>
      <c r="R981" s="257" t="s">
        <v>16</v>
      </c>
      <c r="S981" s="257" t="s">
        <v>16</v>
      </c>
      <c r="T981" s="257" t="s">
        <v>330</v>
      </c>
      <c r="U981" s="257" t="s">
        <v>250</v>
      </c>
      <c r="V981" s="257" t="s">
        <v>283</v>
      </c>
      <c r="W981" s="258" t="s">
        <v>283</v>
      </c>
      <c r="X981" s="258" t="s">
        <v>283</v>
      </c>
      <c r="Y981" s="259" t="s">
        <v>283</v>
      </c>
    </row>
    <row r="982" spans="1:25">
      <c r="A982" s="253">
        <v>18</v>
      </c>
      <c r="B982" s="254" t="str">
        <f>VLOOKUP(Tabel10[[#This Row],[Code]],Ruimtegroepen[[Code]:[Ruimte omschrijving]],2,FALSE)</f>
        <v>Gymzaal</v>
      </c>
      <c r="C982" s="255" t="s">
        <v>1103</v>
      </c>
      <c r="D982" s="254" t="s">
        <v>27</v>
      </c>
      <c r="E982" s="255" t="s">
        <v>100</v>
      </c>
      <c r="F982" s="255" t="s">
        <v>1104</v>
      </c>
      <c r="G982" s="260" t="s">
        <v>283</v>
      </c>
      <c r="H982" s="256" t="s">
        <v>283</v>
      </c>
      <c r="I982" s="256" t="s">
        <v>15</v>
      </c>
      <c r="J982" s="256" t="s">
        <v>283</v>
      </c>
      <c r="K982" s="256" t="s">
        <v>283</v>
      </c>
      <c r="L982" s="256" t="s">
        <v>283</v>
      </c>
      <c r="M982" s="256" t="s">
        <v>283</v>
      </c>
      <c r="N982" s="256" t="s">
        <v>283</v>
      </c>
      <c r="O982" s="257" t="s">
        <v>15</v>
      </c>
      <c r="P982" s="257" t="s">
        <v>15</v>
      </c>
      <c r="Q982" s="257" t="s">
        <v>15</v>
      </c>
      <c r="R982" s="257" t="s">
        <v>15</v>
      </c>
      <c r="S982" s="257" t="s">
        <v>283</v>
      </c>
      <c r="T982" s="257" t="s">
        <v>283</v>
      </c>
      <c r="U982" s="257" t="s">
        <v>283</v>
      </c>
      <c r="V982" s="257" t="s">
        <v>283</v>
      </c>
      <c r="W982" s="258" t="s">
        <v>283</v>
      </c>
      <c r="X982" s="258" t="s">
        <v>283</v>
      </c>
      <c r="Y982" s="259" t="s">
        <v>283</v>
      </c>
    </row>
    <row r="983" spans="1:25">
      <c r="A983" s="253">
        <v>18</v>
      </c>
      <c r="B983" s="254" t="str">
        <f>VLOOKUP(Tabel10[[#This Row],[Code]],Ruimtegroepen[[Code]:[Ruimte omschrijving]],2,FALSE)</f>
        <v>Gymzaal</v>
      </c>
      <c r="C983" s="255" t="s">
        <v>1103</v>
      </c>
      <c r="D983" s="254" t="s">
        <v>27</v>
      </c>
      <c r="E983" s="255" t="s">
        <v>99</v>
      </c>
      <c r="F983" s="255" t="s">
        <v>1105</v>
      </c>
      <c r="G983" s="260" t="s">
        <v>283</v>
      </c>
      <c r="H983" s="256" t="s">
        <v>15</v>
      </c>
      <c r="I983" s="256" t="s">
        <v>283</v>
      </c>
      <c r="J983" s="256" t="s">
        <v>283</v>
      </c>
      <c r="K983" s="256" t="s">
        <v>283</v>
      </c>
      <c r="L983" s="256" t="s">
        <v>283</v>
      </c>
      <c r="M983" s="256" t="s">
        <v>283</v>
      </c>
      <c r="N983" s="256" t="s">
        <v>283</v>
      </c>
      <c r="O983" s="257" t="s">
        <v>15</v>
      </c>
      <c r="P983" s="257" t="s">
        <v>15</v>
      </c>
      <c r="Q983" s="257" t="s">
        <v>15</v>
      </c>
      <c r="R983" s="257" t="s">
        <v>15</v>
      </c>
      <c r="S983" s="257" t="s">
        <v>283</v>
      </c>
      <c r="T983" s="257" t="s">
        <v>283</v>
      </c>
      <c r="U983" s="257" t="s">
        <v>283</v>
      </c>
      <c r="V983" s="257" t="s">
        <v>283</v>
      </c>
      <c r="W983" s="258" t="s">
        <v>283</v>
      </c>
      <c r="X983" s="258" t="s">
        <v>283</v>
      </c>
      <c r="Y983" s="259" t="s">
        <v>283</v>
      </c>
    </row>
    <row r="984" spans="1:25">
      <c r="A984" s="253">
        <v>18</v>
      </c>
      <c r="B984" s="254" t="str">
        <f>VLOOKUP(Tabel10[[#This Row],[Code]],Ruimtegroepen[[Code]:[Ruimte omschrijving]],2,FALSE)</f>
        <v>Gymzaal</v>
      </c>
      <c r="C984" s="255" t="s">
        <v>1103</v>
      </c>
      <c r="D984" s="254" t="s">
        <v>27</v>
      </c>
      <c r="E984" s="255" t="s">
        <v>101</v>
      </c>
      <c r="F984" s="255" t="s">
        <v>1106</v>
      </c>
      <c r="G984" s="260" t="s">
        <v>283</v>
      </c>
      <c r="H984" s="256" t="s">
        <v>283</v>
      </c>
      <c r="I984" s="256" t="s">
        <v>15</v>
      </c>
      <c r="J984" s="256" t="s">
        <v>283</v>
      </c>
      <c r="K984" s="256" t="s">
        <v>283</v>
      </c>
      <c r="L984" s="256" t="s">
        <v>283</v>
      </c>
      <c r="M984" s="256" t="s">
        <v>283</v>
      </c>
      <c r="N984" s="256" t="s">
        <v>283</v>
      </c>
      <c r="O984" s="257" t="s">
        <v>15</v>
      </c>
      <c r="P984" s="257" t="s">
        <v>15</v>
      </c>
      <c r="Q984" s="257" t="s">
        <v>15</v>
      </c>
      <c r="R984" s="257" t="s">
        <v>15</v>
      </c>
      <c r="S984" s="257" t="s">
        <v>283</v>
      </c>
      <c r="T984" s="257" t="s">
        <v>283</v>
      </c>
      <c r="U984" s="257" t="s">
        <v>283</v>
      </c>
      <c r="V984" s="257" t="s">
        <v>283</v>
      </c>
      <c r="W984" s="258" t="s">
        <v>283</v>
      </c>
      <c r="X984" s="258" t="s">
        <v>283</v>
      </c>
      <c r="Y984" s="259" t="s">
        <v>283</v>
      </c>
    </row>
    <row r="985" spans="1:25">
      <c r="A985" s="253">
        <v>18</v>
      </c>
      <c r="B985" s="254" t="str">
        <f>VLOOKUP(Tabel10[[#This Row],[Code]],Ruimtegroepen[[Code]:[Ruimte omschrijving]],2,FALSE)</f>
        <v>Gymzaal</v>
      </c>
      <c r="C985" s="255" t="s">
        <v>1103</v>
      </c>
      <c r="D985" s="254" t="s">
        <v>27</v>
      </c>
      <c r="E985" s="255" t="s">
        <v>102</v>
      </c>
      <c r="F985" s="255" t="s">
        <v>1107</v>
      </c>
      <c r="G985" s="260" t="s">
        <v>283</v>
      </c>
      <c r="H985" s="256" t="s">
        <v>283</v>
      </c>
      <c r="I985" s="256" t="s">
        <v>15</v>
      </c>
      <c r="J985" s="256" t="s">
        <v>283</v>
      </c>
      <c r="K985" s="256" t="s">
        <v>283</v>
      </c>
      <c r="L985" s="256" t="s">
        <v>283</v>
      </c>
      <c r="M985" s="256" t="s">
        <v>283</v>
      </c>
      <c r="N985" s="256" t="s">
        <v>283</v>
      </c>
      <c r="O985" s="257" t="s">
        <v>15</v>
      </c>
      <c r="P985" s="257" t="s">
        <v>15</v>
      </c>
      <c r="Q985" s="257" t="s">
        <v>15</v>
      </c>
      <c r="R985" s="257" t="s">
        <v>15</v>
      </c>
      <c r="S985" s="257" t="s">
        <v>283</v>
      </c>
      <c r="T985" s="257" t="s">
        <v>283</v>
      </c>
      <c r="U985" s="257" t="s">
        <v>283</v>
      </c>
      <c r="V985" s="257" t="s">
        <v>283</v>
      </c>
      <c r="W985" s="258" t="s">
        <v>283</v>
      </c>
      <c r="X985" s="258" t="s">
        <v>283</v>
      </c>
      <c r="Y985" s="259" t="s">
        <v>283</v>
      </c>
    </row>
    <row r="986" spans="1:25">
      <c r="A986" s="253">
        <v>18</v>
      </c>
      <c r="B986" s="254" t="str">
        <f>VLOOKUP(Tabel10[[#This Row],[Code]],Ruimtegroepen[[Code]:[Ruimte omschrijving]],2,FALSE)</f>
        <v>Gymzaal</v>
      </c>
      <c r="C986" s="255" t="s">
        <v>1103</v>
      </c>
      <c r="D986" s="254" t="s">
        <v>27</v>
      </c>
      <c r="E986" s="255" t="s">
        <v>99</v>
      </c>
      <c r="F986" s="255" t="s">
        <v>1105</v>
      </c>
      <c r="G986" s="260" t="s">
        <v>283</v>
      </c>
      <c r="H986" s="256" t="s">
        <v>15</v>
      </c>
      <c r="I986" s="256" t="s">
        <v>283</v>
      </c>
      <c r="J986" s="256" t="s">
        <v>283</v>
      </c>
      <c r="K986" s="256" t="s">
        <v>283</v>
      </c>
      <c r="L986" s="256" t="s">
        <v>283</v>
      </c>
      <c r="M986" s="256" t="s">
        <v>283</v>
      </c>
      <c r="N986" s="256" t="s">
        <v>283</v>
      </c>
      <c r="O986" s="257" t="s">
        <v>15</v>
      </c>
      <c r="P986" s="257" t="s">
        <v>15</v>
      </c>
      <c r="Q986" s="257" t="s">
        <v>15</v>
      </c>
      <c r="R986" s="257" t="s">
        <v>15</v>
      </c>
      <c r="S986" s="257" t="s">
        <v>283</v>
      </c>
      <c r="T986" s="257" t="s">
        <v>283</v>
      </c>
      <c r="U986" s="257" t="s">
        <v>283</v>
      </c>
      <c r="V986" s="257" t="s">
        <v>283</v>
      </c>
      <c r="W986" s="258" t="s">
        <v>283</v>
      </c>
      <c r="X986" s="258" t="s">
        <v>283</v>
      </c>
      <c r="Y986" s="259" t="s">
        <v>283</v>
      </c>
    </row>
    <row r="987" spans="1:25">
      <c r="A987" s="253">
        <v>18</v>
      </c>
      <c r="B987" s="254" t="str">
        <f>VLOOKUP(Tabel10[[#This Row],[Code]],Ruimtegroepen[[Code]:[Ruimte omschrijving]],2,FALSE)</f>
        <v>Gymzaal</v>
      </c>
      <c r="C987" s="255" t="s">
        <v>1103</v>
      </c>
      <c r="D987" s="254" t="s">
        <v>27</v>
      </c>
      <c r="E987" s="255" t="s">
        <v>1312</v>
      </c>
      <c r="F987" s="255" t="s">
        <v>1394</v>
      </c>
      <c r="G987" s="260" t="s">
        <v>283</v>
      </c>
      <c r="H987" s="256" t="s">
        <v>283</v>
      </c>
      <c r="I987" s="256" t="s">
        <v>15</v>
      </c>
      <c r="J987" s="256" t="s">
        <v>283</v>
      </c>
      <c r="K987" s="256" t="s">
        <v>283</v>
      </c>
      <c r="L987" s="256" t="s">
        <v>283</v>
      </c>
      <c r="M987" s="256" t="s">
        <v>283</v>
      </c>
      <c r="N987" s="256" t="s">
        <v>283</v>
      </c>
      <c r="O987" s="257" t="s">
        <v>15</v>
      </c>
      <c r="P987" s="257" t="s">
        <v>15</v>
      </c>
      <c r="Q987" s="257" t="s">
        <v>15</v>
      </c>
      <c r="R987" s="257" t="s">
        <v>15</v>
      </c>
      <c r="S987" s="257" t="s">
        <v>283</v>
      </c>
      <c r="T987" s="257" t="s">
        <v>283</v>
      </c>
      <c r="U987" s="257" t="s">
        <v>283</v>
      </c>
      <c r="V987" s="257" t="s">
        <v>283</v>
      </c>
      <c r="W987" s="258" t="s">
        <v>283</v>
      </c>
      <c r="X987" s="258" t="s">
        <v>283</v>
      </c>
      <c r="Y987" s="259" t="s">
        <v>283</v>
      </c>
    </row>
    <row r="988" spans="1:25">
      <c r="A988" s="253">
        <v>18</v>
      </c>
      <c r="B988" s="254" t="str">
        <f>VLOOKUP(Tabel10[[#This Row],[Code]],Ruimtegroepen[[Code]:[Ruimte omschrijving]],2,FALSE)</f>
        <v>Gymzaal</v>
      </c>
      <c r="C988" s="255" t="s">
        <v>1108</v>
      </c>
      <c r="D988" s="254" t="s">
        <v>28</v>
      </c>
      <c r="E988" s="255" t="s">
        <v>100</v>
      </c>
      <c r="F988" s="255" t="s">
        <v>1109</v>
      </c>
      <c r="G988" s="260" t="s">
        <v>283</v>
      </c>
      <c r="H988" s="256" t="s">
        <v>283</v>
      </c>
      <c r="I988" s="256" t="s">
        <v>17</v>
      </c>
      <c r="J988" s="256" t="s">
        <v>283</v>
      </c>
      <c r="K988" s="256" t="s">
        <v>283</v>
      </c>
      <c r="L988" s="256" t="s">
        <v>283</v>
      </c>
      <c r="M988" s="256" t="s">
        <v>283</v>
      </c>
      <c r="N988" s="256" t="s">
        <v>283</v>
      </c>
      <c r="O988" s="257" t="s">
        <v>17</v>
      </c>
      <c r="P988" s="257" t="s">
        <v>17</v>
      </c>
      <c r="Q988" s="257" t="s">
        <v>17</v>
      </c>
      <c r="R988" s="257" t="s">
        <v>17</v>
      </c>
      <c r="S988" s="257" t="s">
        <v>283</v>
      </c>
      <c r="T988" s="257" t="s">
        <v>283</v>
      </c>
      <c r="U988" s="257" t="s">
        <v>283</v>
      </c>
      <c r="V988" s="257" t="s">
        <v>283</v>
      </c>
      <c r="W988" s="258" t="s">
        <v>283</v>
      </c>
      <c r="X988" s="258" t="s">
        <v>283</v>
      </c>
      <c r="Y988" s="259" t="s">
        <v>283</v>
      </c>
    </row>
    <row r="989" spans="1:25">
      <c r="A989" s="253">
        <v>18</v>
      </c>
      <c r="B989" s="254" t="str">
        <f>VLOOKUP(Tabel10[[#This Row],[Code]],Ruimtegroepen[[Code]:[Ruimte omschrijving]],2,FALSE)</f>
        <v>Gymzaal</v>
      </c>
      <c r="C989" s="255" t="s">
        <v>1108</v>
      </c>
      <c r="D989" s="254" t="s">
        <v>28</v>
      </c>
      <c r="E989" s="255" t="s">
        <v>99</v>
      </c>
      <c r="F989" s="255" t="s">
        <v>1110</v>
      </c>
      <c r="G989" s="260" t="s">
        <v>283</v>
      </c>
      <c r="H989" s="256" t="s">
        <v>17</v>
      </c>
      <c r="I989" s="256" t="s">
        <v>283</v>
      </c>
      <c r="J989" s="256" t="s">
        <v>283</v>
      </c>
      <c r="K989" s="256" t="s">
        <v>283</v>
      </c>
      <c r="L989" s="256" t="s">
        <v>283</v>
      </c>
      <c r="M989" s="256" t="s">
        <v>283</v>
      </c>
      <c r="N989" s="256" t="s">
        <v>283</v>
      </c>
      <c r="O989" s="257" t="s">
        <v>17</v>
      </c>
      <c r="P989" s="257" t="s">
        <v>17</v>
      </c>
      <c r="Q989" s="257" t="s">
        <v>17</v>
      </c>
      <c r="R989" s="257" t="s">
        <v>17</v>
      </c>
      <c r="S989" s="257" t="s">
        <v>283</v>
      </c>
      <c r="T989" s="257" t="s">
        <v>283</v>
      </c>
      <c r="U989" s="257" t="s">
        <v>283</v>
      </c>
      <c r="V989" s="257" t="s">
        <v>283</v>
      </c>
      <c r="W989" s="258" t="s">
        <v>283</v>
      </c>
      <c r="X989" s="258" t="s">
        <v>283</v>
      </c>
      <c r="Y989" s="259" t="s">
        <v>283</v>
      </c>
    </row>
    <row r="990" spans="1:25">
      <c r="A990" s="253">
        <v>18</v>
      </c>
      <c r="B990" s="254" t="str">
        <f>VLOOKUP(Tabel10[[#This Row],[Code]],Ruimtegroepen[[Code]:[Ruimte omschrijving]],2,FALSE)</f>
        <v>Gymzaal</v>
      </c>
      <c r="C990" s="255" t="s">
        <v>1108</v>
      </c>
      <c r="D990" s="254" t="s">
        <v>28</v>
      </c>
      <c r="E990" s="255" t="s">
        <v>101</v>
      </c>
      <c r="F990" s="255" t="s">
        <v>1111</v>
      </c>
      <c r="G990" s="260" t="s">
        <v>283</v>
      </c>
      <c r="H990" s="256" t="s">
        <v>283</v>
      </c>
      <c r="I990" s="256" t="s">
        <v>17</v>
      </c>
      <c r="J990" s="256" t="s">
        <v>283</v>
      </c>
      <c r="K990" s="256" t="s">
        <v>283</v>
      </c>
      <c r="L990" s="256" t="s">
        <v>283</v>
      </c>
      <c r="M990" s="256" t="s">
        <v>283</v>
      </c>
      <c r="N990" s="256" t="s">
        <v>283</v>
      </c>
      <c r="O990" s="257" t="s">
        <v>17</v>
      </c>
      <c r="P990" s="257" t="s">
        <v>17</v>
      </c>
      <c r="Q990" s="257" t="s">
        <v>17</v>
      </c>
      <c r="R990" s="257" t="s">
        <v>17</v>
      </c>
      <c r="S990" s="257" t="s">
        <v>283</v>
      </c>
      <c r="T990" s="257" t="s">
        <v>283</v>
      </c>
      <c r="U990" s="257" t="s">
        <v>283</v>
      </c>
      <c r="V990" s="257" t="s">
        <v>283</v>
      </c>
      <c r="W990" s="258" t="s">
        <v>283</v>
      </c>
      <c r="X990" s="258" t="s">
        <v>283</v>
      </c>
      <c r="Y990" s="259" t="s">
        <v>283</v>
      </c>
    </row>
    <row r="991" spans="1:25">
      <c r="A991" s="253">
        <v>18</v>
      </c>
      <c r="B991" s="254" t="str">
        <f>VLOOKUP(Tabel10[[#This Row],[Code]],Ruimtegroepen[[Code]:[Ruimte omschrijving]],2,FALSE)</f>
        <v>Gymzaal</v>
      </c>
      <c r="C991" s="255" t="s">
        <v>1108</v>
      </c>
      <c r="D991" s="254" t="s">
        <v>28</v>
      </c>
      <c r="E991" s="255" t="s">
        <v>102</v>
      </c>
      <c r="F991" s="255" t="s">
        <v>1112</v>
      </c>
      <c r="G991" s="260" t="s">
        <v>283</v>
      </c>
      <c r="H991" s="256" t="s">
        <v>283</v>
      </c>
      <c r="I991" s="256" t="s">
        <v>17</v>
      </c>
      <c r="J991" s="256" t="s">
        <v>283</v>
      </c>
      <c r="K991" s="256" t="s">
        <v>283</v>
      </c>
      <c r="L991" s="256" t="s">
        <v>283</v>
      </c>
      <c r="M991" s="256" t="s">
        <v>283</v>
      </c>
      <c r="N991" s="256" t="s">
        <v>283</v>
      </c>
      <c r="O991" s="257" t="s">
        <v>17</v>
      </c>
      <c r="P991" s="257" t="s">
        <v>17</v>
      </c>
      <c r="Q991" s="257" t="s">
        <v>17</v>
      </c>
      <c r="R991" s="257" t="s">
        <v>17</v>
      </c>
      <c r="S991" s="257" t="s">
        <v>283</v>
      </c>
      <c r="T991" s="257" t="s">
        <v>283</v>
      </c>
      <c r="U991" s="257" t="s">
        <v>283</v>
      </c>
      <c r="V991" s="257" t="s">
        <v>283</v>
      </c>
      <c r="W991" s="258" t="s">
        <v>283</v>
      </c>
      <c r="X991" s="258" t="s">
        <v>283</v>
      </c>
      <c r="Y991" s="259" t="s">
        <v>283</v>
      </c>
    </row>
    <row r="992" spans="1:25">
      <c r="A992" s="253">
        <v>18</v>
      </c>
      <c r="B992" s="254" t="str">
        <f>VLOOKUP(Tabel10[[#This Row],[Code]],Ruimtegroepen[[Code]:[Ruimte omschrijving]],2,FALSE)</f>
        <v>Gymzaal</v>
      </c>
      <c r="C992" s="255" t="s">
        <v>1108</v>
      </c>
      <c r="D992" s="254" t="s">
        <v>28</v>
      </c>
      <c r="E992" s="255" t="s">
        <v>99</v>
      </c>
      <c r="F992" s="255" t="s">
        <v>1110</v>
      </c>
      <c r="G992" s="260" t="s">
        <v>283</v>
      </c>
      <c r="H992" s="256" t="s">
        <v>17</v>
      </c>
      <c r="I992" s="256" t="s">
        <v>283</v>
      </c>
      <c r="J992" s="256" t="s">
        <v>283</v>
      </c>
      <c r="K992" s="256" t="s">
        <v>283</v>
      </c>
      <c r="L992" s="256" t="s">
        <v>283</v>
      </c>
      <c r="M992" s="256" t="s">
        <v>283</v>
      </c>
      <c r="N992" s="256" t="s">
        <v>283</v>
      </c>
      <c r="O992" s="257" t="s">
        <v>17</v>
      </c>
      <c r="P992" s="257" t="s">
        <v>17</v>
      </c>
      <c r="Q992" s="257" t="s">
        <v>17</v>
      </c>
      <c r="R992" s="257" t="s">
        <v>17</v>
      </c>
      <c r="S992" s="257" t="s">
        <v>283</v>
      </c>
      <c r="T992" s="257" t="s">
        <v>283</v>
      </c>
      <c r="U992" s="257" t="s">
        <v>283</v>
      </c>
      <c r="V992" s="257" t="s">
        <v>283</v>
      </c>
      <c r="W992" s="258" t="s">
        <v>283</v>
      </c>
      <c r="X992" s="258" t="s">
        <v>283</v>
      </c>
      <c r="Y992" s="259" t="s">
        <v>283</v>
      </c>
    </row>
    <row r="993" spans="1:25">
      <c r="A993" s="253">
        <v>18</v>
      </c>
      <c r="B993" s="254" t="str">
        <f>VLOOKUP(Tabel10[[#This Row],[Code]],Ruimtegroepen[[Code]:[Ruimte omschrijving]],2,FALSE)</f>
        <v>Gymzaal</v>
      </c>
      <c r="C993" s="255" t="s">
        <v>1108</v>
      </c>
      <c r="D993" s="254" t="s">
        <v>28</v>
      </c>
      <c r="E993" s="255" t="s">
        <v>1312</v>
      </c>
      <c r="F993" s="255" t="s">
        <v>1427</v>
      </c>
      <c r="G993" s="260" t="s">
        <v>283</v>
      </c>
      <c r="H993" s="256" t="s">
        <v>283</v>
      </c>
      <c r="I993" s="256" t="s">
        <v>17</v>
      </c>
      <c r="J993" s="256" t="s">
        <v>283</v>
      </c>
      <c r="K993" s="256" t="s">
        <v>283</v>
      </c>
      <c r="L993" s="256" t="s">
        <v>283</v>
      </c>
      <c r="M993" s="256" t="s">
        <v>283</v>
      </c>
      <c r="N993" s="256" t="s">
        <v>283</v>
      </c>
      <c r="O993" s="257" t="s">
        <v>17</v>
      </c>
      <c r="P993" s="257" t="s">
        <v>17</v>
      </c>
      <c r="Q993" s="257" t="s">
        <v>17</v>
      </c>
      <c r="R993" s="257" t="s">
        <v>17</v>
      </c>
      <c r="S993" s="257" t="s">
        <v>283</v>
      </c>
      <c r="T993" s="257" t="s">
        <v>283</v>
      </c>
      <c r="U993" s="257" t="s">
        <v>283</v>
      </c>
      <c r="V993" s="257" t="s">
        <v>283</v>
      </c>
      <c r="W993" s="258" t="s">
        <v>283</v>
      </c>
      <c r="X993" s="258" t="s">
        <v>283</v>
      </c>
      <c r="Y993" s="259" t="s">
        <v>283</v>
      </c>
    </row>
    <row r="994" spans="1:25">
      <c r="A994" s="253">
        <v>19</v>
      </c>
      <c r="B994" s="254" t="str">
        <f>VLOOKUP(Tabel10[[#This Row],[Code]],Ruimtegroepen[[Code]:[Ruimte omschrijving]],2,FALSE)</f>
        <v>Kleedruimten</v>
      </c>
      <c r="C994" s="255" t="s">
        <v>1113</v>
      </c>
      <c r="D994" s="254" t="s">
        <v>29</v>
      </c>
      <c r="E994" s="255" t="s">
        <v>100</v>
      </c>
      <c r="F994" s="255" t="s">
        <v>1114</v>
      </c>
      <c r="G994" s="260" t="s">
        <v>283</v>
      </c>
      <c r="H994" s="256" t="s">
        <v>283</v>
      </c>
      <c r="I994" s="256" t="s">
        <v>2</v>
      </c>
      <c r="J994" s="256" t="s">
        <v>283</v>
      </c>
      <c r="K994" s="256" t="s">
        <v>2</v>
      </c>
      <c r="L994" s="256" t="s">
        <v>283</v>
      </c>
      <c r="M994" s="256" t="s">
        <v>283</v>
      </c>
      <c r="N994" s="256" t="s">
        <v>2</v>
      </c>
      <c r="O994" s="257" t="s">
        <v>2</v>
      </c>
      <c r="P994" s="257" t="s">
        <v>2</v>
      </c>
      <c r="Q994" s="257" t="s">
        <v>15</v>
      </c>
      <c r="R994" s="257" t="s">
        <v>15</v>
      </c>
      <c r="S994" s="257" t="s">
        <v>16</v>
      </c>
      <c r="T994" s="257" t="s">
        <v>330</v>
      </c>
      <c r="U994" s="257" t="s">
        <v>250</v>
      </c>
      <c r="V994" s="257" t="s">
        <v>2</v>
      </c>
      <c r="W994" s="258" t="s">
        <v>283</v>
      </c>
      <c r="X994" s="258" t="s">
        <v>283</v>
      </c>
      <c r="Y994" s="259" t="s">
        <v>283</v>
      </c>
    </row>
    <row r="995" spans="1:25">
      <c r="A995" s="253">
        <v>19</v>
      </c>
      <c r="B995" s="254" t="str">
        <f>VLOOKUP(Tabel10[[#This Row],[Code]],Ruimtegroepen[[Code]:[Ruimte omschrijving]],2,FALSE)</f>
        <v>Kleedruimten</v>
      </c>
      <c r="C995" s="255" t="s">
        <v>1113</v>
      </c>
      <c r="D995" s="254" t="s">
        <v>29</v>
      </c>
      <c r="E995" s="255" t="s">
        <v>99</v>
      </c>
      <c r="F995" s="255" t="s">
        <v>1115</v>
      </c>
      <c r="G995" s="260" t="s">
        <v>283</v>
      </c>
      <c r="H995" s="256" t="s">
        <v>2</v>
      </c>
      <c r="I995" s="256" t="s">
        <v>283</v>
      </c>
      <c r="J995" s="256" t="s">
        <v>283</v>
      </c>
      <c r="K995" s="256" t="s">
        <v>283</v>
      </c>
      <c r="L995" s="256" t="s">
        <v>283</v>
      </c>
      <c r="M995" s="256" t="s">
        <v>283</v>
      </c>
      <c r="N995" s="256" t="s">
        <v>2</v>
      </c>
      <c r="O995" s="257" t="s">
        <v>2</v>
      </c>
      <c r="P995" s="257" t="s">
        <v>2</v>
      </c>
      <c r="Q995" s="257" t="s">
        <v>15</v>
      </c>
      <c r="R995" s="257" t="s">
        <v>15</v>
      </c>
      <c r="S995" s="257" t="s">
        <v>16</v>
      </c>
      <c r="T995" s="257" t="s">
        <v>330</v>
      </c>
      <c r="U995" s="257" t="s">
        <v>250</v>
      </c>
      <c r="V995" s="257" t="s">
        <v>2</v>
      </c>
      <c r="W995" s="258" t="s">
        <v>283</v>
      </c>
      <c r="X995" s="258" t="s">
        <v>283</v>
      </c>
      <c r="Y995" s="259" t="s">
        <v>283</v>
      </c>
    </row>
    <row r="996" spans="1:25">
      <c r="A996" s="253">
        <v>19</v>
      </c>
      <c r="B996" s="254" t="str">
        <f>VLOOKUP(Tabel10[[#This Row],[Code]],Ruimtegroepen[[Code]:[Ruimte omschrijving]],2,FALSE)</f>
        <v>Kleedruimten</v>
      </c>
      <c r="C996" s="255" t="s">
        <v>1113</v>
      </c>
      <c r="D996" s="254" t="s">
        <v>29</v>
      </c>
      <c r="E996" s="255" t="s">
        <v>101</v>
      </c>
      <c r="F996" s="255" t="s">
        <v>1116</v>
      </c>
      <c r="G996" s="260" t="s">
        <v>283</v>
      </c>
      <c r="H996" s="256" t="s">
        <v>283</v>
      </c>
      <c r="I996" s="256" t="s">
        <v>2</v>
      </c>
      <c r="J996" s="256" t="s">
        <v>283</v>
      </c>
      <c r="K996" s="256" t="s">
        <v>2</v>
      </c>
      <c r="L996" s="256" t="s">
        <v>283</v>
      </c>
      <c r="M996" s="256" t="s">
        <v>283</v>
      </c>
      <c r="N996" s="256" t="s">
        <v>2</v>
      </c>
      <c r="O996" s="257" t="s">
        <v>2</v>
      </c>
      <c r="P996" s="257" t="s">
        <v>2</v>
      </c>
      <c r="Q996" s="257" t="s">
        <v>15</v>
      </c>
      <c r="R996" s="257" t="s">
        <v>15</v>
      </c>
      <c r="S996" s="257" t="s">
        <v>16</v>
      </c>
      <c r="T996" s="257" t="s">
        <v>330</v>
      </c>
      <c r="U996" s="257" t="s">
        <v>250</v>
      </c>
      <c r="V996" s="257" t="s">
        <v>2</v>
      </c>
      <c r="W996" s="258" t="s">
        <v>283</v>
      </c>
      <c r="X996" s="258" t="s">
        <v>283</v>
      </c>
      <c r="Y996" s="259" t="s">
        <v>283</v>
      </c>
    </row>
    <row r="997" spans="1:25">
      <c r="A997" s="253">
        <v>19</v>
      </c>
      <c r="B997" s="254" t="str">
        <f>VLOOKUP(Tabel10[[#This Row],[Code]],Ruimtegroepen[[Code]:[Ruimte omschrijving]],2,FALSE)</f>
        <v>Kleedruimten</v>
      </c>
      <c r="C997" s="255" t="s">
        <v>1113</v>
      </c>
      <c r="D997" s="254" t="s">
        <v>29</v>
      </c>
      <c r="E997" s="255" t="s">
        <v>102</v>
      </c>
      <c r="F997" s="255" t="s">
        <v>1117</v>
      </c>
      <c r="G997" s="260" t="s">
        <v>283</v>
      </c>
      <c r="H997" s="256" t="s">
        <v>283</v>
      </c>
      <c r="I997" s="256" t="s">
        <v>2</v>
      </c>
      <c r="J997" s="256" t="s">
        <v>283</v>
      </c>
      <c r="K997" s="256" t="s">
        <v>2</v>
      </c>
      <c r="L997" s="256" t="s">
        <v>283</v>
      </c>
      <c r="M997" s="256" t="s">
        <v>283</v>
      </c>
      <c r="N997" s="256" t="s">
        <v>2</v>
      </c>
      <c r="O997" s="257" t="s">
        <v>2</v>
      </c>
      <c r="P997" s="257" t="s">
        <v>2</v>
      </c>
      <c r="Q997" s="257" t="s">
        <v>15</v>
      </c>
      <c r="R997" s="257" t="s">
        <v>15</v>
      </c>
      <c r="S997" s="257" t="s">
        <v>16</v>
      </c>
      <c r="T997" s="257" t="s">
        <v>330</v>
      </c>
      <c r="U997" s="257" t="s">
        <v>250</v>
      </c>
      <c r="V997" s="257" t="s">
        <v>2</v>
      </c>
      <c r="W997" s="258" t="s">
        <v>283</v>
      </c>
      <c r="X997" s="258" t="s">
        <v>283</v>
      </c>
      <c r="Y997" s="259" t="s">
        <v>283</v>
      </c>
    </row>
    <row r="998" spans="1:25">
      <c r="A998" s="253">
        <v>19</v>
      </c>
      <c r="B998" s="254" t="str">
        <f>VLOOKUP(Tabel10[[#This Row],[Code]],Ruimtegroepen[[Code]:[Ruimte omschrijving]],2,FALSE)</f>
        <v>Kleedruimten</v>
      </c>
      <c r="C998" s="255" t="s">
        <v>1113</v>
      </c>
      <c r="D998" s="254" t="s">
        <v>29</v>
      </c>
      <c r="E998" s="255" t="s">
        <v>99</v>
      </c>
      <c r="F998" s="255" t="s">
        <v>1115</v>
      </c>
      <c r="G998" s="260" t="s">
        <v>283</v>
      </c>
      <c r="H998" s="256" t="s">
        <v>2</v>
      </c>
      <c r="I998" s="256" t="s">
        <v>283</v>
      </c>
      <c r="J998" s="256" t="s">
        <v>283</v>
      </c>
      <c r="K998" s="256" t="s">
        <v>283</v>
      </c>
      <c r="L998" s="256" t="s">
        <v>283</v>
      </c>
      <c r="M998" s="256" t="s">
        <v>283</v>
      </c>
      <c r="N998" s="256" t="s">
        <v>2</v>
      </c>
      <c r="O998" s="257" t="s">
        <v>2</v>
      </c>
      <c r="P998" s="257" t="s">
        <v>2</v>
      </c>
      <c r="Q998" s="257" t="s">
        <v>15</v>
      </c>
      <c r="R998" s="257" t="s">
        <v>15</v>
      </c>
      <c r="S998" s="257" t="s">
        <v>16</v>
      </c>
      <c r="T998" s="257" t="s">
        <v>330</v>
      </c>
      <c r="U998" s="257" t="s">
        <v>250</v>
      </c>
      <c r="V998" s="257" t="s">
        <v>2</v>
      </c>
      <c r="W998" s="258" t="s">
        <v>283</v>
      </c>
      <c r="X998" s="258" t="s">
        <v>283</v>
      </c>
      <c r="Y998" s="259" t="s">
        <v>283</v>
      </c>
    </row>
    <row r="999" spans="1:25">
      <c r="A999" s="253">
        <v>19</v>
      </c>
      <c r="B999" s="254" t="str">
        <f>VLOOKUP(Tabel10[[#This Row],[Code]],Ruimtegroepen[[Code]:[Ruimte omschrijving]],2,FALSE)</f>
        <v>Kleedruimten</v>
      </c>
      <c r="C999" s="255" t="s">
        <v>1113</v>
      </c>
      <c r="D999" s="254" t="s">
        <v>29</v>
      </c>
      <c r="E999" s="255" t="s">
        <v>1312</v>
      </c>
      <c r="F999" s="255" t="s">
        <v>1495</v>
      </c>
      <c r="G999" s="260" t="s">
        <v>283</v>
      </c>
      <c r="H999" s="256" t="s">
        <v>283</v>
      </c>
      <c r="I999" s="256" t="s">
        <v>2</v>
      </c>
      <c r="J999" s="256" t="s">
        <v>283</v>
      </c>
      <c r="K999" s="256" t="s">
        <v>2</v>
      </c>
      <c r="L999" s="256" t="s">
        <v>283</v>
      </c>
      <c r="M999" s="256" t="s">
        <v>283</v>
      </c>
      <c r="N999" s="256" t="s">
        <v>2</v>
      </c>
      <c r="O999" s="257" t="s">
        <v>2</v>
      </c>
      <c r="P999" s="257" t="s">
        <v>2</v>
      </c>
      <c r="Q999" s="257" t="s">
        <v>15</v>
      </c>
      <c r="R999" s="257" t="s">
        <v>15</v>
      </c>
      <c r="S999" s="257" t="s">
        <v>16</v>
      </c>
      <c r="T999" s="257" t="s">
        <v>330</v>
      </c>
      <c r="U999" s="257" t="s">
        <v>250</v>
      </c>
      <c r="V999" s="257" t="s">
        <v>2</v>
      </c>
      <c r="W999" s="258" t="s">
        <v>283</v>
      </c>
      <c r="X999" s="258" t="s">
        <v>283</v>
      </c>
      <c r="Y999" s="259" t="s">
        <v>283</v>
      </c>
    </row>
    <row r="1000" spans="1:25">
      <c r="A1000" s="253">
        <v>19</v>
      </c>
      <c r="B1000" s="254" t="str">
        <f>VLOOKUP(Tabel10[[#This Row],[Code]],Ruimtegroepen[[Code]:[Ruimte omschrijving]],2,FALSE)</f>
        <v>Kleedruimten</v>
      </c>
      <c r="C1000" s="255" t="s">
        <v>1118</v>
      </c>
      <c r="D1000" s="254" t="s">
        <v>1</v>
      </c>
      <c r="E1000" s="255" t="s">
        <v>100</v>
      </c>
      <c r="F1000" s="255" t="s">
        <v>1119</v>
      </c>
      <c r="G1000" s="260" t="s">
        <v>283</v>
      </c>
      <c r="H1000" s="256" t="s">
        <v>283</v>
      </c>
      <c r="I1000" s="256" t="s">
        <v>2</v>
      </c>
      <c r="J1000" s="256" t="s">
        <v>283</v>
      </c>
      <c r="K1000" s="256" t="s">
        <v>2</v>
      </c>
      <c r="L1000" s="256" t="s">
        <v>283</v>
      </c>
      <c r="M1000" s="256" t="s">
        <v>283</v>
      </c>
      <c r="N1000" s="256" t="s">
        <v>283</v>
      </c>
      <c r="O1000" s="257" t="s">
        <v>2</v>
      </c>
      <c r="P1000" s="257" t="s">
        <v>2</v>
      </c>
      <c r="Q1000" s="257" t="s">
        <v>15</v>
      </c>
      <c r="R1000" s="257" t="s">
        <v>15</v>
      </c>
      <c r="S1000" s="257" t="s">
        <v>16</v>
      </c>
      <c r="T1000" s="257" t="s">
        <v>330</v>
      </c>
      <c r="U1000" s="257" t="s">
        <v>250</v>
      </c>
      <c r="V1000" s="257" t="s">
        <v>283</v>
      </c>
      <c r="W1000" s="258" t="s">
        <v>283</v>
      </c>
      <c r="X1000" s="258" t="s">
        <v>283</v>
      </c>
      <c r="Y1000" s="259" t="s">
        <v>283</v>
      </c>
    </row>
    <row r="1001" spans="1:25">
      <c r="A1001" s="253">
        <v>19</v>
      </c>
      <c r="B1001" s="254" t="str">
        <f>VLOOKUP(Tabel10[[#This Row],[Code]],Ruimtegroepen[[Code]:[Ruimte omschrijving]],2,FALSE)</f>
        <v>Kleedruimten</v>
      </c>
      <c r="C1001" s="255" t="s">
        <v>1118</v>
      </c>
      <c r="D1001" s="254" t="s">
        <v>1</v>
      </c>
      <c r="E1001" s="255" t="s">
        <v>99</v>
      </c>
      <c r="F1001" s="255" t="s">
        <v>1120</v>
      </c>
      <c r="G1001" s="260" t="s">
        <v>283</v>
      </c>
      <c r="H1001" s="256" t="s">
        <v>2</v>
      </c>
      <c r="I1001" s="256" t="s">
        <v>283</v>
      </c>
      <c r="J1001" s="256" t="s">
        <v>283</v>
      </c>
      <c r="K1001" s="256" t="s">
        <v>283</v>
      </c>
      <c r="L1001" s="256" t="s">
        <v>283</v>
      </c>
      <c r="M1001" s="256" t="s">
        <v>283</v>
      </c>
      <c r="N1001" s="256" t="s">
        <v>283</v>
      </c>
      <c r="O1001" s="257" t="s">
        <v>2</v>
      </c>
      <c r="P1001" s="257" t="s">
        <v>2</v>
      </c>
      <c r="Q1001" s="257" t="s">
        <v>15</v>
      </c>
      <c r="R1001" s="257" t="s">
        <v>15</v>
      </c>
      <c r="S1001" s="257" t="s">
        <v>16</v>
      </c>
      <c r="T1001" s="257" t="s">
        <v>330</v>
      </c>
      <c r="U1001" s="257" t="s">
        <v>250</v>
      </c>
      <c r="V1001" s="257" t="s">
        <v>283</v>
      </c>
      <c r="W1001" s="258" t="s">
        <v>283</v>
      </c>
      <c r="X1001" s="258" t="s">
        <v>283</v>
      </c>
      <c r="Y1001" s="259" t="s">
        <v>283</v>
      </c>
    </row>
    <row r="1002" spans="1:25">
      <c r="A1002" s="253">
        <v>19</v>
      </c>
      <c r="B1002" s="254" t="str">
        <f>VLOOKUP(Tabel10[[#This Row],[Code]],Ruimtegroepen[[Code]:[Ruimte omschrijving]],2,FALSE)</f>
        <v>Kleedruimten</v>
      </c>
      <c r="C1002" s="255" t="s">
        <v>1118</v>
      </c>
      <c r="D1002" s="254" t="s">
        <v>1</v>
      </c>
      <c r="E1002" s="255" t="s">
        <v>101</v>
      </c>
      <c r="F1002" s="255" t="s">
        <v>1121</v>
      </c>
      <c r="G1002" s="260" t="s">
        <v>283</v>
      </c>
      <c r="H1002" s="256" t="s">
        <v>283</v>
      </c>
      <c r="I1002" s="256" t="s">
        <v>2</v>
      </c>
      <c r="J1002" s="256" t="s">
        <v>283</v>
      </c>
      <c r="K1002" s="256" t="s">
        <v>2</v>
      </c>
      <c r="L1002" s="256" t="s">
        <v>283</v>
      </c>
      <c r="M1002" s="256" t="s">
        <v>283</v>
      </c>
      <c r="N1002" s="256" t="s">
        <v>283</v>
      </c>
      <c r="O1002" s="257" t="s">
        <v>2</v>
      </c>
      <c r="P1002" s="257" t="s">
        <v>2</v>
      </c>
      <c r="Q1002" s="257" t="s">
        <v>15</v>
      </c>
      <c r="R1002" s="257" t="s">
        <v>15</v>
      </c>
      <c r="S1002" s="257" t="s">
        <v>16</v>
      </c>
      <c r="T1002" s="257" t="s">
        <v>330</v>
      </c>
      <c r="U1002" s="257" t="s">
        <v>250</v>
      </c>
      <c r="V1002" s="257" t="s">
        <v>283</v>
      </c>
      <c r="W1002" s="258" t="s">
        <v>283</v>
      </c>
      <c r="X1002" s="258" t="s">
        <v>283</v>
      </c>
      <c r="Y1002" s="259" t="s">
        <v>283</v>
      </c>
    </row>
    <row r="1003" spans="1:25">
      <c r="A1003" s="253">
        <v>19</v>
      </c>
      <c r="B1003" s="254" t="str">
        <f>VLOOKUP(Tabel10[[#This Row],[Code]],Ruimtegroepen[[Code]:[Ruimte omschrijving]],2,FALSE)</f>
        <v>Kleedruimten</v>
      </c>
      <c r="C1003" s="255" t="s">
        <v>1118</v>
      </c>
      <c r="D1003" s="254" t="s">
        <v>1</v>
      </c>
      <c r="E1003" s="255" t="s">
        <v>102</v>
      </c>
      <c r="F1003" s="255" t="s">
        <v>1122</v>
      </c>
      <c r="G1003" s="260" t="s">
        <v>283</v>
      </c>
      <c r="H1003" s="256" t="s">
        <v>283</v>
      </c>
      <c r="I1003" s="256" t="s">
        <v>2</v>
      </c>
      <c r="J1003" s="256" t="s">
        <v>283</v>
      </c>
      <c r="K1003" s="256" t="s">
        <v>2</v>
      </c>
      <c r="L1003" s="256" t="s">
        <v>283</v>
      </c>
      <c r="M1003" s="256" t="s">
        <v>283</v>
      </c>
      <c r="N1003" s="256" t="s">
        <v>283</v>
      </c>
      <c r="O1003" s="257" t="s">
        <v>2</v>
      </c>
      <c r="P1003" s="257" t="s">
        <v>2</v>
      </c>
      <c r="Q1003" s="257" t="s">
        <v>15</v>
      </c>
      <c r="R1003" s="257" t="s">
        <v>15</v>
      </c>
      <c r="S1003" s="257" t="s">
        <v>16</v>
      </c>
      <c r="T1003" s="257" t="s">
        <v>330</v>
      </c>
      <c r="U1003" s="257" t="s">
        <v>250</v>
      </c>
      <c r="V1003" s="257" t="s">
        <v>283</v>
      </c>
      <c r="W1003" s="258" t="s">
        <v>283</v>
      </c>
      <c r="X1003" s="258" t="s">
        <v>283</v>
      </c>
      <c r="Y1003" s="259" t="s">
        <v>283</v>
      </c>
    </row>
    <row r="1004" spans="1:25">
      <c r="A1004" s="253">
        <v>19</v>
      </c>
      <c r="B1004" s="254" t="str">
        <f>VLOOKUP(Tabel10[[#This Row],[Code]],Ruimtegroepen[[Code]:[Ruimte omschrijving]],2,FALSE)</f>
        <v>Kleedruimten</v>
      </c>
      <c r="C1004" s="255" t="s">
        <v>1118</v>
      </c>
      <c r="D1004" s="254" t="s">
        <v>1</v>
      </c>
      <c r="E1004" s="255" t="s">
        <v>99</v>
      </c>
      <c r="F1004" s="255" t="s">
        <v>1120</v>
      </c>
      <c r="G1004" s="260" t="s">
        <v>283</v>
      </c>
      <c r="H1004" s="256" t="s">
        <v>2</v>
      </c>
      <c r="I1004" s="256" t="s">
        <v>283</v>
      </c>
      <c r="J1004" s="256" t="s">
        <v>283</v>
      </c>
      <c r="K1004" s="256" t="s">
        <v>283</v>
      </c>
      <c r="L1004" s="256" t="s">
        <v>283</v>
      </c>
      <c r="M1004" s="256" t="s">
        <v>283</v>
      </c>
      <c r="N1004" s="256" t="s">
        <v>283</v>
      </c>
      <c r="O1004" s="257" t="s">
        <v>2</v>
      </c>
      <c r="P1004" s="257" t="s">
        <v>2</v>
      </c>
      <c r="Q1004" s="257" t="s">
        <v>15</v>
      </c>
      <c r="R1004" s="257" t="s">
        <v>15</v>
      </c>
      <c r="S1004" s="257" t="s">
        <v>16</v>
      </c>
      <c r="T1004" s="257" t="s">
        <v>330</v>
      </c>
      <c r="U1004" s="257" t="s">
        <v>250</v>
      </c>
      <c r="V1004" s="257" t="s">
        <v>283</v>
      </c>
      <c r="W1004" s="258" t="s">
        <v>283</v>
      </c>
      <c r="X1004" s="258" t="s">
        <v>283</v>
      </c>
      <c r="Y1004" s="259" t="s">
        <v>283</v>
      </c>
    </row>
    <row r="1005" spans="1:25">
      <c r="A1005" s="253">
        <v>19</v>
      </c>
      <c r="B1005" s="254" t="str">
        <f>VLOOKUP(Tabel10[[#This Row],[Code]],Ruimtegroepen[[Code]:[Ruimte omschrijving]],2,FALSE)</f>
        <v>Kleedruimten</v>
      </c>
      <c r="C1005" s="255" t="s">
        <v>1118</v>
      </c>
      <c r="D1005" s="254" t="s">
        <v>1</v>
      </c>
      <c r="E1005" s="255" t="s">
        <v>1312</v>
      </c>
      <c r="F1005" s="255" t="s">
        <v>1479</v>
      </c>
      <c r="G1005" s="260" t="s">
        <v>283</v>
      </c>
      <c r="H1005" s="256" t="s">
        <v>283</v>
      </c>
      <c r="I1005" s="256" t="s">
        <v>2</v>
      </c>
      <c r="J1005" s="256" t="s">
        <v>283</v>
      </c>
      <c r="K1005" s="256" t="s">
        <v>2</v>
      </c>
      <c r="L1005" s="256" t="s">
        <v>283</v>
      </c>
      <c r="M1005" s="256" t="s">
        <v>283</v>
      </c>
      <c r="N1005" s="256" t="s">
        <v>283</v>
      </c>
      <c r="O1005" s="257" t="s">
        <v>2</v>
      </c>
      <c r="P1005" s="257" t="s">
        <v>2</v>
      </c>
      <c r="Q1005" s="257" t="s">
        <v>15</v>
      </c>
      <c r="R1005" s="257" t="s">
        <v>15</v>
      </c>
      <c r="S1005" s="257" t="s">
        <v>16</v>
      </c>
      <c r="T1005" s="257" t="s">
        <v>330</v>
      </c>
      <c r="U1005" s="257" t="s">
        <v>250</v>
      </c>
      <c r="V1005" s="257" t="s">
        <v>283</v>
      </c>
      <c r="W1005" s="258" t="s">
        <v>283</v>
      </c>
      <c r="X1005" s="258" t="s">
        <v>283</v>
      </c>
      <c r="Y1005" s="259" t="s">
        <v>283</v>
      </c>
    </row>
    <row r="1006" spans="1:25">
      <c r="A1006" s="253">
        <v>19</v>
      </c>
      <c r="B1006" s="254" t="str">
        <f>VLOOKUP(Tabel10[[#This Row],[Code]],Ruimtegroepen[[Code]:[Ruimte omschrijving]],2,FALSE)</f>
        <v>Kleedruimten</v>
      </c>
      <c r="C1006" s="255" t="s">
        <v>1123</v>
      </c>
      <c r="D1006" s="254" t="s">
        <v>21</v>
      </c>
      <c r="E1006" s="255" t="s">
        <v>100</v>
      </c>
      <c r="F1006" s="255" t="s">
        <v>1124</v>
      </c>
      <c r="G1006" s="260" t="s">
        <v>283</v>
      </c>
      <c r="H1006" s="256" t="s">
        <v>283</v>
      </c>
      <c r="I1006" s="256" t="s">
        <v>20</v>
      </c>
      <c r="J1006" s="256" t="s">
        <v>283</v>
      </c>
      <c r="K1006" s="256" t="s">
        <v>20</v>
      </c>
      <c r="L1006" s="256" t="s">
        <v>283</v>
      </c>
      <c r="M1006" s="256" t="s">
        <v>283</v>
      </c>
      <c r="N1006" s="256" t="s">
        <v>283</v>
      </c>
      <c r="O1006" s="257" t="s">
        <v>20</v>
      </c>
      <c r="P1006" s="257" t="s">
        <v>20</v>
      </c>
      <c r="Q1006" s="257" t="s">
        <v>15</v>
      </c>
      <c r="R1006" s="257" t="s">
        <v>15</v>
      </c>
      <c r="S1006" s="257" t="s">
        <v>16</v>
      </c>
      <c r="T1006" s="257" t="s">
        <v>330</v>
      </c>
      <c r="U1006" s="257" t="s">
        <v>250</v>
      </c>
      <c r="V1006" s="257" t="s">
        <v>283</v>
      </c>
      <c r="W1006" s="258" t="s">
        <v>283</v>
      </c>
      <c r="X1006" s="258" t="s">
        <v>283</v>
      </c>
      <c r="Y1006" s="259" t="s">
        <v>283</v>
      </c>
    </row>
    <row r="1007" spans="1:25">
      <c r="A1007" s="253">
        <v>19</v>
      </c>
      <c r="B1007" s="254" t="str">
        <f>VLOOKUP(Tabel10[[#This Row],[Code]],Ruimtegroepen[[Code]:[Ruimte omschrijving]],2,FALSE)</f>
        <v>Kleedruimten</v>
      </c>
      <c r="C1007" s="255" t="s">
        <v>1123</v>
      </c>
      <c r="D1007" s="254" t="s">
        <v>21</v>
      </c>
      <c r="E1007" s="255" t="s">
        <v>99</v>
      </c>
      <c r="F1007" s="255" t="s">
        <v>1125</v>
      </c>
      <c r="G1007" s="260" t="s">
        <v>283</v>
      </c>
      <c r="H1007" s="256" t="s">
        <v>20</v>
      </c>
      <c r="I1007" s="256" t="s">
        <v>283</v>
      </c>
      <c r="J1007" s="256" t="s">
        <v>283</v>
      </c>
      <c r="K1007" s="256" t="s">
        <v>283</v>
      </c>
      <c r="L1007" s="256" t="s">
        <v>283</v>
      </c>
      <c r="M1007" s="256" t="s">
        <v>283</v>
      </c>
      <c r="N1007" s="256" t="s">
        <v>283</v>
      </c>
      <c r="O1007" s="257" t="s">
        <v>20</v>
      </c>
      <c r="P1007" s="257" t="s">
        <v>20</v>
      </c>
      <c r="Q1007" s="257" t="s">
        <v>15</v>
      </c>
      <c r="R1007" s="257" t="s">
        <v>15</v>
      </c>
      <c r="S1007" s="257" t="s">
        <v>16</v>
      </c>
      <c r="T1007" s="257" t="s">
        <v>330</v>
      </c>
      <c r="U1007" s="257" t="s">
        <v>250</v>
      </c>
      <c r="V1007" s="257" t="s">
        <v>283</v>
      </c>
      <c r="W1007" s="258" t="s">
        <v>283</v>
      </c>
      <c r="X1007" s="258" t="s">
        <v>283</v>
      </c>
      <c r="Y1007" s="259" t="s">
        <v>283</v>
      </c>
    </row>
    <row r="1008" spans="1:25">
      <c r="A1008" s="253">
        <v>19</v>
      </c>
      <c r="B1008" s="254" t="str">
        <f>VLOOKUP(Tabel10[[#This Row],[Code]],Ruimtegroepen[[Code]:[Ruimte omschrijving]],2,FALSE)</f>
        <v>Kleedruimten</v>
      </c>
      <c r="C1008" s="255" t="s">
        <v>1123</v>
      </c>
      <c r="D1008" s="254" t="s">
        <v>21</v>
      </c>
      <c r="E1008" s="255" t="s">
        <v>101</v>
      </c>
      <c r="F1008" s="255" t="s">
        <v>1126</v>
      </c>
      <c r="G1008" s="260" t="s">
        <v>283</v>
      </c>
      <c r="H1008" s="256" t="s">
        <v>283</v>
      </c>
      <c r="I1008" s="256" t="s">
        <v>20</v>
      </c>
      <c r="J1008" s="256" t="s">
        <v>283</v>
      </c>
      <c r="K1008" s="256" t="s">
        <v>20</v>
      </c>
      <c r="L1008" s="256" t="s">
        <v>283</v>
      </c>
      <c r="M1008" s="256" t="s">
        <v>283</v>
      </c>
      <c r="N1008" s="256" t="s">
        <v>283</v>
      </c>
      <c r="O1008" s="257" t="s">
        <v>20</v>
      </c>
      <c r="P1008" s="257" t="s">
        <v>20</v>
      </c>
      <c r="Q1008" s="257" t="s">
        <v>15</v>
      </c>
      <c r="R1008" s="257" t="s">
        <v>15</v>
      </c>
      <c r="S1008" s="257" t="s">
        <v>16</v>
      </c>
      <c r="T1008" s="257" t="s">
        <v>330</v>
      </c>
      <c r="U1008" s="257" t="s">
        <v>250</v>
      </c>
      <c r="V1008" s="257" t="s">
        <v>283</v>
      </c>
      <c r="W1008" s="258" t="s">
        <v>283</v>
      </c>
      <c r="X1008" s="258" t="s">
        <v>283</v>
      </c>
      <c r="Y1008" s="259" t="s">
        <v>283</v>
      </c>
    </row>
    <row r="1009" spans="1:25">
      <c r="A1009" s="253">
        <v>19</v>
      </c>
      <c r="B1009" s="254" t="str">
        <f>VLOOKUP(Tabel10[[#This Row],[Code]],Ruimtegroepen[[Code]:[Ruimte omschrijving]],2,FALSE)</f>
        <v>Kleedruimten</v>
      </c>
      <c r="C1009" s="255" t="s">
        <v>1123</v>
      </c>
      <c r="D1009" s="254" t="s">
        <v>21</v>
      </c>
      <c r="E1009" s="255" t="s">
        <v>102</v>
      </c>
      <c r="F1009" s="255" t="s">
        <v>1127</v>
      </c>
      <c r="G1009" s="260" t="s">
        <v>283</v>
      </c>
      <c r="H1009" s="256" t="s">
        <v>283</v>
      </c>
      <c r="I1009" s="256" t="s">
        <v>20</v>
      </c>
      <c r="J1009" s="256" t="s">
        <v>283</v>
      </c>
      <c r="K1009" s="256" t="s">
        <v>20</v>
      </c>
      <c r="L1009" s="256" t="s">
        <v>283</v>
      </c>
      <c r="M1009" s="256" t="s">
        <v>283</v>
      </c>
      <c r="N1009" s="256" t="s">
        <v>283</v>
      </c>
      <c r="O1009" s="257" t="s">
        <v>20</v>
      </c>
      <c r="P1009" s="257" t="s">
        <v>20</v>
      </c>
      <c r="Q1009" s="257" t="s">
        <v>15</v>
      </c>
      <c r="R1009" s="257" t="s">
        <v>15</v>
      </c>
      <c r="S1009" s="257" t="s">
        <v>16</v>
      </c>
      <c r="T1009" s="257" t="s">
        <v>330</v>
      </c>
      <c r="U1009" s="257" t="s">
        <v>250</v>
      </c>
      <c r="V1009" s="257" t="s">
        <v>283</v>
      </c>
      <c r="W1009" s="258" t="s">
        <v>283</v>
      </c>
      <c r="X1009" s="258" t="s">
        <v>283</v>
      </c>
      <c r="Y1009" s="259" t="s">
        <v>283</v>
      </c>
    </row>
    <row r="1010" spans="1:25">
      <c r="A1010" s="253">
        <v>19</v>
      </c>
      <c r="B1010" s="254" t="str">
        <f>VLOOKUP(Tabel10[[#This Row],[Code]],Ruimtegroepen[[Code]:[Ruimte omschrijving]],2,FALSE)</f>
        <v>Kleedruimten</v>
      </c>
      <c r="C1010" s="255" t="s">
        <v>1123</v>
      </c>
      <c r="D1010" s="254" t="s">
        <v>21</v>
      </c>
      <c r="E1010" s="255" t="s">
        <v>99</v>
      </c>
      <c r="F1010" s="255" t="s">
        <v>1125</v>
      </c>
      <c r="G1010" s="260" t="s">
        <v>283</v>
      </c>
      <c r="H1010" s="256" t="s">
        <v>20</v>
      </c>
      <c r="I1010" s="256" t="s">
        <v>283</v>
      </c>
      <c r="J1010" s="256" t="s">
        <v>283</v>
      </c>
      <c r="K1010" s="256" t="s">
        <v>283</v>
      </c>
      <c r="L1010" s="256" t="s">
        <v>283</v>
      </c>
      <c r="M1010" s="256" t="s">
        <v>283</v>
      </c>
      <c r="N1010" s="256" t="s">
        <v>283</v>
      </c>
      <c r="O1010" s="257" t="s">
        <v>20</v>
      </c>
      <c r="P1010" s="257" t="s">
        <v>20</v>
      </c>
      <c r="Q1010" s="257" t="s">
        <v>15</v>
      </c>
      <c r="R1010" s="257" t="s">
        <v>15</v>
      </c>
      <c r="S1010" s="257" t="s">
        <v>16</v>
      </c>
      <c r="T1010" s="257" t="s">
        <v>330</v>
      </c>
      <c r="U1010" s="257" t="s">
        <v>250</v>
      </c>
      <c r="V1010" s="257" t="s">
        <v>283</v>
      </c>
      <c r="W1010" s="258" t="s">
        <v>283</v>
      </c>
      <c r="X1010" s="258" t="s">
        <v>283</v>
      </c>
      <c r="Y1010" s="259" t="s">
        <v>283</v>
      </c>
    </row>
    <row r="1011" spans="1:25">
      <c r="A1011" s="253">
        <v>19</v>
      </c>
      <c r="B1011" s="254" t="str">
        <f>VLOOKUP(Tabel10[[#This Row],[Code]],Ruimtegroepen[[Code]:[Ruimte omschrijving]],2,FALSE)</f>
        <v>Kleedruimten</v>
      </c>
      <c r="C1011" s="255" t="s">
        <v>1123</v>
      </c>
      <c r="D1011" s="254" t="s">
        <v>21</v>
      </c>
      <c r="E1011" s="255" t="s">
        <v>1312</v>
      </c>
      <c r="F1011" s="255" t="s">
        <v>1462</v>
      </c>
      <c r="G1011" s="260" t="s">
        <v>283</v>
      </c>
      <c r="H1011" s="256" t="s">
        <v>283</v>
      </c>
      <c r="I1011" s="256" t="s">
        <v>20</v>
      </c>
      <c r="J1011" s="256" t="s">
        <v>283</v>
      </c>
      <c r="K1011" s="256" t="s">
        <v>20</v>
      </c>
      <c r="L1011" s="256" t="s">
        <v>283</v>
      </c>
      <c r="M1011" s="256" t="s">
        <v>283</v>
      </c>
      <c r="N1011" s="256" t="s">
        <v>283</v>
      </c>
      <c r="O1011" s="257" t="s">
        <v>20</v>
      </c>
      <c r="P1011" s="257" t="s">
        <v>20</v>
      </c>
      <c r="Q1011" s="257" t="s">
        <v>15</v>
      </c>
      <c r="R1011" s="257" t="s">
        <v>15</v>
      </c>
      <c r="S1011" s="257" t="s">
        <v>16</v>
      </c>
      <c r="T1011" s="257" t="s">
        <v>330</v>
      </c>
      <c r="U1011" s="257" t="s">
        <v>250</v>
      </c>
      <c r="V1011" s="257" t="s">
        <v>283</v>
      </c>
      <c r="W1011" s="258" t="s">
        <v>283</v>
      </c>
      <c r="X1011" s="258" t="s">
        <v>283</v>
      </c>
      <c r="Y1011" s="259" t="s">
        <v>283</v>
      </c>
    </row>
    <row r="1012" spans="1:25">
      <c r="A1012" s="253">
        <v>19</v>
      </c>
      <c r="B1012" s="254" t="str">
        <f>VLOOKUP(Tabel10[[#This Row],[Code]],Ruimtegroepen[[Code]:[Ruimte omschrijving]],2,FALSE)</f>
        <v>Kleedruimten</v>
      </c>
      <c r="C1012" s="255" t="s">
        <v>1128</v>
      </c>
      <c r="D1012" s="254" t="s">
        <v>12</v>
      </c>
      <c r="E1012" s="255" t="s">
        <v>100</v>
      </c>
      <c r="F1012" s="255" t="s">
        <v>1129</v>
      </c>
      <c r="G1012" s="260" t="s">
        <v>283</v>
      </c>
      <c r="H1012" s="256" t="s">
        <v>283</v>
      </c>
      <c r="I1012" s="256" t="s">
        <v>18</v>
      </c>
      <c r="J1012" s="256" t="s">
        <v>283</v>
      </c>
      <c r="K1012" s="256" t="s">
        <v>18</v>
      </c>
      <c r="L1012" s="256" t="s">
        <v>283</v>
      </c>
      <c r="M1012" s="256" t="s">
        <v>283</v>
      </c>
      <c r="N1012" s="256" t="s">
        <v>283</v>
      </c>
      <c r="O1012" s="257" t="s">
        <v>18</v>
      </c>
      <c r="P1012" s="257" t="s">
        <v>18</v>
      </c>
      <c r="Q1012" s="257" t="s">
        <v>15</v>
      </c>
      <c r="R1012" s="257" t="s">
        <v>15</v>
      </c>
      <c r="S1012" s="257" t="s">
        <v>16</v>
      </c>
      <c r="T1012" s="257" t="s">
        <v>330</v>
      </c>
      <c r="U1012" s="257" t="s">
        <v>250</v>
      </c>
      <c r="V1012" s="257" t="s">
        <v>283</v>
      </c>
      <c r="W1012" s="258" t="s">
        <v>283</v>
      </c>
      <c r="X1012" s="258" t="s">
        <v>283</v>
      </c>
      <c r="Y1012" s="259" t="s">
        <v>283</v>
      </c>
    </row>
    <row r="1013" spans="1:25">
      <c r="A1013" s="253">
        <v>19</v>
      </c>
      <c r="B1013" s="254" t="str">
        <f>VLOOKUP(Tabel10[[#This Row],[Code]],Ruimtegroepen[[Code]:[Ruimte omschrijving]],2,FALSE)</f>
        <v>Kleedruimten</v>
      </c>
      <c r="C1013" s="255" t="s">
        <v>1128</v>
      </c>
      <c r="D1013" s="254" t="s">
        <v>12</v>
      </c>
      <c r="E1013" s="255" t="s">
        <v>99</v>
      </c>
      <c r="F1013" s="255" t="s">
        <v>1130</v>
      </c>
      <c r="G1013" s="260" t="s">
        <v>283</v>
      </c>
      <c r="H1013" s="256" t="s">
        <v>18</v>
      </c>
      <c r="I1013" s="256" t="s">
        <v>283</v>
      </c>
      <c r="J1013" s="256" t="s">
        <v>283</v>
      </c>
      <c r="K1013" s="256" t="s">
        <v>283</v>
      </c>
      <c r="L1013" s="256" t="s">
        <v>283</v>
      </c>
      <c r="M1013" s="256" t="s">
        <v>283</v>
      </c>
      <c r="N1013" s="256" t="s">
        <v>283</v>
      </c>
      <c r="O1013" s="257" t="s">
        <v>18</v>
      </c>
      <c r="P1013" s="257" t="s">
        <v>18</v>
      </c>
      <c r="Q1013" s="257" t="s">
        <v>15</v>
      </c>
      <c r="R1013" s="257" t="s">
        <v>15</v>
      </c>
      <c r="S1013" s="257" t="s">
        <v>16</v>
      </c>
      <c r="T1013" s="257" t="s">
        <v>330</v>
      </c>
      <c r="U1013" s="257" t="s">
        <v>250</v>
      </c>
      <c r="V1013" s="257" t="s">
        <v>283</v>
      </c>
      <c r="W1013" s="258" t="s">
        <v>283</v>
      </c>
      <c r="X1013" s="258" t="s">
        <v>283</v>
      </c>
      <c r="Y1013" s="259" t="s">
        <v>283</v>
      </c>
    </row>
    <row r="1014" spans="1:25">
      <c r="A1014" s="253">
        <v>19</v>
      </c>
      <c r="B1014" s="254" t="str">
        <f>VLOOKUP(Tabel10[[#This Row],[Code]],Ruimtegroepen[[Code]:[Ruimte omschrijving]],2,FALSE)</f>
        <v>Kleedruimten</v>
      </c>
      <c r="C1014" s="255" t="s">
        <v>1128</v>
      </c>
      <c r="D1014" s="254" t="s">
        <v>12</v>
      </c>
      <c r="E1014" s="255" t="s">
        <v>101</v>
      </c>
      <c r="F1014" s="255" t="s">
        <v>1131</v>
      </c>
      <c r="G1014" s="260" t="s">
        <v>283</v>
      </c>
      <c r="H1014" s="256" t="s">
        <v>283</v>
      </c>
      <c r="I1014" s="256" t="s">
        <v>18</v>
      </c>
      <c r="J1014" s="256" t="s">
        <v>283</v>
      </c>
      <c r="K1014" s="256" t="s">
        <v>18</v>
      </c>
      <c r="L1014" s="256" t="s">
        <v>283</v>
      </c>
      <c r="M1014" s="256" t="s">
        <v>283</v>
      </c>
      <c r="N1014" s="256" t="s">
        <v>283</v>
      </c>
      <c r="O1014" s="257" t="s">
        <v>18</v>
      </c>
      <c r="P1014" s="257" t="s">
        <v>18</v>
      </c>
      <c r="Q1014" s="257" t="s">
        <v>15</v>
      </c>
      <c r="R1014" s="257" t="s">
        <v>15</v>
      </c>
      <c r="S1014" s="257" t="s">
        <v>16</v>
      </c>
      <c r="T1014" s="257" t="s">
        <v>330</v>
      </c>
      <c r="U1014" s="257" t="s">
        <v>250</v>
      </c>
      <c r="V1014" s="257" t="s">
        <v>283</v>
      </c>
      <c r="W1014" s="258" t="s">
        <v>283</v>
      </c>
      <c r="X1014" s="258" t="s">
        <v>283</v>
      </c>
      <c r="Y1014" s="259" t="s">
        <v>283</v>
      </c>
    </row>
    <row r="1015" spans="1:25">
      <c r="A1015" s="253">
        <v>19</v>
      </c>
      <c r="B1015" s="254" t="str">
        <f>VLOOKUP(Tabel10[[#This Row],[Code]],Ruimtegroepen[[Code]:[Ruimte omschrijving]],2,FALSE)</f>
        <v>Kleedruimten</v>
      </c>
      <c r="C1015" s="255" t="s">
        <v>1128</v>
      </c>
      <c r="D1015" s="254" t="s">
        <v>12</v>
      </c>
      <c r="E1015" s="255" t="s">
        <v>102</v>
      </c>
      <c r="F1015" s="255" t="s">
        <v>1132</v>
      </c>
      <c r="G1015" s="260" t="s">
        <v>283</v>
      </c>
      <c r="H1015" s="256" t="s">
        <v>283</v>
      </c>
      <c r="I1015" s="256" t="s">
        <v>18</v>
      </c>
      <c r="J1015" s="256" t="s">
        <v>283</v>
      </c>
      <c r="K1015" s="256" t="s">
        <v>18</v>
      </c>
      <c r="L1015" s="256" t="s">
        <v>283</v>
      </c>
      <c r="M1015" s="256" t="s">
        <v>283</v>
      </c>
      <c r="N1015" s="256" t="s">
        <v>283</v>
      </c>
      <c r="O1015" s="257" t="s">
        <v>18</v>
      </c>
      <c r="P1015" s="257" t="s">
        <v>18</v>
      </c>
      <c r="Q1015" s="257" t="s">
        <v>15</v>
      </c>
      <c r="R1015" s="257" t="s">
        <v>15</v>
      </c>
      <c r="S1015" s="257" t="s">
        <v>16</v>
      </c>
      <c r="T1015" s="257" t="s">
        <v>330</v>
      </c>
      <c r="U1015" s="257" t="s">
        <v>250</v>
      </c>
      <c r="V1015" s="257" t="s">
        <v>283</v>
      </c>
      <c r="W1015" s="258" t="s">
        <v>283</v>
      </c>
      <c r="X1015" s="258" t="s">
        <v>283</v>
      </c>
      <c r="Y1015" s="259" t="s">
        <v>283</v>
      </c>
    </row>
    <row r="1016" spans="1:25">
      <c r="A1016" s="253">
        <v>19</v>
      </c>
      <c r="B1016" s="254" t="str">
        <f>VLOOKUP(Tabel10[[#This Row],[Code]],Ruimtegroepen[[Code]:[Ruimte omschrijving]],2,FALSE)</f>
        <v>Kleedruimten</v>
      </c>
      <c r="C1016" s="255" t="s">
        <v>1128</v>
      </c>
      <c r="D1016" s="254" t="s">
        <v>12</v>
      </c>
      <c r="E1016" s="255" t="s">
        <v>99</v>
      </c>
      <c r="F1016" s="255" t="s">
        <v>1130</v>
      </c>
      <c r="G1016" s="260" t="s">
        <v>283</v>
      </c>
      <c r="H1016" s="256" t="s">
        <v>18</v>
      </c>
      <c r="I1016" s="256" t="s">
        <v>283</v>
      </c>
      <c r="J1016" s="256" t="s">
        <v>283</v>
      </c>
      <c r="K1016" s="256" t="s">
        <v>283</v>
      </c>
      <c r="L1016" s="256" t="s">
        <v>283</v>
      </c>
      <c r="M1016" s="256" t="s">
        <v>283</v>
      </c>
      <c r="N1016" s="256" t="s">
        <v>283</v>
      </c>
      <c r="O1016" s="257" t="s">
        <v>18</v>
      </c>
      <c r="P1016" s="257" t="s">
        <v>18</v>
      </c>
      <c r="Q1016" s="257" t="s">
        <v>15</v>
      </c>
      <c r="R1016" s="257" t="s">
        <v>15</v>
      </c>
      <c r="S1016" s="257" t="s">
        <v>16</v>
      </c>
      <c r="T1016" s="257" t="s">
        <v>330</v>
      </c>
      <c r="U1016" s="257" t="s">
        <v>250</v>
      </c>
      <c r="V1016" s="257" t="s">
        <v>283</v>
      </c>
      <c r="W1016" s="258" t="s">
        <v>283</v>
      </c>
      <c r="X1016" s="258" t="s">
        <v>283</v>
      </c>
      <c r="Y1016" s="259" t="s">
        <v>283</v>
      </c>
    </row>
    <row r="1017" spans="1:25">
      <c r="A1017" s="253">
        <v>19</v>
      </c>
      <c r="B1017" s="254" t="str">
        <f>VLOOKUP(Tabel10[[#This Row],[Code]],Ruimtegroepen[[Code]:[Ruimte omschrijving]],2,FALSE)</f>
        <v>Kleedruimten</v>
      </c>
      <c r="C1017" s="255" t="s">
        <v>1128</v>
      </c>
      <c r="D1017" s="254" t="s">
        <v>12</v>
      </c>
      <c r="E1017" s="255" t="s">
        <v>1312</v>
      </c>
      <c r="F1017" s="255" t="s">
        <v>1444</v>
      </c>
      <c r="G1017" s="260" t="s">
        <v>283</v>
      </c>
      <c r="H1017" s="256" t="s">
        <v>283</v>
      </c>
      <c r="I1017" s="256" t="s">
        <v>18</v>
      </c>
      <c r="J1017" s="256" t="s">
        <v>283</v>
      </c>
      <c r="K1017" s="256" t="s">
        <v>18</v>
      </c>
      <c r="L1017" s="256" t="s">
        <v>283</v>
      </c>
      <c r="M1017" s="256" t="s">
        <v>283</v>
      </c>
      <c r="N1017" s="256" t="s">
        <v>283</v>
      </c>
      <c r="O1017" s="257" t="s">
        <v>18</v>
      </c>
      <c r="P1017" s="257" t="s">
        <v>18</v>
      </c>
      <c r="Q1017" s="257" t="s">
        <v>15</v>
      </c>
      <c r="R1017" s="257" t="s">
        <v>15</v>
      </c>
      <c r="S1017" s="257" t="s">
        <v>16</v>
      </c>
      <c r="T1017" s="257" t="s">
        <v>330</v>
      </c>
      <c r="U1017" s="257" t="s">
        <v>250</v>
      </c>
      <c r="V1017" s="257" t="s">
        <v>283</v>
      </c>
      <c r="W1017" s="258" t="s">
        <v>283</v>
      </c>
      <c r="X1017" s="258" t="s">
        <v>283</v>
      </c>
      <c r="Y1017" s="259" t="s">
        <v>283</v>
      </c>
    </row>
    <row r="1018" spans="1:25">
      <c r="A1018" s="253">
        <v>19</v>
      </c>
      <c r="B1018" s="254" t="str">
        <f>VLOOKUP(Tabel10[[#This Row],[Code]],Ruimtegroepen[[Code]:[Ruimte omschrijving]],2,FALSE)</f>
        <v>Kleedruimten</v>
      </c>
      <c r="C1018" s="255" t="s">
        <v>1133</v>
      </c>
      <c r="D1018" s="254" t="s">
        <v>14</v>
      </c>
      <c r="E1018" s="255" t="s">
        <v>100</v>
      </c>
      <c r="F1018" s="255" t="s">
        <v>1134</v>
      </c>
      <c r="G1018" s="260" t="s">
        <v>283</v>
      </c>
      <c r="H1018" s="256" t="s">
        <v>283</v>
      </c>
      <c r="I1018" s="256" t="s">
        <v>17</v>
      </c>
      <c r="J1018" s="256" t="s">
        <v>283</v>
      </c>
      <c r="K1018" s="256" t="s">
        <v>17</v>
      </c>
      <c r="L1018" s="256" t="s">
        <v>283</v>
      </c>
      <c r="M1018" s="256" t="s">
        <v>283</v>
      </c>
      <c r="N1018" s="256" t="s">
        <v>283</v>
      </c>
      <c r="O1018" s="257" t="s">
        <v>17</v>
      </c>
      <c r="P1018" s="257" t="s">
        <v>17</v>
      </c>
      <c r="Q1018" s="257" t="s">
        <v>15</v>
      </c>
      <c r="R1018" s="257" t="s">
        <v>15</v>
      </c>
      <c r="S1018" s="257" t="s">
        <v>16</v>
      </c>
      <c r="T1018" s="257" t="s">
        <v>330</v>
      </c>
      <c r="U1018" s="257" t="s">
        <v>250</v>
      </c>
      <c r="V1018" s="257" t="s">
        <v>283</v>
      </c>
      <c r="W1018" s="258" t="s">
        <v>283</v>
      </c>
      <c r="X1018" s="258" t="s">
        <v>283</v>
      </c>
      <c r="Y1018" s="259" t="s">
        <v>283</v>
      </c>
    </row>
    <row r="1019" spans="1:25">
      <c r="A1019" s="253">
        <v>19</v>
      </c>
      <c r="B1019" s="254" t="str">
        <f>VLOOKUP(Tabel10[[#This Row],[Code]],Ruimtegroepen[[Code]:[Ruimte omschrijving]],2,FALSE)</f>
        <v>Kleedruimten</v>
      </c>
      <c r="C1019" s="255" t="s">
        <v>1133</v>
      </c>
      <c r="D1019" s="254" t="s">
        <v>14</v>
      </c>
      <c r="E1019" s="255" t="s">
        <v>99</v>
      </c>
      <c r="F1019" s="255" t="s">
        <v>1135</v>
      </c>
      <c r="G1019" s="260" t="s">
        <v>283</v>
      </c>
      <c r="H1019" s="256" t="s">
        <v>17</v>
      </c>
      <c r="I1019" s="256" t="s">
        <v>283</v>
      </c>
      <c r="J1019" s="256" t="s">
        <v>283</v>
      </c>
      <c r="K1019" s="256" t="s">
        <v>283</v>
      </c>
      <c r="L1019" s="256" t="s">
        <v>283</v>
      </c>
      <c r="M1019" s="256" t="s">
        <v>283</v>
      </c>
      <c r="N1019" s="256" t="s">
        <v>283</v>
      </c>
      <c r="O1019" s="257" t="s">
        <v>17</v>
      </c>
      <c r="P1019" s="257" t="s">
        <v>17</v>
      </c>
      <c r="Q1019" s="257" t="s">
        <v>15</v>
      </c>
      <c r="R1019" s="257" t="s">
        <v>15</v>
      </c>
      <c r="S1019" s="257" t="s">
        <v>16</v>
      </c>
      <c r="T1019" s="257" t="s">
        <v>330</v>
      </c>
      <c r="U1019" s="257" t="s">
        <v>250</v>
      </c>
      <c r="V1019" s="257" t="s">
        <v>283</v>
      </c>
      <c r="W1019" s="258" t="s">
        <v>283</v>
      </c>
      <c r="X1019" s="258" t="s">
        <v>283</v>
      </c>
      <c r="Y1019" s="259" t="s">
        <v>283</v>
      </c>
    </row>
    <row r="1020" spans="1:25">
      <c r="A1020" s="253">
        <v>19</v>
      </c>
      <c r="B1020" s="254" t="str">
        <f>VLOOKUP(Tabel10[[#This Row],[Code]],Ruimtegroepen[[Code]:[Ruimte omschrijving]],2,FALSE)</f>
        <v>Kleedruimten</v>
      </c>
      <c r="C1020" s="255" t="s">
        <v>1133</v>
      </c>
      <c r="D1020" s="254" t="s">
        <v>14</v>
      </c>
      <c r="E1020" s="255" t="s">
        <v>101</v>
      </c>
      <c r="F1020" s="255" t="s">
        <v>1136</v>
      </c>
      <c r="G1020" s="260" t="s">
        <v>283</v>
      </c>
      <c r="H1020" s="256" t="s">
        <v>283</v>
      </c>
      <c r="I1020" s="256" t="s">
        <v>17</v>
      </c>
      <c r="J1020" s="256" t="s">
        <v>283</v>
      </c>
      <c r="K1020" s="256" t="s">
        <v>17</v>
      </c>
      <c r="L1020" s="256" t="s">
        <v>283</v>
      </c>
      <c r="M1020" s="256" t="s">
        <v>283</v>
      </c>
      <c r="N1020" s="256" t="s">
        <v>283</v>
      </c>
      <c r="O1020" s="257" t="s">
        <v>17</v>
      </c>
      <c r="P1020" s="257" t="s">
        <v>17</v>
      </c>
      <c r="Q1020" s="257" t="s">
        <v>15</v>
      </c>
      <c r="R1020" s="257" t="s">
        <v>15</v>
      </c>
      <c r="S1020" s="257" t="s">
        <v>16</v>
      </c>
      <c r="T1020" s="257" t="s">
        <v>330</v>
      </c>
      <c r="U1020" s="257" t="s">
        <v>250</v>
      </c>
      <c r="V1020" s="257" t="s">
        <v>283</v>
      </c>
      <c r="W1020" s="258" t="s">
        <v>283</v>
      </c>
      <c r="X1020" s="258" t="s">
        <v>283</v>
      </c>
      <c r="Y1020" s="259" t="s">
        <v>283</v>
      </c>
    </row>
    <row r="1021" spans="1:25">
      <c r="A1021" s="253">
        <v>19</v>
      </c>
      <c r="B1021" s="254" t="str">
        <f>VLOOKUP(Tabel10[[#This Row],[Code]],Ruimtegroepen[[Code]:[Ruimte omschrijving]],2,FALSE)</f>
        <v>Kleedruimten</v>
      </c>
      <c r="C1021" s="255" t="s">
        <v>1133</v>
      </c>
      <c r="D1021" s="254" t="s">
        <v>14</v>
      </c>
      <c r="E1021" s="255" t="s">
        <v>102</v>
      </c>
      <c r="F1021" s="255" t="s">
        <v>1137</v>
      </c>
      <c r="G1021" s="260" t="s">
        <v>283</v>
      </c>
      <c r="H1021" s="256" t="s">
        <v>283</v>
      </c>
      <c r="I1021" s="256" t="s">
        <v>17</v>
      </c>
      <c r="J1021" s="256" t="s">
        <v>283</v>
      </c>
      <c r="K1021" s="256" t="s">
        <v>17</v>
      </c>
      <c r="L1021" s="256" t="s">
        <v>283</v>
      </c>
      <c r="M1021" s="256" t="s">
        <v>283</v>
      </c>
      <c r="N1021" s="256" t="s">
        <v>283</v>
      </c>
      <c r="O1021" s="257" t="s">
        <v>17</v>
      </c>
      <c r="P1021" s="257" t="s">
        <v>17</v>
      </c>
      <c r="Q1021" s="257" t="s">
        <v>15</v>
      </c>
      <c r="R1021" s="257" t="s">
        <v>15</v>
      </c>
      <c r="S1021" s="257" t="s">
        <v>16</v>
      </c>
      <c r="T1021" s="257" t="s">
        <v>330</v>
      </c>
      <c r="U1021" s="257" t="s">
        <v>250</v>
      </c>
      <c r="V1021" s="257" t="s">
        <v>283</v>
      </c>
      <c r="W1021" s="258" t="s">
        <v>283</v>
      </c>
      <c r="X1021" s="258" t="s">
        <v>283</v>
      </c>
      <c r="Y1021" s="259" t="s">
        <v>283</v>
      </c>
    </row>
    <row r="1022" spans="1:25">
      <c r="A1022" s="253">
        <v>19</v>
      </c>
      <c r="B1022" s="254" t="str">
        <f>VLOOKUP(Tabel10[[#This Row],[Code]],Ruimtegroepen[[Code]:[Ruimte omschrijving]],2,FALSE)</f>
        <v>Kleedruimten</v>
      </c>
      <c r="C1022" s="255" t="s">
        <v>1133</v>
      </c>
      <c r="D1022" s="254" t="s">
        <v>14</v>
      </c>
      <c r="E1022" s="255" t="s">
        <v>99</v>
      </c>
      <c r="F1022" s="255" t="s">
        <v>1135</v>
      </c>
      <c r="G1022" s="260" t="s">
        <v>283</v>
      </c>
      <c r="H1022" s="256" t="s">
        <v>17</v>
      </c>
      <c r="I1022" s="256" t="s">
        <v>283</v>
      </c>
      <c r="J1022" s="256" t="s">
        <v>283</v>
      </c>
      <c r="K1022" s="256" t="s">
        <v>283</v>
      </c>
      <c r="L1022" s="256" t="s">
        <v>283</v>
      </c>
      <c r="M1022" s="256" t="s">
        <v>283</v>
      </c>
      <c r="N1022" s="256" t="s">
        <v>283</v>
      </c>
      <c r="O1022" s="257" t="s">
        <v>17</v>
      </c>
      <c r="P1022" s="257" t="s">
        <v>17</v>
      </c>
      <c r="Q1022" s="257" t="s">
        <v>15</v>
      </c>
      <c r="R1022" s="257" t="s">
        <v>15</v>
      </c>
      <c r="S1022" s="257" t="s">
        <v>16</v>
      </c>
      <c r="T1022" s="257" t="s">
        <v>330</v>
      </c>
      <c r="U1022" s="257" t="s">
        <v>250</v>
      </c>
      <c r="V1022" s="257" t="s">
        <v>283</v>
      </c>
      <c r="W1022" s="258" t="s">
        <v>283</v>
      </c>
      <c r="X1022" s="258" t="s">
        <v>283</v>
      </c>
      <c r="Y1022" s="259" t="s">
        <v>283</v>
      </c>
    </row>
    <row r="1023" spans="1:25">
      <c r="A1023" s="253">
        <v>19</v>
      </c>
      <c r="B1023" s="254" t="str">
        <f>VLOOKUP(Tabel10[[#This Row],[Code]],Ruimtegroepen[[Code]:[Ruimte omschrijving]],2,FALSE)</f>
        <v>Kleedruimten</v>
      </c>
      <c r="C1023" s="255" t="s">
        <v>1133</v>
      </c>
      <c r="D1023" s="254" t="s">
        <v>14</v>
      </c>
      <c r="E1023" s="255" t="s">
        <v>1312</v>
      </c>
      <c r="F1023" s="255" t="s">
        <v>1411</v>
      </c>
      <c r="G1023" s="260" t="s">
        <v>283</v>
      </c>
      <c r="H1023" s="256" t="s">
        <v>283</v>
      </c>
      <c r="I1023" s="256" t="s">
        <v>17</v>
      </c>
      <c r="J1023" s="256" t="s">
        <v>283</v>
      </c>
      <c r="K1023" s="256" t="s">
        <v>17</v>
      </c>
      <c r="L1023" s="256" t="s">
        <v>283</v>
      </c>
      <c r="M1023" s="256" t="s">
        <v>283</v>
      </c>
      <c r="N1023" s="256" t="s">
        <v>283</v>
      </c>
      <c r="O1023" s="257" t="s">
        <v>17</v>
      </c>
      <c r="P1023" s="257" t="s">
        <v>17</v>
      </c>
      <c r="Q1023" s="257" t="s">
        <v>15</v>
      </c>
      <c r="R1023" s="257" t="s">
        <v>15</v>
      </c>
      <c r="S1023" s="257" t="s">
        <v>16</v>
      </c>
      <c r="T1023" s="257" t="s">
        <v>330</v>
      </c>
      <c r="U1023" s="257" t="s">
        <v>250</v>
      </c>
      <c r="V1023" s="257" t="s">
        <v>283</v>
      </c>
      <c r="W1023" s="258" t="s">
        <v>283</v>
      </c>
      <c r="X1023" s="258" t="s">
        <v>283</v>
      </c>
      <c r="Y1023" s="259" t="s">
        <v>283</v>
      </c>
    </row>
    <row r="1024" spans="1:25">
      <c r="A1024" s="253">
        <v>19</v>
      </c>
      <c r="B1024" s="254" t="str">
        <f>VLOOKUP(Tabel10[[#This Row],[Code]],Ruimtegroepen[[Code]:[Ruimte omschrijving]],2,FALSE)</f>
        <v>Kleedruimten</v>
      </c>
      <c r="C1024" s="255" t="s">
        <v>1138</v>
      </c>
      <c r="D1024" s="254" t="s">
        <v>13</v>
      </c>
      <c r="E1024" s="255" t="s">
        <v>100</v>
      </c>
      <c r="F1024" s="255" t="s">
        <v>1139</v>
      </c>
      <c r="G1024" s="260" t="s">
        <v>283</v>
      </c>
      <c r="H1024" s="256" t="s">
        <v>283</v>
      </c>
      <c r="I1024" s="256" t="s">
        <v>15</v>
      </c>
      <c r="J1024" s="256" t="s">
        <v>283</v>
      </c>
      <c r="K1024" s="256" t="s">
        <v>15</v>
      </c>
      <c r="L1024" s="256" t="s">
        <v>283</v>
      </c>
      <c r="M1024" s="256" t="s">
        <v>283</v>
      </c>
      <c r="N1024" s="256" t="s">
        <v>283</v>
      </c>
      <c r="O1024" s="257" t="s">
        <v>15</v>
      </c>
      <c r="P1024" s="257" t="s">
        <v>15</v>
      </c>
      <c r="Q1024" s="257" t="s">
        <v>15</v>
      </c>
      <c r="R1024" s="257" t="s">
        <v>15</v>
      </c>
      <c r="S1024" s="257" t="s">
        <v>16</v>
      </c>
      <c r="T1024" s="257" t="s">
        <v>330</v>
      </c>
      <c r="U1024" s="257" t="s">
        <v>250</v>
      </c>
      <c r="V1024" s="257" t="s">
        <v>283</v>
      </c>
      <c r="W1024" s="258" t="s">
        <v>283</v>
      </c>
      <c r="X1024" s="258" t="s">
        <v>283</v>
      </c>
      <c r="Y1024" s="259" t="s">
        <v>283</v>
      </c>
    </row>
    <row r="1025" spans="1:25">
      <c r="A1025" s="253">
        <v>19</v>
      </c>
      <c r="B1025" s="254" t="str">
        <f>VLOOKUP(Tabel10[[#This Row],[Code]],Ruimtegroepen[[Code]:[Ruimte omschrijving]],2,FALSE)</f>
        <v>Kleedruimten</v>
      </c>
      <c r="C1025" s="255" t="s">
        <v>1138</v>
      </c>
      <c r="D1025" s="254" t="s">
        <v>13</v>
      </c>
      <c r="E1025" s="255" t="s">
        <v>99</v>
      </c>
      <c r="F1025" s="255" t="s">
        <v>1140</v>
      </c>
      <c r="G1025" s="260" t="s">
        <v>283</v>
      </c>
      <c r="H1025" s="256" t="s">
        <v>15</v>
      </c>
      <c r="I1025" s="256" t="s">
        <v>283</v>
      </c>
      <c r="J1025" s="256" t="s">
        <v>283</v>
      </c>
      <c r="K1025" s="256" t="s">
        <v>283</v>
      </c>
      <c r="L1025" s="256" t="s">
        <v>283</v>
      </c>
      <c r="M1025" s="256" t="s">
        <v>283</v>
      </c>
      <c r="N1025" s="256" t="s">
        <v>283</v>
      </c>
      <c r="O1025" s="257" t="s">
        <v>15</v>
      </c>
      <c r="P1025" s="257" t="s">
        <v>15</v>
      </c>
      <c r="Q1025" s="257" t="s">
        <v>15</v>
      </c>
      <c r="R1025" s="257" t="s">
        <v>15</v>
      </c>
      <c r="S1025" s="257" t="s">
        <v>16</v>
      </c>
      <c r="T1025" s="257" t="s">
        <v>330</v>
      </c>
      <c r="U1025" s="257" t="s">
        <v>250</v>
      </c>
      <c r="V1025" s="257" t="s">
        <v>283</v>
      </c>
      <c r="W1025" s="258" t="s">
        <v>283</v>
      </c>
      <c r="X1025" s="258" t="s">
        <v>283</v>
      </c>
      <c r="Y1025" s="259" t="s">
        <v>283</v>
      </c>
    </row>
    <row r="1026" spans="1:25">
      <c r="A1026" s="253">
        <v>19</v>
      </c>
      <c r="B1026" s="254" t="str">
        <f>VLOOKUP(Tabel10[[#This Row],[Code]],Ruimtegroepen[[Code]:[Ruimte omschrijving]],2,FALSE)</f>
        <v>Kleedruimten</v>
      </c>
      <c r="C1026" s="255" t="s">
        <v>1138</v>
      </c>
      <c r="D1026" s="254" t="s">
        <v>13</v>
      </c>
      <c r="E1026" s="255" t="s">
        <v>101</v>
      </c>
      <c r="F1026" s="255" t="s">
        <v>1141</v>
      </c>
      <c r="G1026" s="260" t="s">
        <v>283</v>
      </c>
      <c r="H1026" s="256" t="s">
        <v>283</v>
      </c>
      <c r="I1026" s="256" t="s">
        <v>15</v>
      </c>
      <c r="J1026" s="256" t="s">
        <v>283</v>
      </c>
      <c r="K1026" s="256" t="s">
        <v>15</v>
      </c>
      <c r="L1026" s="256" t="s">
        <v>283</v>
      </c>
      <c r="M1026" s="256" t="s">
        <v>283</v>
      </c>
      <c r="N1026" s="256" t="s">
        <v>283</v>
      </c>
      <c r="O1026" s="257" t="s">
        <v>15</v>
      </c>
      <c r="P1026" s="257" t="s">
        <v>15</v>
      </c>
      <c r="Q1026" s="257" t="s">
        <v>15</v>
      </c>
      <c r="R1026" s="257" t="s">
        <v>15</v>
      </c>
      <c r="S1026" s="257" t="s">
        <v>16</v>
      </c>
      <c r="T1026" s="257" t="s">
        <v>330</v>
      </c>
      <c r="U1026" s="257" t="s">
        <v>250</v>
      </c>
      <c r="V1026" s="257" t="s">
        <v>283</v>
      </c>
      <c r="W1026" s="258" t="s">
        <v>283</v>
      </c>
      <c r="X1026" s="258" t="s">
        <v>283</v>
      </c>
      <c r="Y1026" s="259" t="s">
        <v>283</v>
      </c>
    </row>
    <row r="1027" spans="1:25">
      <c r="A1027" s="253">
        <v>19</v>
      </c>
      <c r="B1027" s="254" t="str">
        <f>VLOOKUP(Tabel10[[#This Row],[Code]],Ruimtegroepen[[Code]:[Ruimte omschrijving]],2,FALSE)</f>
        <v>Kleedruimten</v>
      </c>
      <c r="C1027" s="255" t="s">
        <v>1138</v>
      </c>
      <c r="D1027" s="254" t="s">
        <v>13</v>
      </c>
      <c r="E1027" s="255" t="s">
        <v>102</v>
      </c>
      <c r="F1027" s="255" t="s">
        <v>1142</v>
      </c>
      <c r="G1027" s="260" t="s">
        <v>283</v>
      </c>
      <c r="H1027" s="256" t="s">
        <v>283</v>
      </c>
      <c r="I1027" s="256" t="s">
        <v>15</v>
      </c>
      <c r="J1027" s="256" t="s">
        <v>283</v>
      </c>
      <c r="K1027" s="256" t="s">
        <v>15</v>
      </c>
      <c r="L1027" s="256" t="s">
        <v>283</v>
      </c>
      <c r="M1027" s="256" t="s">
        <v>283</v>
      </c>
      <c r="N1027" s="256" t="s">
        <v>283</v>
      </c>
      <c r="O1027" s="257" t="s">
        <v>15</v>
      </c>
      <c r="P1027" s="257" t="s">
        <v>15</v>
      </c>
      <c r="Q1027" s="257" t="s">
        <v>15</v>
      </c>
      <c r="R1027" s="257" t="s">
        <v>15</v>
      </c>
      <c r="S1027" s="257" t="s">
        <v>16</v>
      </c>
      <c r="T1027" s="257" t="s">
        <v>330</v>
      </c>
      <c r="U1027" s="257" t="s">
        <v>250</v>
      </c>
      <c r="V1027" s="257" t="s">
        <v>283</v>
      </c>
      <c r="W1027" s="258" t="s">
        <v>283</v>
      </c>
      <c r="X1027" s="258" t="s">
        <v>283</v>
      </c>
      <c r="Y1027" s="259" t="s">
        <v>283</v>
      </c>
    </row>
    <row r="1028" spans="1:25">
      <c r="A1028" s="253">
        <v>19</v>
      </c>
      <c r="B1028" s="254" t="str">
        <f>VLOOKUP(Tabel10[[#This Row],[Code]],Ruimtegroepen[[Code]:[Ruimte omschrijving]],2,FALSE)</f>
        <v>Kleedruimten</v>
      </c>
      <c r="C1028" s="255" t="s">
        <v>1138</v>
      </c>
      <c r="D1028" s="254" t="s">
        <v>13</v>
      </c>
      <c r="E1028" s="255" t="s">
        <v>99</v>
      </c>
      <c r="F1028" s="255" t="s">
        <v>1140</v>
      </c>
      <c r="G1028" s="260" t="s">
        <v>283</v>
      </c>
      <c r="H1028" s="256" t="s">
        <v>15</v>
      </c>
      <c r="I1028" s="256" t="s">
        <v>283</v>
      </c>
      <c r="J1028" s="256" t="s">
        <v>283</v>
      </c>
      <c r="K1028" s="256" t="s">
        <v>283</v>
      </c>
      <c r="L1028" s="256" t="s">
        <v>283</v>
      </c>
      <c r="M1028" s="256" t="s">
        <v>283</v>
      </c>
      <c r="N1028" s="256" t="s">
        <v>283</v>
      </c>
      <c r="O1028" s="257" t="s">
        <v>15</v>
      </c>
      <c r="P1028" s="257" t="s">
        <v>15</v>
      </c>
      <c r="Q1028" s="257" t="s">
        <v>15</v>
      </c>
      <c r="R1028" s="257" t="s">
        <v>15</v>
      </c>
      <c r="S1028" s="257" t="s">
        <v>16</v>
      </c>
      <c r="T1028" s="257" t="s">
        <v>330</v>
      </c>
      <c r="U1028" s="257" t="s">
        <v>250</v>
      </c>
      <c r="V1028" s="257" t="s">
        <v>283</v>
      </c>
      <c r="W1028" s="258" t="s">
        <v>283</v>
      </c>
      <c r="X1028" s="258" t="s">
        <v>283</v>
      </c>
      <c r="Y1028" s="259" t="s">
        <v>283</v>
      </c>
    </row>
    <row r="1029" spans="1:25">
      <c r="A1029" s="253">
        <v>19</v>
      </c>
      <c r="B1029" s="254" t="str">
        <f>VLOOKUP(Tabel10[[#This Row],[Code]],Ruimtegroepen[[Code]:[Ruimte omschrijving]],2,FALSE)</f>
        <v>Kleedruimten</v>
      </c>
      <c r="C1029" s="255" t="s">
        <v>1138</v>
      </c>
      <c r="D1029" s="254" t="s">
        <v>13</v>
      </c>
      <c r="E1029" s="255" t="s">
        <v>1312</v>
      </c>
      <c r="F1029" s="255" t="s">
        <v>1378</v>
      </c>
      <c r="G1029" s="260" t="s">
        <v>283</v>
      </c>
      <c r="H1029" s="256" t="s">
        <v>283</v>
      </c>
      <c r="I1029" s="256" t="s">
        <v>15</v>
      </c>
      <c r="J1029" s="256" t="s">
        <v>283</v>
      </c>
      <c r="K1029" s="256" t="s">
        <v>15</v>
      </c>
      <c r="L1029" s="256" t="s">
        <v>283</v>
      </c>
      <c r="M1029" s="256" t="s">
        <v>283</v>
      </c>
      <c r="N1029" s="256" t="s">
        <v>283</v>
      </c>
      <c r="O1029" s="257" t="s">
        <v>15</v>
      </c>
      <c r="P1029" s="257" t="s">
        <v>15</v>
      </c>
      <c r="Q1029" s="257" t="s">
        <v>15</v>
      </c>
      <c r="R1029" s="257" t="s">
        <v>15</v>
      </c>
      <c r="S1029" s="257" t="s">
        <v>16</v>
      </c>
      <c r="T1029" s="257" t="s">
        <v>330</v>
      </c>
      <c r="U1029" s="257" t="s">
        <v>250</v>
      </c>
      <c r="V1029" s="257" t="s">
        <v>283</v>
      </c>
      <c r="W1029" s="258" t="s">
        <v>283</v>
      </c>
      <c r="X1029" s="258" t="s">
        <v>283</v>
      </c>
      <c r="Y1029" s="259" t="s">
        <v>283</v>
      </c>
    </row>
    <row r="1030" spans="1:25">
      <c r="A1030" s="253">
        <v>19</v>
      </c>
      <c r="B1030" s="254" t="str">
        <f>VLOOKUP(Tabel10[[#This Row],[Code]],Ruimtegroepen[[Code]:[Ruimte omschrijving]],2,FALSE)</f>
        <v>Kleedruimten</v>
      </c>
      <c r="C1030" s="255" t="s">
        <v>1143</v>
      </c>
      <c r="D1030" s="254" t="s">
        <v>0</v>
      </c>
      <c r="E1030" s="255" t="s">
        <v>100</v>
      </c>
      <c r="F1030" s="255" t="s">
        <v>1144</v>
      </c>
      <c r="G1030" s="260" t="s">
        <v>283</v>
      </c>
      <c r="H1030" s="256" t="s">
        <v>283</v>
      </c>
      <c r="I1030" s="256" t="s">
        <v>16</v>
      </c>
      <c r="J1030" s="256" t="s">
        <v>283</v>
      </c>
      <c r="K1030" s="256" t="s">
        <v>16</v>
      </c>
      <c r="L1030" s="256" t="s">
        <v>283</v>
      </c>
      <c r="M1030" s="256" t="s">
        <v>283</v>
      </c>
      <c r="N1030" s="256" t="s">
        <v>283</v>
      </c>
      <c r="O1030" s="257" t="s">
        <v>16</v>
      </c>
      <c r="P1030" s="257" t="s">
        <v>16</v>
      </c>
      <c r="Q1030" s="257" t="s">
        <v>16</v>
      </c>
      <c r="R1030" s="257" t="s">
        <v>16</v>
      </c>
      <c r="S1030" s="257" t="s">
        <v>16</v>
      </c>
      <c r="T1030" s="257" t="s">
        <v>330</v>
      </c>
      <c r="U1030" s="257" t="s">
        <v>250</v>
      </c>
      <c r="V1030" s="257" t="s">
        <v>283</v>
      </c>
      <c r="W1030" s="258" t="s">
        <v>283</v>
      </c>
      <c r="X1030" s="258" t="s">
        <v>283</v>
      </c>
      <c r="Y1030" s="259" t="s">
        <v>283</v>
      </c>
    </row>
    <row r="1031" spans="1:25">
      <c r="A1031" s="253">
        <v>19</v>
      </c>
      <c r="B1031" s="254" t="str">
        <f>VLOOKUP(Tabel10[[#This Row],[Code]],Ruimtegroepen[[Code]:[Ruimte omschrijving]],2,FALSE)</f>
        <v>Kleedruimten</v>
      </c>
      <c r="C1031" s="255" t="s">
        <v>1143</v>
      </c>
      <c r="D1031" s="254" t="s">
        <v>0</v>
      </c>
      <c r="E1031" s="255" t="s">
        <v>99</v>
      </c>
      <c r="F1031" s="255" t="s">
        <v>1145</v>
      </c>
      <c r="G1031" s="260" t="s">
        <v>283</v>
      </c>
      <c r="H1031" s="256" t="s">
        <v>16</v>
      </c>
      <c r="I1031" s="256" t="s">
        <v>283</v>
      </c>
      <c r="J1031" s="256" t="s">
        <v>283</v>
      </c>
      <c r="K1031" s="256" t="s">
        <v>283</v>
      </c>
      <c r="L1031" s="256" t="s">
        <v>283</v>
      </c>
      <c r="M1031" s="256" t="s">
        <v>283</v>
      </c>
      <c r="N1031" s="256" t="s">
        <v>283</v>
      </c>
      <c r="O1031" s="257" t="s">
        <v>16</v>
      </c>
      <c r="P1031" s="257" t="s">
        <v>16</v>
      </c>
      <c r="Q1031" s="257" t="s">
        <v>16</v>
      </c>
      <c r="R1031" s="257" t="s">
        <v>16</v>
      </c>
      <c r="S1031" s="257" t="s">
        <v>16</v>
      </c>
      <c r="T1031" s="257" t="s">
        <v>330</v>
      </c>
      <c r="U1031" s="257" t="s">
        <v>250</v>
      </c>
      <c r="V1031" s="257" t="s">
        <v>283</v>
      </c>
      <c r="W1031" s="258" t="s">
        <v>283</v>
      </c>
      <c r="X1031" s="258" t="s">
        <v>283</v>
      </c>
      <c r="Y1031" s="259" t="s">
        <v>283</v>
      </c>
    </row>
    <row r="1032" spans="1:25">
      <c r="A1032" s="253">
        <v>19</v>
      </c>
      <c r="B1032" s="254" t="str">
        <f>VLOOKUP(Tabel10[[#This Row],[Code]],Ruimtegroepen[[Code]:[Ruimte omschrijving]],2,FALSE)</f>
        <v>Kleedruimten</v>
      </c>
      <c r="C1032" s="255" t="s">
        <v>1143</v>
      </c>
      <c r="D1032" s="254" t="s">
        <v>0</v>
      </c>
      <c r="E1032" s="255" t="s">
        <v>101</v>
      </c>
      <c r="F1032" s="255" t="s">
        <v>1146</v>
      </c>
      <c r="G1032" s="260" t="s">
        <v>283</v>
      </c>
      <c r="H1032" s="256" t="s">
        <v>283</v>
      </c>
      <c r="I1032" s="256" t="s">
        <v>16</v>
      </c>
      <c r="J1032" s="256" t="s">
        <v>362</v>
      </c>
      <c r="K1032" s="256" t="s">
        <v>16</v>
      </c>
      <c r="L1032" s="256" t="s">
        <v>283</v>
      </c>
      <c r="M1032" s="256" t="s">
        <v>283</v>
      </c>
      <c r="N1032" s="256" t="s">
        <v>283</v>
      </c>
      <c r="O1032" s="257" t="s">
        <v>16</v>
      </c>
      <c r="P1032" s="257" t="s">
        <v>16</v>
      </c>
      <c r="Q1032" s="257" t="s">
        <v>16</v>
      </c>
      <c r="R1032" s="257" t="s">
        <v>16</v>
      </c>
      <c r="S1032" s="257" t="s">
        <v>16</v>
      </c>
      <c r="T1032" s="257" t="s">
        <v>330</v>
      </c>
      <c r="U1032" s="257" t="s">
        <v>250</v>
      </c>
      <c r="V1032" s="257" t="s">
        <v>283</v>
      </c>
      <c r="W1032" s="258" t="s">
        <v>283</v>
      </c>
      <c r="X1032" s="258" t="s">
        <v>283</v>
      </c>
      <c r="Y1032" s="259" t="s">
        <v>283</v>
      </c>
    </row>
    <row r="1033" spans="1:25">
      <c r="A1033" s="253">
        <v>19</v>
      </c>
      <c r="B1033" s="254" t="str">
        <f>VLOOKUP(Tabel10[[#This Row],[Code]],Ruimtegroepen[[Code]:[Ruimte omschrijving]],2,FALSE)</f>
        <v>Kleedruimten</v>
      </c>
      <c r="C1033" s="255" t="s">
        <v>1143</v>
      </c>
      <c r="D1033" s="254" t="s">
        <v>0</v>
      </c>
      <c r="E1033" s="255" t="s">
        <v>102</v>
      </c>
      <c r="F1033" s="255" t="s">
        <v>1147</v>
      </c>
      <c r="G1033" s="260" t="s">
        <v>283</v>
      </c>
      <c r="H1033" s="256" t="s">
        <v>283</v>
      </c>
      <c r="I1033" s="256" t="s">
        <v>16</v>
      </c>
      <c r="J1033" s="256" t="s">
        <v>283</v>
      </c>
      <c r="K1033" s="256" t="s">
        <v>16</v>
      </c>
      <c r="L1033" s="256" t="s">
        <v>283</v>
      </c>
      <c r="M1033" s="256" t="s">
        <v>283</v>
      </c>
      <c r="N1033" s="256" t="s">
        <v>283</v>
      </c>
      <c r="O1033" s="257" t="s">
        <v>16</v>
      </c>
      <c r="P1033" s="257" t="s">
        <v>16</v>
      </c>
      <c r="Q1033" s="257" t="s">
        <v>16</v>
      </c>
      <c r="R1033" s="257" t="s">
        <v>16</v>
      </c>
      <c r="S1033" s="257" t="s">
        <v>16</v>
      </c>
      <c r="T1033" s="257" t="s">
        <v>330</v>
      </c>
      <c r="U1033" s="257" t="s">
        <v>250</v>
      </c>
      <c r="V1033" s="257" t="s">
        <v>283</v>
      </c>
      <c r="W1033" s="258" t="s">
        <v>283</v>
      </c>
      <c r="X1033" s="258" t="s">
        <v>283</v>
      </c>
      <c r="Y1033" s="259" t="s">
        <v>283</v>
      </c>
    </row>
    <row r="1034" spans="1:25">
      <c r="A1034" s="253">
        <v>19</v>
      </c>
      <c r="B1034" s="254" t="str">
        <f>VLOOKUP(Tabel10[[#This Row],[Code]],Ruimtegroepen[[Code]:[Ruimte omschrijving]],2,FALSE)</f>
        <v>Kleedruimten</v>
      </c>
      <c r="C1034" s="255" t="s">
        <v>1143</v>
      </c>
      <c r="D1034" s="254" t="s">
        <v>0</v>
      </c>
      <c r="E1034" s="255" t="s">
        <v>99</v>
      </c>
      <c r="F1034" s="255" t="s">
        <v>1145</v>
      </c>
      <c r="G1034" s="260" t="s">
        <v>283</v>
      </c>
      <c r="H1034" s="256" t="s">
        <v>16</v>
      </c>
      <c r="I1034" s="256" t="s">
        <v>283</v>
      </c>
      <c r="J1034" s="256" t="s">
        <v>283</v>
      </c>
      <c r="K1034" s="256" t="s">
        <v>283</v>
      </c>
      <c r="L1034" s="256" t="s">
        <v>283</v>
      </c>
      <c r="M1034" s="256" t="s">
        <v>283</v>
      </c>
      <c r="N1034" s="256" t="s">
        <v>283</v>
      </c>
      <c r="O1034" s="257" t="s">
        <v>16</v>
      </c>
      <c r="P1034" s="257" t="s">
        <v>16</v>
      </c>
      <c r="Q1034" s="257" t="s">
        <v>16</v>
      </c>
      <c r="R1034" s="257" t="s">
        <v>16</v>
      </c>
      <c r="S1034" s="257" t="s">
        <v>16</v>
      </c>
      <c r="T1034" s="257" t="s">
        <v>330</v>
      </c>
      <c r="U1034" s="257" t="s">
        <v>250</v>
      </c>
      <c r="V1034" s="257" t="s">
        <v>283</v>
      </c>
      <c r="W1034" s="258" t="s">
        <v>283</v>
      </c>
      <c r="X1034" s="258" t="s">
        <v>283</v>
      </c>
      <c r="Y1034" s="259" t="s">
        <v>283</v>
      </c>
    </row>
    <row r="1035" spans="1:25">
      <c r="A1035" s="253">
        <v>19</v>
      </c>
      <c r="B1035" s="254" t="str">
        <f>VLOOKUP(Tabel10[[#This Row],[Code]],Ruimtegroepen[[Code]:[Ruimte omschrijving]],2,FALSE)</f>
        <v>Kleedruimten</v>
      </c>
      <c r="C1035" s="255" t="s">
        <v>1143</v>
      </c>
      <c r="D1035" s="254" t="s">
        <v>0</v>
      </c>
      <c r="E1035" s="255" t="s">
        <v>1312</v>
      </c>
      <c r="F1035" s="255" t="s">
        <v>1362</v>
      </c>
      <c r="G1035" s="260" t="s">
        <v>283</v>
      </c>
      <c r="H1035" s="256" t="s">
        <v>283</v>
      </c>
      <c r="I1035" s="256" t="s">
        <v>16</v>
      </c>
      <c r="J1035" s="256" t="s">
        <v>283</v>
      </c>
      <c r="K1035" s="256" t="s">
        <v>16</v>
      </c>
      <c r="L1035" s="256" t="s">
        <v>283</v>
      </c>
      <c r="M1035" s="256" t="s">
        <v>283</v>
      </c>
      <c r="N1035" s="256" t="s">
        <v>283</v>
      </c>
      <c r="O1035" s="257" t="s">
        <v>16</v>
      </c>
      <c r="P1035" s="257" t="s">
        <v>16</v>
      </c>
      <c r="Q1035" s="257" t="s">
        <v>16</v>
      </c>
      <c r="R1035" s="257" t="s">
        <v>16</v>
      </c>
      <c r="S1035" s="257" t="s">
        <v>16</v>
      </c>
      <c r="T1035" s="257" t="s">
        <v>330</v>
      </c>
      <c r="U1035" s="257" t="s">
        <v>250</v>
      </c>
      <c r="V1035" s="257" t="s">
        <v>283</v>
      </c>
      <c r="W1035" s="258" t="s">
        <v>283</v>
      </c>
      <c r="X1035" s="258" t="s">
        <v>283</v>
      </c>
      <c r="Y1035" s="259" t="s">
        <v>283</v>
      </c>
    </row>
    <row r="1036" spans="1:25">
      <c r="A1036" s="253">
        <v>19</v>
      </c>
      <c r="B1036" s="254" t="str">
        <f>VLOOKUP(Tabel10[[#This Row],[Code]],Ruimtegroepen[[Code]:[Ruimte omschrijving]],2,FALSE)</f>
        <v>Kleedruimten</v>
      </c>
      <c r="C1036" s="255" t="s">
        <v>1148</v>
      </c>
      <c r="D1036" s="254" t="s">
        <v>27</v>
      </c>
      <c r="E1036" s="255" t="s">
        <v>100</v>
      </c>
      <c r="F1036" s="255" t="s">
        <v>1149</v>
      </c>
      <c r="G1036" s="260" t="s">
        <v>283</v>
      </c>
      <c r="H1036" s="256" t="s">
        <v>283</v>
      </c>
      <c r="I1036" s="256" t="s">
        <v>15</v>
      </c>
      <c r="J1036" s="256" t="s">
        <v>283</v>
      </c>
      <c r="K1036" s="256" t="s">
        <v>283</v>
      </c>
      <c r="L1036" s="256" t="s">
        <v>283</v>
      </c>
      <c r="M1036" s="256" t="s">
        <v>283</v>
      </c>
      <c r="N1036" s="256" t="s">
        <v>283</v>
      </c>
      <c r="O1036" s="257" t="s">
        <v>15</v>
      </c>
      <c r="P1036" s="257" t="s">
        <v>15</v>
      </c>
      <c r="Q1036" s="257" t="s">
        <v>15</v>
      </c>
      <c r="R1036" s="257" t="s">
        <v>283</v>
      </c>
      <c r="S1036" s="257" t="s">
        <v>283</v>
      </c>
      <c r="T1036" s="257" t="s">
        <v>283</v>
      </c>
      <c r="U1036" s="257" t="s">
        <v>283</v>
      </c>
      <c r="V1036" s="257" t="s">
        <v>283</v>
      </c>
      <c r="W1036" s="258" t="s">
        <v>283</v>
      </c>
      <c r="X1036" s="258" t="s">
        <v>283</v>
      </c>
      <c r="Y1036" s="259" t="s">
        <v>283</v>
      </c>
    </row>
    <row r="1037" spans="1:25">
      <c r="A1037" s="253">
        <v>19</v>
      </c>
      <c r="B1037" s="254" t="str">
        <f>VLOOKUP(Tabel10[[#This Row],[Code]],Ruimtegroepen[[Code]:[Ruimte omschrijving]],2,FALSE)</f>
        <v>Kleedruimten</v>
      </c>
      <c r="C1037" s="255" t="s">
        <v>1148</v>
      </c>
      <c r="D1037" s="254" t="s">
        <v>27</v>
      </c>
      <c r="E1037" s="255" t="s">
        <v>99</v>
      </c>
      <c r="F1037" s="255" t="s">
        <v>1150</v>
      </c>
      <c r="G1037" s="260" t="s">
        <v>283</v>
      </c>
      <c r="H1037" s="256" t="s">
        <v>15</v>
      </c>
      <c r="I1037" s="256" t="s">
        <v>283</v>
      </c>
      <c r="J1037" s="256" t="s">
        <v>283</v>
      </c>
      <c r="K1037" s="256" t="s">
        <v>283</v>
      </c>
      <c r="L1037" s="256" t="s">
        <v>283</v>
      </c>
      <c r="M1037" s="256" t="s">
        <v>283</v>
      </c>
      <c r="N1037" s="256" t="s">
        <v>283</v>
      </c>
      <c r="O1037" s="257" t="s">
        <v>15</v>
      </c>
      <c r="P1037" s="257" t="s">
        <v>15</v>
      </c>
      <c r="Q1037" s="257" t="s">
        <v>15</v>
      </c>
      <c r="R1037" s="257" t="s">
        <v>283</v>
      </c>
      <c r="S1037" s="257" t="s">
        <v>283</v>
      </c>
      <c r="T1037" s="257" t="s">
        <v>283</v>
      </c>
      <c r="U1037" s="257" t="s">
        <v>283</v>
      </c>
      <c r="V1037" s="257" t="s">
        <v>283</v>
      </c>
      <c r="W1037" s="258" t="s">
        <v>283</v>
      </c>
      <c r="X1037" s="258" t="s">
        <v>283</v>
      </c>
      <c r="Y1037" s="259" t="s">
        <v>283</v>
      </c>
    </row>
    <row r="1038" spans="1:25">
      <c r="A1038" s="253">
        <v>19</v>
      </c>
      <c r="B1038" s="254" t="str">
        <f>VLOOKUP(Tabel10[[#This Row],[Code]],Ruimtegroepen[[Code]:[Ruimte omschrijving]],2,FALSE)</f>
        <v>Kleedruimten</v>
      </c>
      <c r="C1038" s="255" t="s">
        <v>1148</v>
      </c>
      <c r="D1038" s="254" t="s">
        <v>27</v>
      </c>
      <c r="E1038" s="255" t="s">
        <v>101</v>
      </c>
      <c r="F1038" s="255" t="s">
        <v>1151</v>
      </c>
      <c r="G1038" s="260" t="s">
        <v>283</v>
      </c>
      <c r="H1038" s="256" t="s">
        <v>283</v>
      </c>
      <c r="I1038" s="256" t="s">
        <v>15</v>
      </c>
      <c r="J1038" s="256" t="s">
        <v>283</v>
      </c>
      <c r="K1038" s="256" t="s">
        <v>283</v>
      </c>
      <c r="L1038" s="256" t="s">
        <v>283</v>
      </c>
      <c r="M1038" s="256" t="s">
        <v>283</v>
      </c>
      <c r="N1038" s="256" t="s">
        <v>283</v>
      </c>
      <c r="O1038" s="257" t="s">
        <v>15</v>
      </c>
      <c r="P1038" s="257" t="s">
        <v>15</v>
      </c>
      <c r="Q1038" s="257" t="s">
        <v>15</v>
      </c>
      <c r="R1038" s="257" t="s">
        <v>283</v>
      </c>
      <c r="S1038" s="257" t="s">
        <v>283</v>
      </c>
      <c r="T1038" s="257" t="s">
        <v>283</v>
      </c>
      <c r="U1038" s="257" t="s">
        <v>283</v>
      </c>
      <c r="V1038" s="257" t="s">
        <v>283</v>
      </c>
      <c r="W1038" s="258" t="s">
        <v>283</v>
      </c>
      <c r="X1038" s="258" t="s">
        <v>283</v>
      </c>
      <c r="Y1038" s="259" t="s">
        <v>283</v>
      </c>
    </row>
    <row r="1039" spans="1:25">
      <c r="A1039" s="253">
        <v>19</v>
      </c>
      <c r="B1039" s="254" t="str">
        <f>VLOOKUP(Tabel10[[#This Row],[Code]],Ruimtegroepen[[Code]:[Ruimte omschrijving]],2,FALSE)</f>
        <v>Kleedruimten</v>
      </c>
      <c r="C1039" s="255" t="s">
        <v>1148</v>
      </c>
      <c r="D1039" s="254" t="s">
        <v>27</v>
      </c>
      <c r="E1039" s="255" t="s">
        <v>102</v>
      </c>
      <c r="F1039" s="255" t="s">
        <v>1152</v>
      </c>
      <c r="G1039" s="260" t="s">
        <v>283</v>
      </c>
      <c r="H1039" s="256" t="s">
        <v>283</v>
      </c>
      <c r="I1039" s="256" t="s">
        <v>15</v>
      </c>
      <c r="J1039" s="256" t="s">
        <v>283</v>
      </c>
      <c r="K1039" s="256" t="s">
        <v>283</v>
      </c>
      <c r="L1039" s="256" t="s">
        <v>283</v>
      </c>
      <c r="M1039" s="256" t="s">
        <v>283</v>
      </c>
      <c r="N1039" s="256" t="s">
        <v>283</v>
      </c>
      <c r="O1039" s="257" t="s">
        <v>15</v>
      </c>
      <c r="P1039" s="257" t="s">
        <v>15</v>
      </c>
      <c r="Q1039" s="257" t="s">
        <v>15</v>
      </c>
      <c r="R1039" s="257" t="s">
        <v>283</v>
      </c>
      <c r="S1039" s="257" t="s">
        <v>283</v>
      </c>
      <c r="T1039" s="257" t="s">
        <v>283</v>
      </c>
      <c r="U1039" s="257" t="s">
        <v>283</v>
      </c>
      <c r="V1039" s="257" t="s">
        <v>283</v>
      </c>
      <c r="W1039" s="258" t="s">
        <v>283</v>
      </c>
      <c r="X1039" s="258" t="s">
        <v>283</v>
      </c>
      <c r="Y1039" s="259" t="s">
        <v>283</v>
      </c>
    </row>
    <row r="1040" spans="1:25">
      <c r="A1040" s="253">
        <v>19</v>
      </c>
      <c r="B1040" s="254" t="str">
        <f>VLOOKUP(Tabel10[[#This Row],[Code]],Ruimtegroepen[[Code]:[Ruimte omschrijving]],2,FALSE)</f>
        <v>Kleedruimten</v>
      </c>
      <c r="C1040" s="255" t="s">
        <v>1148</v>
      </c>
      <c r="D1040" s="254" t="s">
        <v>27</v>
      </c>
      <c r="E1040" s="255" t="s">
        <v>99</v>
      </c>
      <c r="F1040" s="255" t="s">
        <v>1150</v>
      </c>
      <c r="G1040" s="260" t="s">
        <v>283</v>
      </c>
      <c r="H1040" s="256" t="s">
        <v>15</v>
      </c>
      <c r="I1040" s="256" t="s">
        <v>283</v>
      </c>
      <c r="J1040" s="256" t="s">
        <v>283</v>
      </c>
      <c r="K1040" s="256" t="s">
        <v>283</v>
      </c>
      <c r="L1040" s="256" t="s">
        <v>283</v>
      </c>
      <c r="M1040" s="256" t="s">
        <v>283</v>
      </c>
      <c r="N1040" s="256" t="s">
        <v>283</v>
      </c>
      <c r="O1040" s="257" t="s">
        <v>15</v>
      </c>
      <c r="P1040" s="257" t="s">
        <v>15</v>
      </c>
      <c r="Q1040" s="257" t="s">
        <v>15</v>
      </c>
      <c r="R1040" s="257" t="s">
        <v>283</v>
      </c>
      <c r="S1040" s="257" t="s">
        <v>283</v>
      </c>
      <c r="T1040" s="257" t="s">
        <v>283</v>
      </c>
      <c r="U1040" s="257" t="s">
        <v>283</v>
      </c>
      <c r="V1040" s="257" t="s">
        <v>283</v>
      </c>
      <c r="W1040" s="258" t="s">
        <v>283</v>
      </c>
      <c r="X1040" s="258" t="s">
        <v>283</v>
      </c>
      <c r="Y1040" s="259" t="s">
        <v>283</v>
      </c>
    </row>
    <row r="1041" spans="1:25">
      <c r="A1041" s="253">
        <v>19</v>
      </c>
      <c r="B1041" s="254" t="str">
        <f>VLOOKUP(Tabel10[[#This Row],[Code]],Ruimtegroepen[[Code]:[Ruimte omschrijving]],2,FALSE)</f>
        <v>Kleedruimten</v>
      </c>
      <c r="C1041" s="255" t="s">
        <v>1148</v>
      </c>
      <c r="D1041" s="254" t="s">
        <v>27</v>
      </c>
      <c r="E1041" s="255" t="s">
        <v>1312</v>
      </c>
      <c r="F1041" s="255" t="s">
        <v>1395</v>
      </c>
      <c r="G1041" s="260" t="s">
        <v>283</v>
      </c>
      <c r="H1041" s="256" t="s">
        <v>283</v>
      </c>
      <c r="I1041" s="256" t="s">
        <v>15</v>
      </c>
      <c r="J1041" s="256" t="s">
        <v>283</v>
      </c>
      <c r="K1041" s="256" t="s">
        <v>283</v>
      </c>
      <c r="L1041" s="256" t="s">
        <v>283</v>
      </c>
      <c r="M1041" s="256" t="s">
        <v>283</v>
      </c>
      <c r="N1041" s="256" t="s">
        <v>283</v>
      </c>
      <c r="O1041" s="257" t="s">
        <v>15</v>
      </c>
      <c r="P1041" s="257" t="s">
        <v>15</v>
      </c>
      <c r="Q1041" s="257" t="s">
        <v>15</v>
      </c>
      <c r="R1041" s="257" t="s">
        <v>283</v>
      </c>
      <c r="S1041" s="257" t="s">
        <v>283</v>
      </c>
      <c r="T1041" s="257" t="s">
        <v>283</v>
      </c>
      <c r="U1041" s="257" t="s">
        <v>283</v>
      </c>
      <c r="V1041" s="257" t="s">
        <v>283</v>
      </c>
      <c r="W1041" s="258" t="s">
        <v>283</v>
      </c>
      <c r="X1041" s="258" t="s">
        <v>283</v>
      </c>
      <c r="Y1041" s="259" t="s">
        <v>283</v>
      </c>
    </row>
    <row r="1042" spans="1:25">
      <c r="A1042" s="253">
        <v>19</v>
      </c>
      <c r="B1042" s="254" t="str">
        <f>VLOOKUP(Tabel10[[#This Row],[Code]],Ruimtegroepen[[Code]:[Ruimte omschrijving]],2,FALSE)</f>
        <v>Kleedruimten</v>
      </c>
      <c r="C1042" s="255" t="s">
        <v>1153</v>
      </c>
      <c r="D1042" s="254" t="s">
        <v>28</v>
      </c>
      <c r="E1042" s="255" t="s">
        <v>100</v>
      </c>
      <c r="F1042" s="255" t="s">
        <v>1154</v>
      </c>
      <c r="G1042" s="260" t="s">
        <v>283</v>
      </c>
      <c r="H1042" s="256" t="s">
        <v>283</v>
      </c>
      <c r="I1042" s="256" t="s">
        <v>17</v>
      </c>
      <c r="J1042" s="256" t="s">
        <v>283</v>
      </c>
      <c r="K1042" s="256" t="s">
        <v>283</v>
      </c>
      <c r="L1042" s="256" t="s">
        <v>283</v>
      </c>
      <c r="M1042" s="256" t="s">
        <v>283</v>
      </c>
      <c r="N1042" s="256" t="s">
        <v>283</v>
      </c>
      <c r="O1042" s="257" t="s">
        <v>17</v>
      </c>
      <c r="P1042" s="257" t="s">
        <v>17</v>
      </c>
      <c r="Q1042" s="257" t="s">
        <v>15</v>
      </c>
      <c r="R1042" s="257" t="s">
        <v>283</v>
      </c>
      <c r="S1042" s="257" t="s">
        <v>283</v>
      </c>
      <c r="T1042" s="257" t="s">
        <v>283</v>
      </c>
      <c r="U1042" s="257" t="s">
        <v>283</v>
      </c>
      <c r="V1042" s="257" t="s">
        <v>283</v>
      </c>
      <c r="W1042" s="258" t="s">
        <v>283</v>
      </c>
      <c r="X1042" s="258" t="s">
        <v>283</v>
      </c>
      <c r="Y1042" s="259" t="s">
        <v>283</v>
      </c>
    </row>
    <row r="1043" spans="1:25">
      <c r="A1043" s="253">
        <v>19</v>
      </c>
      <c r="B1043" s="254" t="str">
        <f>VLOOKUP(Tabel10[[#This Row],[Code]],Ruimtegroepen[[Code]:[Ruimte omschrijving]],2,FALSE)</f>
        <v>Kleedruimten</v>
      </c>
      <c r="C1043" s="255" t="s">
        <v>1153</v>
      </c>
      <c r="D1043" s="254" t="s">
        <v>28</v>
      </c>
      <c r="E1043" s="255" t="s">
        <v>99</v>
      </c>
      <c r="F1043" s="255" t="s">
        <v>1155</v>
      </c>
      <c r="G1043" s="260" t="s">
        <v>283</v>
      </c>
      <c r="H1043" s="256" t="s">
        <v>17</v>
      </c>
      <c r="I1043" s="256" t="s">
        <v>283</v>
      </c>
      <c r="J1043" s="256" t="s">
        <v>283</v>
      </c>
      <c r="K1043" s="256" t="s">
        <v>283</v>
      </c>
      <c r="L1043" s="256" t="s">
        <v>283</v>
      </c>
      <c r="M1043" s="256" t="s">
        <v>283</v>
      </c>
      <c r="N1043" s="256" t="s">
        <v>283</v>
      </c>
      <c r="O1043" s="257" t="s">
        <v>17</v>
      </c>
      <c r="P1043" s="257" t="s">
        <v>17</v>
      </c>
      <c r="Q1043" s="257" t="s">
        <v>15</v>
      </c>
      <c r="R1043" s="257" t="s">
        <v>283</v>
      </c>
      <c r="S1043" s="257" t="s">
        <v>283</v>
      </c>
      <c r="T1043" s="257" t="s">
        <v>283</v>
      </c>
      <c r="U1043" s="257" t="s">
        <v>283</v>
      </c>
      <c r="V1043" s="257" t="s">
        <v>283</v>
      </c>
      <c r="W1043" s="258" t="s">
        <v>283</v>
      </c>
      <c r="X1043" s="258" t="s">
        <v>283</v>
      </c>
      <c r="Y1043" s="259" t="s">
        <v>283</v>
      </c>
    </row>
    <row r="1044" spans="1:25">
      <c r="A1044" s="253">
        <v>19</v>
      </c>
      <c r="B1044" s="254" t="str">
        <f>VLOOKUP(Tabel10[[#This Row],[Code]],Ruimtegroepen[[Code]:[Ruimte omschrijving]],2,FALSE)</f>
        <v>Kleedruimten</v>
      </c>
      <c r="C1044" s="255" t="s">
        <v>1153</v>
      </c>
      <c r="D1044" s="254" t="s">
        <v>28</v>
      </c>
      <c r="E1044" s="255" t="s">
        <v>101</v>
      </c>
      <c r="F1044" s="255" t="s">
        <v>1156</v>
      </c>
      <c r="G1044" s="260" t="s">
        <v>283</v>
      </c>
      <c r="H1044" s="256" t="s">
        <v>283</v>
      </c>
      <c r="I1044" s="256" t="s">
        <v>17</v>
      </c>
      <c r="J1044" s="256" t="s">
        <v>283</v>
      </c>
      <c r="K1044" s="256" t="s">
        <v>283</v>
      </c>
      <c r="L1044" s="256" t="s">
        <v>283</v>
      </c>
      <c r="M1044" s="256" t="s">
        <v>283</v>
      </c>
      <c r="N1044" s="256" t="s">
        <v>283</v>
      </c>
      <c r="O1044" s="257" t="s">
        <v>17</v>
      </c>
      <c r="P1044" s="257" t="s">
        <v>17</v>
      </c>
      <c r="Q1044" s="257" t="s">
        <v>15</v>
      </c>
      <c r="R1044" s="257" t="s">
        <v>283</v>
      </c>
      <c r="S1044" s="257" t="s">
        <v>283</v>
      </c>
      <c r="T1044" s="257" t="s">
        <v>283</v>
      </c>
      <c r="U1044" s="257" t="s">
        <v>283</v>
      </c>
      <c r="V1044" s="257" t="s">
        <v>283</v>
      </c>
      <c r="W1044" s="258" t="s">
        <v>283</v>
      </c>
      <c r="X1044" s="258" t="s">
        <v>283</v>
      </c>
      <c r="Y1044" s="259" t="s">
        <v>283</v>
      </c>
    </row>
    <row r="1045" spans="1:25">
      <c r="A1045" s="253">
        <v>19</v>
      </c>
      <c r="B1045" s="254" t="str">
        <f>VLOOKUP(Tabel10[[#This Row],[Code]],Ruimtegroepen[[Code]:[Ruimte omschrijving]],2,FALSE)</f>
        <v>Kleedruimten</v>
      </c>
      <c r="C1045" s="255" t="s">
        <v>1153</v>
      </c>
      <c r="D1045" s="254" t="s">
        <v>28</v>
      </c>
      <c r="E1045" s="255" t="s">
        <v>102</v>
      </c>
      <c r="F1045" s="255" t="s">
        <v>1157</v>
      </c>
      <c r="G1045" s="260" t="s">
        <v>283</v>
      </c>
      <c r="H1045" s="256" t="s">
        <v>283</v>
      </c>
      <c r="I1045" s="256" t="s">
        <v>17</v>
      </c>
      <c r="J1045" s="256" t="s">
        <v>283</v>
      </c>
      <c r="K1045" s="256" t="s">
        <v>283</v>
      </c>
      <c r="L1045" s="256" t="s">
        <v>283</v>
      </c>
      <c r="M1045" s="256" t="s">
        <v>283</v>
      </c>
      <c r="N1045" s="256" t="s">
        <v>283</v>
      </c>
      <c r="O1045" s="257" t="s">
        <v>17</v>
      </c>
      <c r="P1045" s="257" t="s">
        <v>17</v>
      </c>
      <c r="Q1045" s="257" t="s">
        <v>15</v>
      </c>
      <c r="R1045" s="257" t="s">
        <v>283</v>
      </c>
      <c r="S1045" s="257" t="s">
        <v>283</v>
      </c>
      <c r="T1045" s="257" t="s">
        <v>283</v>
      </c>
      <c r="U1045" s="257" t="s">
        <v>283</v>
      </c>
      <c r="V1045" s="257" t="s">
        <v>283</v>
      </c>
      <c r="W1045" s="258" t="s">
        <v>283</v>
      </c>
      <c r="X1045" s="258" t="s">
        <v>283</v>
      </c>
      <c r="Y1045" s="259" t="s">
        <v>283</v>
      </c>
    </row>
    <row r="1046" spans="1:25">
      <c r="A1046" s="253">
        <v>19</v>
      </c>
      <c r="B1046" s="254" t="str">
        <f>VLOOKUP(Tabel10[[#This Row],[Code]],Ruimtegroepen[[Code]:[Ruimte omschrijving]],2,FALSE)</f>
        <v>Kleedruimten</v>
      </c>
      <c r="C1046" s="255" t="s">
        <v>1153</v>
      </c>
      <c r="D1046" s="254" t="s">
        <v>28</v>
      </c>
      <c r="E1046" s="255" t="s">
        <v>99</v>
      </c>
      <c r="F1046" s="255" t="s">
        <v>1155</v>
      </c>
      <c r="G1046" s="260" t="s">
        <v>283</v>
      </c>
      <c r="H1046" s="256" t="s">
        <v>17</v>
      </c>
      <c r="I1046" s="256" t="s">
        <v>283</v>
      </c>
      <c r="J1046" s="256" t="s">
        <v>283</v>
      </c>
      <c r="K1046" s="256" t="s">
        <v>283</v>
      </c>
      <c r="L1046" s="256" t="s">
        <v>283</v>
      </c>
      <c r="M1046" s="256" t="s">
        <v>283</v>
      </c>
      <c r="N1046" s="256" t="s">
        <v>283</v>
      </c>
      <c r="O1046" s="257" t="s">
        <v>17</v>
      </c>
      <c r="P1046" s="257" t="s">
        <v>17</v>
      </c>
      <c r="Q1046" s="257" t="s">
        <v>15</v>
      </c>
      <c r="R1046" s="257" t="s">
        <v>283</v>
      </c>
      <c r="S1046" s="257" t="s">
        <v>283</v>
      </c>
      <c r="T1046" s="257" t="s">
        <v>283</v>
      </c>
      <c r="U1046" s="257" t="s">
        <v>283</v>
      </c>
      <c r="V1046" s="257" t="s">
        <v>283</v>
      </c>
      <c r="W1046" s="258" t="s">
        <v>283</v>
      </c>
      <c r="X1046" s="258" t="s">
        <v>283</v>
      </c>
      <c r="Y1046" s="259" t="s">
        <v>283</v>
      </c>
    </row>
    <row r="1047" spans="1:25">
      <c r="A1047" s="253">
        <v>19</v>
      </c>
      <c r="B1047" s="254" t="str">
        <f>VLOOKUP(Tabel10[[#This Row],[Code]],Ruimtegroepen[[Code]:[Ruimte omschrijving]],2,FALSE)</f>
        <v>Kleedruimten</v>
      </c>
      <c r="C1047" s="255" t="s">
        <v>1153</v>
      </c>
      <c r="D1047" s="254" t="s">
        <v>28</v>
      </c>
      <c r="E1047" s="255" t="s">
        <v>1312</v>
      </c>
      <c r="F1047" s="255" t="s">
        <v>1428</v>
      </c>
      <c r="G1047" s="260" t="s">
        <v>283</v>
      </c>
      <c r="H1047" s="256" t="s">
        <v>283</v>
      </c>
      <c r="I1047" s="256" t="s">
        <v>17</v>
      </c>
      <c r="J1047" s="256" t="s">
        <v>283</v>
      </c>
      <c r="K1047" s="256" t="s">
        <v>283</v>
      </c>
      <c r="L1047" s="256" t="s">
        <v>283</v>
      </c>
      <c r="M1047" s="256" t="s">
        <v>283</v>
      </c>
      <c r="N1047" s="256" t="s">
        <v>283</v>
      </c>
      <c r="O1047" s="257" t="s">
        <v>17</v>
      </c>
      <c r="P1047" s="257" t="s">
        <v>17</v>
      </c>
      <c r="Q1047" s="257" t="s">
        <v>15</v>
      </c>
      <c r="R1047" s="257" t="s">
        <v>283</v>
      </c>
      <c r="S1047" s="257" t="s">
        <v>283</v>
      </c>
      <c r="T1047" s="257" t="s">
        <v>283</v>
      </c>
      <c r="U1047" s="257" t="s">
        <v>283</v>
      </c>
      <c r="V1047" s="257" t="s">
        <v>283</v>
      </c>
      <c r="W1047" s="258" t="s">
        <v>283</v>
      </c>
      <c r="X1047" s="258" t="s">
        <v>283</v>
      </c>
      <c r="Y1047" s="259" t="s">
        <v>283</v>
      </c>
    </row>
    <row r="1048" spans="1:25">
      <c r="A1048" s="253">
        <v>20</v>
      </c>
      <c r="B1048" s="254" t="str">
        <f>VLOOKUP(Tabel10[[#This Row],[Code]],Ruimtegroepen[[Code]:[Ruimte omschrijving]],2,FALSE)</f>
        <v>Niet in Onderhoud</v>
      </c>
      <c r="C1048" s="255" t="s">
        <v>1158</v>
      </c>
      <c r="D1048" s="254" t="s">
        <v>29</v>
      </c>
      <c r="E1048" s="255" t="s">
        <v>100</v>
      </c>
      <c r="F1048" s="255" t="s">
        <v>1159</v>
      </c>
      <c r="G1048" s="260" t="s">
        <v>283</v>
      </c>
      <c r="H1048" s="256" t="s">
        <v>283</v>
      </c>
      <c r="I1048" s="256" t="s">
        <v>283</v>
      </c>
      <c r="J1048" s="256" t="s">
        <v>283</v>
      </c>
      <c r="K1048" s="256" t="s">
        <v>283</v>
      </c>
      <c r="L1048" s="256" t="s">
        <v>283</v>
      </c>
      <c r="M1048" s="256" t="s">
        <v>283</v>
      </c>
      <c r="N1048" s="256" t="s">
        <v>283</v>
      </c>
      <c r="O1048" s="257" t="s">
        <v>283</v>
      </c>
      <c r="P1048" s="257" t="s">
        <v>283</v>
      </c>
      <c r="Q1048" s="257" t="s">
        <v>283</v>
      </c>
      <c r="R1048" s="257" t="s">
        <v>283</v>
      </c>
      <c r="S1048" s="257" t="s">
        <v>283</v>
      </c>
      <c r="T1048" s="257" t="s">
        <v>283</v>
      </c>
      <c r="U1048" s="257" t="s">
        <v>283</v>
      </c>
      <c r="V1048" s="257" t="s">
        <v>283</v>
      </c>
      <c r="W1048" s="258" t="s">
        <v>283</v>
      </c>
      <c r="X1048" s="258" t="s">
        <v>283</v>
      </c>
      <c r="Y1048" s="259" t="s">
        <v>283</v>
      </c>
    </row>
    <row r="1049" spans="1:25">
      <c r="A1049" s="253">
        <v>20</v>
      </c>
      <c r="B1049" s="254" t="str">
        <f>VLOOKUP(Tabel10[[#This Row],[Code]],Ruimtegroepen[[Code]:[Ruimte omschrijving]],2,FALSE)</f>
        <v>Niet in Onderhoud</v>
      </c>
      <c r="C1049" s="255" t="s">
        <v>1158</v>
      </c>
      <c r="D1049" s="254" t="s">
        <v>29</v>
      </c>
      <c r="E1049" s="255" t="s">
        <v>99</v>
      </c>
      <c r="F1049" s="255" t="s">
        <v>1160</v>
      </c>
      <c r="G1049" s="260" t="s">
        <v>283</v>
      </c>
      <c r="H1049" s="256" t="s">
        <v>283</v>
      </c>
      <c r="I1049" s="256" t="s">
        <v>283</v>
      </c>
      <c r="J1049" s="256" t="s">
        <v>283</v>
      </c>
      <c r="K1049" s="256" t="s">
        <v>283</v>
      </c>
      <c r="L1049" s="256" t="s">
        <v>283</v>
      </c>
      <c r="M1049" s="256" t="s">
        <v>283</v>
      </c>
      <c r="N1049" s="256" t="s">
        <v>283</v>
      </c>
      <c r="O1049" s="257" t="s">
        <v>283</v>
      </c>
      <c r="P1049" s="257" t="s">
        <v>283</v>
      </c>
      <c r="Q1049" s="257" t="s">
        <v>283</v>
      </c>
      <c r="R1049" s="257" t="s">
        <v>283</v>
      </c>
      <c r="S1049" s="257" t="s">
        <v>283</v>
      </c>
      <c r="T1049" s="257" t="s">
        <v>283</v>
      </c>
      <c r="U1049" s="257" t="s">
        <v>283</v>
      </c>
      <c r="V1049" s="257" t="s">
        <v>283</v>
      </c>
      <c r="W1049" s="258" t="s">
        <v>283</v>
      </c>
      <c r="X1049" s="258" t="s">
        <v>283</v>
      </c>
      <c r="Y1049" s="259" t="s">
        <v>283</v>
      </c>
    </row>
    <row r="1050" spans="1:25">
      <c r="A1050" s="253">
        <v>20</v>
      </c>
      <c r="B1050" s="254" t="str">
        <f>VLOOKUP(Tabel10[[#This Row],[Code]],Ruimtegroepen[[Code]:[Ruimte omschrijving]],2,FALSE)</f>
        <v>Niet in Onderhoud</v>
      </c>
      <c r="C1050" s="255" t="s">
        <v>1158</v>
      </c>
      <c r="D1050" s="254" t="s">
        <v>29</v>
      </c>
      <c r="E1050" s="255" t="s">
        <v>101</v>
      </c>
      <c r="F1050" s="255" t="s">
        <v>1161</v>
      </c>
      <c r="G1050" s="260" t="s">
        <v>283</v>
      </c>
      <c r="H1050" s="256" t="s">
        <v>283</v>
      </c>
      <c r="I1050" s="256" t="s">
        <v>283</v>
      </c>
      <c r="J1050" s="256" t="s">
        <v>283</v>
      </c>
      <c r="K1050" s="256" t="s">
        <v>283</v>
      </c>
      <c r="L1050" s="256" t="s">
        <v>283</v>
      </c>
      <c r="M1050" s="256" t="s">
        <v>283</v>
      </c>
      <c r="N1050" s="256" t="s">
        <v>283</v>
      </c>
      <c r="O1050" s="257" t="s">
        <v>283</v>
      </c>
      <c r="P1050" s="257" t="s">
        <v>283</v>
      </c>
      <c r="Q1050" s="257" t="s">
        <v>283</v>
      </c>
      <c r="R1050" s="257" t="s">
        <v>283</v>
      </c>
      <c r="S1050" s="257" t="s">
        <v>283</v>
      </c>
      <c r="T1050" s="257" t="s">
        <v>283</v>
      </c>
      <c r="U1050" s="257" t="s">
        <v>283</v>
      </c>
      <c r="V1050" s="257" t="s">
        <v>283</v>
      </c>
      <c r="W1050" s="258" t="s">
        <v>283</v>
      </c>
      <c r="X1050" s="258" t="s">
        <v>283</v>
      </c>
      <c r="Y1050" s="259" t="s">
        <v>283</v>
      </c>
    </row>
    <row r="1051" spans="1:25">
      <c r="A1051" s="253">
        <v>20</v>
      </c>
      <c r="B1051" s="254" t="str">
        <f>VLOOKUP(Tabel10[[#This Row],[Code]],Ruimtegroepen[[Code]:[Ruimte omschrijving]],2,FALSE)</f>
        <v>Niet in Onderhoud</v>
      </c>
      <c r="C1051" s="255" t="s">
        <v>1158</v>
      </c>
      <c r="D1051" s="254" t="s">
        <v>29</v>
      </c>
      <c r="E1051" s="255" t="s">
        <v>102</v>
      </c>
      <c r="F1051" s="255" t="s">
        <v>1162</v>
      </c>
      <c r="G1051" s="260" t="s">
        <v>283</v>
      </c>
      <c r="H1051" s="256" t="s">
        <v>283</v>
      </c>
      <c r="I1051" s="256" t="s">
        <v>283</v>
      </c>
      <c r="J1051" s="256" t="s">
        <v>283</v>
      </c>
      <c r="K1051" s="256" t="s">
        <v>283</v>
      </c>
      <c r="L1051" s="256" t="s">
        <v>283</v>
      </c>
      <c r="M1051" s="256" t="s">
        <v>283</v>
      </c>
      <c r="N1051" s="256" t="s">
        <v>283</v>
      </c>
      <c r="O1051" s="257" t="s">
        <v>283</v>
      </c>
      <c r="P1051" s="257" t="s">
        <v>283</v>
      </c>
      <c r="Q1051" s="257" t="s">
        <v>283</v>
      </c>
      <c r="R1051" s="257" t="s">
        <v>283</v>
      </c>
      <c r="S1051" s="257" t="s">
        <v>283</v>
      </c>
      <c r="T1051" s="257" t="s">
        <v>283</v>
      </c>
      <c r="U1051" s="257" t="s">
        <v>283</v>
      </c>
      <c r="V1051" s="257" t="s">
        <v>283</v>
      </c>
      <c r="W1051" s="258" t="s">
        <v>283</v>
      </c>
      <c r="X1051" s="258" t="s">
        <v>283</v>
      </c>
      <c r="Y1051" s="259" t="s">
        <v>283</v>
      </c>
    </row>
    <row r="1052" spans="1:25">
      <c r="A1052" s="253">
        <v>20</v>
      </c>
      <c r="B1052" s="254" t="str">
        <f>VLOOKUP(Tabel10[[#This Row],[Code]],Ruimtegroepen[[Code]:[Ruimte omschrijving]],2,FALSE)</f>
        <v>Niet in Onderhoud</v>
      </c>
      <c r="C1052" s="255" t="s">
        <v>1158</v>
      </c>
      <c r="D1052" s="254" t="s">
        <v>29</v>
      </c>
      <c r="E1052" s="255" t="s">
        <v>99</v>
      </c>
      <c r="F1052" s="255" t="s">
        <v>1160</v>
      </c>
      <c r="G1052" s="260" t="s">
        <v>283</v>
      </c>
      <c r="H1052" s="256" t="s">
        <v>283</v>
      </c>
      <c r="I1052" s="256" t="s">
        <v>283</v>
      </c>
      <c r="J1052" s="256" t="s">
        <v>283</v>
      </c>
      <c r="K1052" s="256" t="s">
        <v>283</v>
      </c>
      <c r="L1052" s="256" t="s">
        <v>283</v>
      </c>
      <c r="M1052" s="256" t="s">
        <v>283</v>
      </c>
      <c r="N1052" s="256" t="s">
        <v>283</v>
      </c>
      <c r="O1052" s="257" t="s">
        <v>283</v>
      </c>
      <c r="P1052" s="257" t="s">
        <v>283</v>
      </c>
      <c r="Q1052" s="257" t="s">
        <v>283</v>
      </c>
      <c r="R1052" s="257" t="s">
        <v>283</v>
      </c>
      <c r="S1052" s="257" t="s">
        <v>283</v>
      </c>
      <c r="T1052" s="257" t="s">
        <v>283</v>
      </c>
      <c r="U1052" s="257" t="s">
        <v>283</v>
      </c>
      <c r="V1052" s="257" t="s">
        <v>283</v>
      </c>
      <c r="W1052" s="258" t="s">
        <v>283</v>
      </c>
      <c r="X1052" s="258" t="s">
        <v>283</v>
      </c>
      <c r="Y1052" s="259" t="s">
        <v>283</v>
      </c>
    </row>
    <row r="1053" spans="1:25">
      <c r="A1053" s="253">
        <v>20</v>
      </c>
      <c r="B1053" s="254" t="str">
        <f>VLOOKUP(Tabel10[[#This Row],[Code]],Ruimtegroepen[[Code]:[Ruimte omschrijving]],2,FALSE)</f>
        <v>Niet in Onderhoud</v>
      </c>
      <c r="C1053" s="255" t="s">
        <v>1158</v>
      </c>
      <c r="D1053" s="254" t="s">
        <v>29</v>
      </c>
      <c r="E1053" s="255" t="s">
        <v>1312</v>
      </c>
      <c r="F1053" s="255" t="s">
        <v>1330</v>
      </c>
      <c r="G1053" s="260" t="s">
        <v>283</v>
      </c>
      <c r="H1053" s="256" t="s">
        <v>283</v>
      </c>
      <c r="I1053" s="256" t="s">
        <v>283</v>
      </c>
      <c r="J1053" s="256" t="s">
        <v>283</v>
      </c>
      <c r="K1053" s="256" t="s">
        <v>283</v>
      </c>
      <c r="L1053" s="256" t="s">
        <v>283</v>
      </c>
      <c r="M1053" s="256" t="s">
        <v>283</v>
      </c>
      <c r="N1053" s="256" t="s">
        <v>283</v>
      </c>
      <c r="O1053" s="257" t="s">
        <v>283</v>
      </c>
      <c r="P1053" s="257" t="s">
        <v>283</v>
      </c>
      <c r="Q1053" s="257" t="s">
        <v>283</v>
      </c>
      <c r="R1053" s="257" t="s">
        <v>283</v>
      </c>
      <c r="S1053" s="257" t="s">
        <v>283</v>
      </c>
      <c r="T1053" s="257" t="s">
        <v>283</v>
      </c>
      <c r="U1053" s="257" t="s">
        <v>283</v>
      </c>
      <c r="V1053" s="257" t="s">
        <v>283</v>
      </c>
      <c r="W1053" s="258" t="s">
        <v>283</v>
      </c>
      <c r="X1053" s="258" t="s">
        <v>283</v>
      </c>
      <c r="Y1053" s="259" t="s">
        <v>283</v>
      </c>
    </row>
    <row r="1054" spans="1:25">
      <c r="A1054" s="253">
        <v>20</v>
      </c>
      <c r="B1054" s="254" t="str">
        <f>VLOOKUP(Tabel10[[#This Row],[Code]],Ruimtegroepen[[Code]:[Ruimte omschrijving]],2,FALSE)</f>
        <v>Niet in Onderhoud</v>
      </c>
      <c r="C1054" s="255" t="s">
        <v>1163</v>
      </c>
      <c r="D1054" s="254" t="s">
        <v>1</v>
      </c>
      <c r="E1054" s="255" t="s">
        <v>100</v>
      </c>
      <c r="F1054" s="255" t="s">
        <v>1164</v>
      </c>
      <c r="G1054" s="260" t="s">
        <v>283</v>
      </c>
      <c r="H1054" s="256" t="s">
        <v>283</v>
      </c>
      <c r="I1054" s="256" t="s">
        <v>283</v>
      </c>
      <c r="J1054" s="256" t="s">
        <v>283</v>
      </c>
      <c r="K1054" s="256" t="s">
        <v>283</v>
      </c>
      <c r="L1054" s="256" t="s">
        <v>283</v>
      </c>
      <c r="M1054" s="256" t="s">
        <v>283</v>
      </c>
      <c r="N1054" s="256" t="s">
        <v>283</v>
      </c>
      <c r="O1054" s="257" t="s">
        <v>283</v>
      </c>
      <c r="P1054" s="257" t="s">
        <v>283</v>
      </c>
      <c r="Q1054" s="257" t="s">
        <v>283</v>
      </c>
      <c r="R1054" s="257" t="s">
        <v>283</v>
      </c>
      <c r="S1054" s="257" t="s">
        <v>283</v>
      </c>
      <c r="T1054" s="257" t="s">
        <v>283</v>
      </c>
      <c r="U1054" s="257" t="s">
        <v>283</v>
      </c>
      <c r="V1054" s="257" t="s">
        <v>283</v>
      </c>
      <c r="W1054" s="258" t="s">
        <v>283</v>
      </c>
      <c r="X1054" s="258" t="s">
        <v>283</v>
      </c>
      <c r="Y1054" s="259" t="s">
        <v>283</v>
      </c>
    </row>
    <row r="1055" spans="1:25">
      <c r="A1055" s="253">
        <v>20</v>
      </c>
      <c r="B1055" s="254" t="str">
        <f>VLOOKUP(Tabel10[[#This Row],[Code]],Ruimtegroepen[[Code]:[Ruimte omschrijving]],2,FALSE)</f>
        <v>Niet in Onderhoud</v>
      </c>
      <c r="C1055" s="255" t="s">
        <v>1163</v>
      </c>
      <c r="D1055" s="254" t="s">
        <v>1</v>
      </c>
      <c r="E1055" s="255" t="s">
        <v>99</v>
      </c>
      <c r="F1055" s="255" t="s">
        <v>1165</v>
      </c>
      <c r="G1055" s="260" t="s">
        <v>283</v>
      </c>
      <c r="H1055" s="256" t="s">
        <v>283</v>
      </c>
      <c r="I1055" s="256" t="s">
        <v>283</v>
      </c>
      <c r="J1055" s="256" t="s">
        <v>283</v>
      </c>
      <c r="K1055" s="256" t="s">
        <v>283</v>
      </c>
      <c r="L1055" s="256" t="s">
        <v>283</v>
      </c>
      <c r="M1055" s="256" t="s">
        <v>283</v>
      </c>
      <c r="N1055" s="256" t="s">
        <v>283</v>
      </c>
      <c r="O1055" s="257" t="s">
        <v>283</v>
      </c>
      <c r="P1055" s="257" t="s">
        <v>283</v>
      </c>
      <c r="Q1055" s="257" t="s">
        <v>283</v>
      </c>
      <c r="R1055" s="257" t="s">
        <v>283</v>
      </c>
      <c r="S1055" s="257" t="s">
        <v>283</v>
      </c>
      <c r="T1055" s="257" t="s">
        <v>283</v>
      </c>
      <c r="U1055" s="257" t="s">
        <v>283</v>
      </c>
      <c r="V1055" s="257" t="s">
        <v>283</v>
      </c>
      <c r="W1055" s="258" t="s">
        <v>283</v>
      </c>
      <c r="X1055" s="258" t="s">
        <v>283</v>
      </c>
      <c r="Y1055" s="259" t="s">
        <v>283</v>
      </c>
    </row>
    <row r="1056" spans="1:25">
      <c r="A1056" s="253">
        <v>20</v>
      </c>
      <c r="B1056" s="254" t="str">
        <f>VLOOKUP(Tabel10[[#This Row],[Code]],Ruimtegroepen[[Code]:[Ruimte omschrijving]],2,FALSE)</f>
        <v>Niet in Onderhoud</v>
      </c>
      <c r="C1056" s="255" t="s">
        <v>1163</v>
      </c>
      <c r="D1056" s="254" t="s">
        <v>1</v>
      </c>
      <c r="E1056" s="255" t="s">
        <v>101</v>
      </c>
      <c r="F1056" s="255" t="s">
        <v>1166</v>
      </c>
      <c r="G1056" s="260" t="s">
        <v>283</v>
      </c>
      <c r="H1056" s="256" t="s">
        <v>283</v>
      </c>
      <c r="I1056" s="256" t="s">
        <v>283</v>
      </c>
      <c r="J1056" s="256" t="s">
        <v>283</v>
      </c>
      <c r="K1056" s="256" t="s">
        <v>283</v>
      </c>
      <c r="L1056" s="256" t="s">
        <v>283</v>
      </c>
      <c r="M1056" s="256" t="s">
        <v>283</v>
      </c>
      <c r="N1056" s="256" t="s">
        <v>283</v>
      </c>
      <c r="O1056" s="257" t="s">
        <v>283</v>
      </c>
      <c r="P1056" s="257" t="s">
        <v>283</v>
      </c>
      <c r="Q1056" s="257" t="s">
        <v>283</v>
      </c>
      <c r="R1056" s="257" t="s">
        <v>283</v>
      </c>
      <c r="S1056" s="257" t="s">
        <v>283</v>
      </c>
      <c r="T1056" s="257" t="s">
        <v>283</v>
      </c>
      <c r="U1056" s="257" t="s">
        <v>283</v>
      </c>
      <c r="V1056" s="257" t="s">
        <v>283</v>
      </c>
      <c r="W1056" s="258" t="s">
        <v>283</v>
      </c>
      <c r="X1056" s="258" t="s">
        <v>283</v>
      </c>
      <c r="Y1056" s="259" t="s">
        <v>283</v>
      </c>
    </row>
    <row r="1057" spans="1:25">
      <c r="A1057" s="253">
        <v>20</v>
      </c>
      <c r="B1057" s="254" t="str">
        <f>VLOOKUP(Tabel10[[#This Row],[Code]],Ruimtegroepen[[Code]:[Ruimte omschrijving]],2,FALSE)</f>
        <v>Niet in Onderhoud</v>
      </c>
      <c r="C1057" s="255" t="s">
        <v>1163</v>
      </c>
      <c r="D1057" s="254" t="s">
        <v>1</v>
      </c>
      <c r="E1057" s="255" t="s">
        <v>102</v>
      </c>
      <c r="F1057" s="255" t="s">
        <v>1167</v>
      </c>
      <c r="G1057" s="260" t="s">
        <v>283</v>
      </c>
      <c r="H1057" s="256" t="s">
        <v>283</v>
      </c>
      <c r="I1057" s="256" t="s">
        <v>283</v>
      </c>
      <c r="J1057" s="256" t="s">
        <v>283</v>
      </c>
      <c r="K1057" s="256" t="s">
        <v>283</v>
      </c>
      <c r="L1057" s="256" t="s">
        <v>283</v>
      </c>
      <c r="M1057" s="256" t="s">
        <v>283</v>
      </c>
      <c r="N1057" s="256" t="s">
        <v>283</v>
      </c>
      <c r="O1057" s="257" t="s">
        <v>283</v>
      </c>
      <c r="P1057" s="257" t="s">
        <v>283</v>
      </c>
      <c r="Q1057" s="257" t="s">
        <v>283</v>
      </c>
      <c r="R1057" s="257" t="s">
        <v>283</v>
      </c>
      <c r="S1057" s="257" t="s">
        <v>283</v>
      </c>
      <c r="T1057" s="257" t="s">
        <v>283</v>
      </c>
      <c r="U1057" s="257" t="s">
        <v>283</v>
      </c>
      <c r="V1057" s="257" t="s">
        <v>283</v>
      </c>
      <c r="W1057" s="258" t="s">
        <v>283</v>
      </c>
      <c r="X1057" s="258" t="s">
        <v>283</v>
      </c>
      <c r="Y1057" s="259" t="s">
        <v>283</v>
      </c>
    </row>
    <row r="1058" spans="1:25">
      <c r="A1058" s="253">
        <v>20</v>
      </c>
      <c r="B1058" s="254" t="str">
        <f>VLOOKUP(Tabel10[[#This Row],[Code]],Ruimtegroepen[[Code]:[Ruimte omschrijving]],2,FALSE)</f>
        <v>Niet in Onderhoud</v>
      </c>
      <c r="C1058" s="255" t="s">
        <v>1163</v>
      </c>
      <c r="D1058" s="254" t="s">
        <v>1</v>
      </c>
      <c r="E1058" s="255" t="s">
        <v>99</v>
      </c>
      <c r="F1058" s="255" t="s">
        <v>1165</v>
      </c>
      <c r="G1058" s="260" t="s">
        <v>283</v>
      </c>
      <c r="H1058" s="256" t="s">
        <v>283</v>
      </c>
      <c r="I1058" s="256" t="s">
        <v>283</v>
      </c>
      <c r="J1058" s="256" t="s">
        <v>283</v>
      </c>
      <c r="K1058" s="256" t="s">
        <v>283</v>
      </c>
      <c r="L1058" s="256" t="s">
        <v>283</v>
      </c>
      <c r="M1058" s="256" t="s">
        <v>283</v>
      </c>
      <c r="N1058" s="256" t="s">
        <v>283</v>
      </c>
      <c r="O1058" s="257" t="s">
        <v>283</v>
      </c>
      <c r="P1058" s="257" t="s">
        <v>283</v>
      </c>
      <c r="Q1058" s="257" t="s">
        <v>283</v>
      </c>
      <c r="R1058" s="257" t="s">
        <v>283</v>
      </c>
      <c r="S1058" s="257" t="s">
        <v>283</v>
      </c>
      <c r="T1058" s="257" t="s">
        <v>283</v>
      </c>
      <c r="U1058" s="257" t="s">
        <v>283</v>
      </c>
      <c r="V1058" s="257" t="s">
        <v>283</v>
      </c>
      <c r="W1058" s="258" t="s">
        <v>283</v>
      </c>
      <c r="X1058" s="258" t="s">
        <v>283</v>
      </c>
      <c r="Y1058" s="259" t="s">
        <v>283</v>
      </c>
    </row>
    <row r="1059" spans="1:25">
      <c r="A1059" s="253">
        <v>20</v>
      </c>
      <c r="B1059" s="254" t="str">
        <f>VLOOKUP(Tabel10[[#This Row],[Code]],Ruimtegroepen[[Code]:[Ruimte omschrijving]],2,FALSE)</f>
        <v>Niet in Onderhoud</v>
      </c>
      <c r="C1059" s="255" t="s">
        <v>1163</v>
      </c>
      <c r="D1059" s="254" t="s">
        <v>1</v>
      </c>
      <c r="E1059" s="255" t="s">
        <v>1312</v>
      </c>
      <c r="F1059" s="255" t="s">
        <v>1329</v>
      </c>
      <c r="G1059" s="260" t="s">
        <v>283</v>
      </c>
      <c r="H1059" s="256" t="s">
        <v>283</v>
      </c>
      <c r="I1059" s="256" t="s">
        <v>283</v>
      </c>
      <c r="J1059" s="256" t="s">
        <v>283</v>
      </c>
      <c r="K1059" s="256" t="s">
        <v>283</v>
      </c>
      <c r="L1059" s="256" t="s">
        <v>283</v>
      </c>
      <c r="M1059" s="256" t="s">
        <v>283</v>
      </c>
      <c r="N1059" s="256" t="s">
        <v>283</v>
      </c>
      <c r="O1059" s="257" t="s">
        <v>283</v>
      </c>
      <c r="P1059" s="257" t="s">
        <v>283</v>
      </c>
      <c r="Q1059" s="257" t="s">
        <v>283</v>
      </c>
      <c r="R1059" s="257" t="s">
        <v>283</v>
      </c>
      <c r="S1059" s="257" t="s">
        <v>283</v>
      </c>
      <c r="T1059" s="257" t="s">
        <v>283</v>
      </c>
      <c r="U1059" s="257" t="s">
        <v>283</v>
      </c>
      <c r="V1059" s="257" t="s">
        <v>283</v>
      </c>
      <c r="W1059" s="258" t="s">
        <v>283</v>
      </c>
      <c r="X1059" s="258" t="s">
        <v>283</v>
      </c>
      <c r="Y1059" s="259" t="s">
        <v>283</v>
      </c>
    </row>
    <row r="1060" spans="1:25">
      <c r="A1060" s="253">
        <v>20</v>
      </c>
      <c r="B1060" s="254" t="str">
        <f>VLOOKUP(Tabel10[[#This Row],[Code]],Ruimtegroepen[[Code]:[Ruimte omschrijving]],2,FALSE)</f>
        <v>Niet in Onderhoud</v>
      </c>
      <c r="C1060" s="255" t="s">
        <v>1168</v>
      </c>
      <c r="D1060" s="254" t="s">
        <v>21</v>
      </c>
      <c r="E1060" s="255" t="s">
        <v>100</v>
      </c>
      <c r="F1060" s="255" t="s">
        <v>1169</v>
      </c>
      <c r="G1060" s="260" t="s">
        <v>283</v>
      </c>
      <c r="H1060" s="256" t="s">
        <v>283</v>
      </c>
      <c r="I1060" s="256" t="s">
        <v>283</v>
      </c>
      <c r="J1060" s="256" t="s">
        <v>283</v>
      </c>
      <c r="K1060" s="256" t="s">
        <v>283</v>
      </c>
      <c r="L1060" s="256" t="s">
        <v>283</v>
      </c>
      <c r="M1060" s="256" t="s">
        <v>283</v>
      </c>
      <c r="N1060" s="256" t="s">
        <v>283</v>
      </c>
      <c r="O1060" s="257" t="s">
        <v>283</v>
      </c>
      <c r="P1060" s="257" t="s">
        <v>283</v>
      </c>
      <c r="Q1060" s="257" t="s">
        <v>283</v>
      </c>
      <c r="R1060" s="257" t="s">
        <v>283</v>
      </c>
      <c r="S1060" s="257" t="s">
        <v>283</v>
      </c>
      <c r="T1060" s="257" t="s">
        <v>283</v>
      </c>
      <c r="U1060" s="257" t="s">
        <v>283</v>
      </c>
      <c r="V1060" s="257" t="s">
        <v>283</v>
      </c>
      <c r="W1060" s="258" t="s">
        <v>283</v>
      </c>
      <c r="X1060" s="258" t="s">
        <v>283</v>
      </c>
      <c r="Y1060" s="259" t="s">
        <v>283</v>
      </c>
    </row>
    <row r="1061" spans="1:25">
      <c r="A1061" s="253">
        <v>20</v>
      </c>
      <c r="B1061" s="254" t="str">
        <f>VLOOKUP(Tabel10[[#This Row],[Code]],Ruimtegroepen[[Code]:[Ruimte omschrijving]],2,FALSE)</f>
        <v>Niet in Onderhoud</v>
      </c>
      <c r="C1061" s="255" t="s">
        <v>1168</v>
      </c>
      <c r="D1061" s="254" t="s">
        <v>21</v>
      </c>
      <c r="E1061" s="255" t="s">
        <v>99</v>
      </c>
      <c r="F1061" s="255" t="s">
        <v>1170</v>
      </c>
      <c r="G1061" s="260" t="s">
        <v>283</v>
      </c>
      <c r="H1061" s="256" t="s">
        <v>283</v>
      </c>
      <c r="I1061" s="256" t="s">
        <v>283</v>
      </c>
      <c r="J1061" s="256" t="s">
        <v>283</v>
      </c>
      <c r="K1061" s="256" t="s">
        <v>283</v>
      </c>
      <c r="L1061" s="256" t="s">
        <v>283</v>
      </c>
      <c r="M1061" s="256" t="s">
        <v>283</v>
      </c>
      <c r="N1061" s="256" t="s">
        <v>283</v>
      </c>
      <c r="O1061" s="257" t="s">
        <v>283</v>
      </c>
      <c r="P1061" s="257" t="s">
        <v>283</v>
      </c>
      <c r="Q1061" s="257" t="s">
        <v>283</v>
      </c>
      <c r="R1061" s="257" t="s">
        <v>283</v>
      </c>
      <c r="S1061" s="257" t="s">
        <v>283</v>
      </c>
      <c r="T1061" s="257" t="s">
        <v>283</v>
      </c>
      <c r="U1061" s="257" t="s">
        <v>283</v>
      </c>
      <c r="V1061" s="257" t="s">
        <v>283</v>
      </c>
      <c r="W1061" s="258" t="s">
        <v>283</v>
      </c>
      <c r="X1061" s="258" t="s">
        <v>283</v>
      </c>
      <c r="Y1061" s="259" t="s">
        <v>283</v>
      </c>
    </row>
    <row r="1062" spans="1:25">
      <c r="A1062" s="253">
        <v>20</v>
      </c>
      <c r="B1062" s="254" t="str">
        <f>VLOOKUP(Tabel10[[#This Row],[Code]],Ruimtegroepen[[Code]:[Ruimte omschrijving]],2,FALSE)</f>
        <v>Niet in Onderhoud</v>
      </c>
      <c r="C1062" s="255" t="s">
        <v>1168</v>
      </c>
      <c r="D1062" s="254" t="s">
        <v>21</v>
      </c>
      <c r="E1062" s="255" t="s">
        <v>101</v>
      </c>
      <c r="F1062" s="255" t="s">
        <v>1171</v>
      </c>
      <c r="G1062" s="260" t="s">
        <v>283</v>
      </c>
      <c r="H1062" s="256" t="s">
        <v>283</v>
      </c>
      <c r="I1062" s="256" t="s">
        <v>283</v>
      </c>
      <c r="J1062" s="256" t="s">
        <v>283</v>
      </c>
      <c r="K1062" s="256" t="s">
        <v>283</v>
      </c>
      <c r="L1062" s="256" t="s">
        <v>283</v>
      </c>
      <c r="M1062" s="256" t="s">
        <v>283</v>
      </c>
      <c r="N1062" s="256" t="s">
        <v>283</v>
      </c>
      <c r="O1062" s="257" t="s">
        <v>283</v>
      </c>
      <c r="P1062" s="257" t="s">
        <v>283</v>
      </c>
      <c r="Q1062" s="257" t="s">
        <v>283</v>
      </c>
      <c r="R1062" s="257" t="s">
        <v>283</v>
      </c>
      <c r="S1062" s="257" t="s">
        <v>283</v>
      </c>
      <c r="T1062" s="257" t="s">
        <v>283</v>
      </c>
      <c r="U1062" s="257" t="s">
        <v>283</v>
      </c>
      <c r="V1062" s="257" t="s">
        <v>283</v>
      </c>
      <c r="W1062" s="258" t="s">
        <v>283</v>
      </c>
      <c r="X1062" s="258" t="s">
        <v>283</v>
      </c>
      <c r="Y1062" s="259" t="s">
        <v>283</v>
      </c>
    </row>
    <row r="1063" spans="1:25">
      <c r="A1063" s="253">
        <v>20</v>
      </c>
      <c r="B1063" s="254" t="str">
        <f>VLOOKUP(Tabel10[[#This Row],[Code]],Ruimtegroepen[[Code]:[Ruimte omschrijving]],2,FALSE)</f>
        <v>Niet in Onderhoud</v>
      </c>
      <c r="C1063" s="255" t="s">
        <v>1168</v>
      </c>
      <c r="D1063" s="254" t="s">
        <v>21</v>
      </c>
      <c r="E1063" s="255" t="s">
        <v>102</v>
      </c>
      <c r="F1063" s="255" t="s">
        <v>1172</v>
      </c>
      <c r="G1063" s="260" t="s">
        <v>283</v>
      </c>
      <c r="H1063" s="256" t="s">
        <v>283</v>
      </c>
      <c r="I1063" s="256" t="s">
        <v>283</v>
      </c>
      <c r="J1063" s="256" t="s">
        <v>283</v>
      </c>
      <c r="K1063" s="256" t="s">
        <v>283</v>
      </c>
      <c r="L1063" s="256" t="s">
        <v>283</v>
      </c>
      <c r="M1063" s="256" t="s">
        <v>283</v>
      </c>
      <c r="N1063" s="256" t="s">
        <v>283</v>
      </c>
      <c r="O1063" s="257" t="s">
        <v>283</v>
      </c>
      <c r="P1063" s="257" t="s">
        <v>283</v>
      </c>
      <c r="Q1063" s="257" t="s">
        <v>283</v>
      </c>
      <c r="R1063" s="257" t="s">
        <v>283</v>
      </c>
      <c r="S1063" s="257" t="s">
        <v>283</v>
      </c>
      <c r="T1063" s="257" t="s">
        <v>283</v>
      </c>
      <c r="U1063" s="257" t="s">
        <v>283</v>
      </c>
      <c r="V1063" s="257" t="s">
        <v>283</v>
      </c>
      <c r="W1063" s="258" t="s">
        <v>283</v>
      </c>
      <c r="X1063" s="258" t="s">
        <v>283</v>
      </c>
      <c r="Y1063" s="259" t="s">
        <v>283</v>
      </c>
    </row>
    <row r="1064" spans="1:25">
      <c r="A1064" s="253">
        <v>20</v>
      </c>
      <c r="B1064" s="254" t="str">
        <f>VLOOKUP(Tabel10[[#This Row],[Code]],Ruimtegroepen[[Code]:[Ruimte omschrijving]],2,FALSE)</f>
        <v>Niet in Onderhoud</v>
      </c>
      <c r="C1064" s="255" t="s">
        <v>1168</v>
      </c>
      <c r="D1064" s="254" t="s">
        <v>21</v>
      </c>
      <c r="E1064" s="255" t="s">
        <v>99</v>
      </c>
      <c r="F1064" s="255" t="s">
        <v>1170</v>
      </c>
      <c r="G1064" s="260" t="s">
        <v>283</v>
      </c>
      <c r="H1064" s="256" t="s">
        <v>283</v>
      </c>
      <c r="I1064" s="256" t="s">
        <v>283</v>
      </c>
      <c r="J1064" s="256" t="s">
        <v>283</v>
      </c>
      <c r="K1064" s="256" t="s">
        <v>283</v>
      </c>
      <c r="L1064" s="256" t="s">
        <v>283</v>
      </c>
      <c r="M1064" s="256" t="s">
        <v>283</v>
      </c>
      <c r="N1064" s="256" t="s">
        <v>283</v>
      </c>
      <c r="O1064" s="257" t="s">
        <v>283</v>
      </c>
      <c r="P1064" s="257" t="s">
        <v>283</v>
      </c>
      <c r="Q1064" s="257" t="s">
        <v>283</v>
      </c>
      <c r="R1064" s="257" t="s">
        <v>283</v>
      </c>
      <c r="S1064" s="257" t="s">
        <v>283</v>
      </c>
      <c r="T1064" s="257" t="s">
        <v>283</v>
      </c>
      <c r="U1064" s="257" t="s">
        <v>283</v>
      </c>
      <c r="V1064" s="257" t="s">
        <v>283</v>
      </c>
      <c r="W1064" s="258" t="s">
        <v>283</v>
      </c>
      <c r="X1064" s="258" t="s">
        <v>283</v>
      </c>
      <c r="Y1064" s="259" t="s">
        <v>283</v>
      </c>
    </row>
    <row r="1065" spans="1:25">
      <c r="A1065" s="253">
        <v>20</v>
      </c>
      <c r="B1065" s="254" t="str">
        <f>VLOOKUP(Tabel10[[#This Row],[Code]],Ruimtegroepen[[Code]:[Ruimte omschrijving]],2,FALSE)</f>
        <v>Niet in Onderhoud</v>
      </c>
      <c r="C1065" s="255" t="s">
        <v>1168</v>
      </c>
      <c r="D1065" s="254" t="s">
        <v>21</v>
      </c>
      <c r="E1065" s="255" t="s">
        <v>1312</v>
      </c>
      <c r="F1065" s="255" t="s">
        <v>1328</v>
      </c>
      <c r="G1065" s="260" t="s">
        <v>283</v>
      </c>
      <c r="H1065" s="256" t="s">
        <v>283</v>
      </c>
      <c r="I1065" s="256" t="s">
        <v>283</v>
      </c>
      <c r="J1065" s="256" t="s">
        <v>283</v>
      </c>
      <c r="K1065" s="256" t="s">
        <v>283</v>
      </c>
      <c r="L1065" s="256" t="s">
        <v>283</v>
      </c>
      <c r="M1065" s="256" t="s">
        <v>283</v>
      </c>
      <c r="N1065" s="256" t="s">
        <v>283</v>
      </c>
      <c r="O1065" s="257" t="s">
        <v>283</v>
      </c>
      <c r="P1065" s="257" t="s">
        <v>283</v>
      </c>
      <c r="Q1065" s="257" t="s">
        <v>283</v>
      </c>
      <c r="R1065" s="257" t="s">
        <v>283</v>
      </c>
      <c r="S1065" s="257" t="s">
        <v>283</v>
      </c>
      <c r="T1065" s="257" t="s">
        <v>283</v>
      </c>
      <c r="U1065" s="257" t="s">
        <v>283</v>
      </c>
      <c r="V1065" s="257" t="s">
        <v>283</v>
      </c>
      <c r="W1065" s="258" t="s">
        <v>283</v>
      </c>
      <c r="X1065" s="258" t="s">
        <v>283</v>
      </c>
      <c r="Y1065" s="259" t="s">
        <v>283</v>
      </c>
    </row>
    <row r="1066" spans="1:25">
      <c r="A1066" s="253">
        <v>20</v>
      </c>
      <c r="B1066" s="254" t="str">
        <f>VLOOKUP(Tabel10[[#This Row],[Code]],Ruimtegroepen[[Code]:[Ruimte omschrijving]],2,FALSE)</f>
        <v>Niet in Onderhoud</v>
      </c>
      <c r="C1066" s="255" t="s">
        <v>1173</v>
      </c>
      <c r="D1066" s="254" t="s">
        <v>12</v>
      </c>
      <c r="E1066" s="255" t="s">
        <v>100</v>
      </c>
      <c r="F1066" s="255" t="s">
        <v>1174</v>
      </c>
      <c r="G1066" s="260" t="s">
        <v>283</v>
      </c>
      <c r="H1066" s="256" t="s">
        <v>283</v>
      </c>
      <c r="I1066" s="256" t="s">
        <v>283</v>
      </c>
      <c r="J1066" s="256" t="s">
        <v>283</v>
      </c>
      <c r="K1066" s="256" t="s">
        <v>283</v>
      </c>
      <c r="L1066" s="256" t="s">
        <v>283</v>
      </c>
      <c r="M1066" s="256" t="s">
        <v>283</v>
      </c>
      <c r="N1066" s="256" t="s">
        <v>283</v>
      </c>
      <c r="O1066" s="257" t="s">
        <v>283</v>
      </c>
      <c r="P1066" s="257" t="s">
        <v>283</v>
      </c>
      <c r="Q1066" s="257" t="s">
        <v>283</v>
      </c>
      <c r="R1066" s="257" t="s">
        <v>283</v>
      </c>
      <c r="S1066" s="257" t="s">
        <v>283</v>
      </c>
      <c r="T1066" s="257" t="s">
        <v>283</v>
      </c>
      <c r="U1066" s="257" t="s">
        <v>283</v>
      </c>
      <c r="V1066" s="257" t="s">
        <v>283</v>
      </c>
      <c r="W1066" s="258" t="s">
        <v>283</v>
      </c>
      <c r="X1066" s="258" t="s">
        <v>283</v>
      </c>
      <c r="Y1066" s="259" t="s">
        <v>283</v>
      </c>
    </row>
    <row r="1067" spans="1:25">
      <c r="A1067" s="253">
        <v>20</v>
      </c>
      <c r="B1067" s="254" t="str">
        <f>VLOOKUP(Tabel10[[#This Row],[Code]],Ruimtegroepen[[Code]:[Ruimte omschrijving]],2,FALSE)</f>
        <v>Niet in Onderhoud</v>
      </c>
      <c r="C1067" s="255" t="s">
        <v>1173</v>
      </c>
      <c r="D1067" s="254" t="s">
        <v>12</v>
      </c>
      <c r="E1067" s="255" t="s">
        <v>99</v>
      </c>
      <c r="F1067" s="255" t="s">
        <v>1175</v>
      </c>
      <c r="G1067" s="260" t="s">
        <v>283</v>
      </c>
      <c r="H1067" s="256" t="s">
        <v>283</v>
      </c>
      <c r="I1067" s="256" t="s">
        <v>283</v>
      </c>
      <c r="J1067" s="256" t="s">
        <v>283</v>
      </c>
      <c r="K1067" s="256" t="s">
        <v>283</v>
      </c>
      <c r="L1067" s="256" t="s">
        <v>283</v>
      </c>
      <c r="M1067" s="256" t="s">
        <v>283</v>
      </c>
      <c r="N1067" s="256" t="s">
        <v>283</v>
      </c>
      <c r="O1067" s="257" t="s">
        <v>283</v>
      </c>
      <c r="P1067" s="257" t="s">
        <v>283</v>
      </c>
      <c r="Q1067" s="257" t="s">
        <v>283</v>
      </c>
      <c r="R1067" s="257" t="s">
        <v>283</v>
      </c>
      <c r="S1067" s="257" t="s">
        <v>283</v>
      </c>
      <c r="T1067" s="257" t="s">
        <v>283</v>
      </c>
      <c r="U1067" s="257" t="s">
        <v>283</v>
      </c>
      <c r="V1067" s="257" t="s">
        <v>283</v>
      </c>
      <c r="W1067" s="258" t="s">
        <v>283</v>
      </c>
      <c r="X1067" s="258" t="s">
        <v>283</v>
      </c>
      <c r="Y1067" s="259" t="s">
        <v>283</v>
      </c>
    </row>
    <row r="1068" spans="1:25">
      <c r="A1068" s="253">
        <v>20</v>
      </c>
      <c r="B1068" s="254" t="str">
        <f>VLOOKUP(Tabel10[[#This Row],[Code]],Ruimtegroepen[[Code]:[Ruimte omschrijving]],2,FALSE)</f>
        <v>Niet in Onderhoud</v>
      </c>
      <c r="C1068" s="255" t="s">
        <v>1173</v>
      </c>
      <c r="D1068" s="254" t="s">
        <v>12</v>
      </c>
      <c r="E1068" s="255" t="s">
        <v>101</v>
      </c>
      <c r="F1068" s="255" t="s">
        <v>1176</v>
      </c>
      <c r="G1068" s="260" t="s">
        <v>283</v>
      </c>
      <c r="H1068" s="256" t="s">
        <v>283</v>
      </c>
      <c r="I1068" s="256" t="s">
        <v>283</v>
      </c>
      <c r="J1068" s="256" t="s">
        <v>283</v>
      </c>
      <c r="K1068" s="256" t="s">
        <v>283</v>
      </c>
      <c r="L1068" s="256" t="s">
        <v>283</v>
      </c>
      <c r="M1068" s="256" t="s">
        <v>283</v>
      </c>
      <c r="N1068" s="256" t="s">
        <v>283</v>
      </c>
      <c r="O1068" s="257" t="s">
        <v>283</v>
      </c>
      <c r="P1068" s="257" t="s">
        <v>283</v>
      </c>
      <c r="Q1068" s="257" t="s">
        <v>283</v>
      </c>
      <c r="R1068" s="257" t="s">
        <v>283</v>
      </c>
      <c r="S1068" s="257" t="s">
        <v>283</v>
      </c>
      <c r="T1068" s="257" t="s">
        <v>283</v>
      </c>
      <c r="U1068" s="257" t="s">
        <v>283</v>
      </c>
      <c r="V1068" s="257" t="s">
        <v>283</v>
      </c>
      <c r="W1068" s="258" t="s">
        <v>283</v>
      </c>
      <c r="X1068" s="258" t="s">
        <v>283</v>
      </c>
      <c r="Y1068" s="259" t="s">
        <v>283</v>
      </c>
    </row>
    <row r="1069" spans="1:25">
      <c r="A1069" s="253">
        <v>20</v>
      </c>
      <c r="B1069" s="254" t="str">
        <f>VLOOKUP(Tabel10[[#This Row],[Code]],Ruimtegroepen[[Code]:[Ruimte omschrijving]],2,FALSE)</f>
        <v>Niet in Onderhoud</v>
      </c>
      <c r="C1069" s="255" t="s">
        <v>1173</v>
      </c>
      <c r="D1069" s="254" t="s">
        <v>12</v>
      </c>
      <c r="E1069" s="255" t="s">
        <v>102</v>
      </c>
      <c r="F1069" s="255" t="s">
        <v>1177</v>
      </c>
      <c r="G1069" s="260" t="s">
        <v>283</v>
      </c>
      <c r="H1069" s="256" t="s">
        <v>283</v>
      </c>
      <c r="I1069" s="256" t="s">
        <v>283</v>
      </c>
      <c r="J1069" s="256" t="s">
        <v>283</v>
      </c>
      <c r="K1069" s="256" t="s">
        <v>283</v>
      </c>
      <c r="L1069" s="256" t="s">
        <v>283</v>
      </c>
      <c r="M1069" s="256" t="s">
        <v>283</v>
      </c>
      <c r="N1069" s="256" t="s">
        <v>283</v>
      </c>
      <c r="O1069" s="257" t="s">
        <v>283</v>
      </c>
      <c r="P1069" s="257" t="s">
        <v>283</v>
      </c>
      <c r="Q1069" s="257" t="s">
        <v>283</v>
      </c>
      <c r="R1069" s="257" t="s">
        <v>283</v>
      </c>
      <c r="S1069" s="257" t="s">
        <v>283</v>
      </c>
      <c r="T1069" s="257" t="s">
        <v>283</v>
      </c>
      <c r="U1069" s="257" t="s">
        <v>283</v>
      </c>
      <c r="V1069" s="257" t="s">
        <v>283</v>
      </c>
      <c r="W1069" s="258" t="s">
        <v>283</v>
      </c>
      <c r="X1069" s="258" t="s">
        <v>283</v>
      </c>
      <c r="Y1069" s="259" t="s">
        <v>283</v>
      </c>
    </row>
    <row r="1070" spans="1:25">
      <c r="A1070" s="253">
        <v>20</v>
      </c>
      <c r="B1070" s="254" t="str">
        <f>VLOOKUP(Tabel10[[#This Row],[Code]],Ruimtegroepen[[Code]:[Ruimte omschrijving]],2,FALSE)</f>
        <v>Niet in Onderhoud</v>
      </c>
      <c r="C1070" s="255" t="s">
        <v>1173</v>
      </c>
      <c r="D1070" s="254" t="s">
        <v>12</v>
      </c>
      <c r="E1070" s="255" t="s">
        <v>99</v>
      </c>
      <c r="F1070" s="255" t="s">
        <v>1175</v>
      </c>
      <c r="G1070" s="260" t="s">
        <v>283</v>
      </c>
      <c r="H1070" s="256" t="s">
        <v>283</v>
      </c>
      <c r="I1070" s="256" t="s">
        <v>283</v>
      </c>
      <c r="J1070" s="256" t="s">
        <v>283</v>
      </c>
      <c r="K1070" s="256" t="s">
        <v>283</v>
      </c>
      <c r="L1070" s="256" t="s">
        <v>283</v>
      </c>
      <c r="M1070" s="256" t="s">
        <v>283</v>
      </c>
      <c r="N1070" s="256" t="s">
        <v>283</v>
      </c>
      <c r="O1070" s="257" t="s">
        <v>283</v>
      </c>
      <c r="P1070" s="257" t="s">
        <v>283</v>
      </c>
      <c r="Q1070" s="257" t="s">
        <v>283</v>
      </c>
      <c r="R1070" s="257" t="s">
        <v>283</v>
      </c>
      <c r="S1070" s="257" t="s">
        <v>283</v>
      </c>
      <c r="T1070" s="257" t="s">
        <v>283</v>
      </c>
      <c r="U1070" s="257" t="s">
        <v>283</v>
      </c>
      <c r="V1070" s="257" t="s">
        <v>283</v>
      </c>
      <c r="W1070" s="258" t="s">
        <v>283</v>
      </c>
      <c r="X1070" s="258" t="s">
        <v>283</v>
      </c>
      <c r="Y1070" s="259" t="s">
        <v>283</v>
      </c>
    </row>
    <row r="1071" spans="1:25">
      <c r="A1071" s="253">
        <v>20</v>
      </c>
      <c r="B1071" s="254" t="str">
        <f>VLOOKUP(Tabel10[[#This Row],[Code]],Ruimtegroepen[[Code]:[Ruimte omschrijving]],2,FALSE)</f>
        <v>Niet in Onderhoud</v>
      </c>
      <c r="C1071" s="255" t="s">
        <v>1173</v>
      </c>
      <c r="D1071" s="254" t="s">
        <v>12</v>
      </c>
      <c r="E1071" s="255" t="s">
        <v>1312</v>
      </c>
      <c r="F1071" s="255" t="s">
        <v>1327</v>
      </c>
      <c r="G1071" s="260" t="s">
        <v>283</v>
      </c>
      <c r="H1071" s="256" t="s">
        <v>283</v>
      </c>
      <c r="I1071" s="256" t="s">
        <v>283</v>
      </c>
      <c r="J1071" s="256" t="s">
        <v>283</v>
      </c>
      <c r="K1071" s="256" t="s">
        <v>283</v>
      </c>
      <c r="L1071" s="256" t="s">
        <v>283</v>
      </c>
      <c r="M1071" s="256" t="s">
        <v>283</v>
      </c>
      <c r="N1071" s="256" t="s">
        <v>283</v>
      </c>
      <c r="O1071" s="257" t="s">
        <v>283</v>
      </c>
      <c r="P1071" s="257" t="s">
        <v>283</v>
      </c>
      <c r="Q1071" s="257" t="s">
        <v>283</v>
      </c>
      <c r="R1071" s="257" t="s">
        <v>283</v>
      </c>
      <c r="S1071" s="257" t="s">
        <v>283</v>
      </c>
      <c r="T1071" s="257" t="s">
        <v>283</v>
      </c>
      <c r="U1071" s="257" t="s">
        <v>283</v>
      </c>
      <c r="V1071" s="257" t="s">
        <v>283</v>
      </c>
      <c r="W1071" s="258" t="s">
        <v>283</v>
      </c>
      <c r="X1071" s="258" t="s">
        <v>283</v>
      </c>
      <c r="Y1071" s="259" t="s">
        <v>283</v>
      </c>
    </row>
    <row r="1072" spans="1:25">
      <c r="A1072" s="253">
        <v>20</v>
      </c>
      <c r="B1072" s="254" t="str">
        <f>VLOOKUP(Tabel10[[#This Row],[Code]],Ruimtegroepen[[Code]:[Ruimte omschrijving]],2,FALSE)</f>
        <v>Niet in Onderhoud</v>
      </c>
      <c r="C1072" s="255" t="s">
        <v>1178</v>
      </c>
      <c r="D1072" s="254" t="s">
        <v>14</v>
      </c>
      <c r="E1072" s="255" t="s">
        <v>100</v>
      </c>
      <c r="F1072" s="255" t="s">
        <v>1179</v>
      </c>
      <c r="G1072" s="260" t="s">
        <v>283</v>
      </c>
      <c r="H1072" s="256" t="s">
        <v>283</v>
      </c>
      <c r="I1072" s="256" t="s">
        <v>283</v>
      </c>
      <c r="J1072" s="256" t="s">
        <v>283</v>
      </c>
      <c r="K1072" s="256" t="s">
        <v>283</v>
      </c>
      <c r="L1072" s="256" t="s">
        <v>283</v>
      </c>
      <c r="M1072" s="256" t="s">
        <v>283</v>
      </c>
      <c r="N1072" s="256" t="s">
        <v>283</v>
      </c>
      <c r="O1072" s="257" t="s">
        <v>283</v>
      </c>
      <c r="P1072" s="257" t="s">
        <v>283</v>
      </c>
      <c r="Q1072" s="257" t="s">
        <v>283</v>
      </c>
      <c r="R1072" s="257" t="s">
        <v>283</v>
      </c>
      <c r="S1072" s="257" t="s">
        <v>283</v>
      </c>
      <c r="T1072" s="257" t="s">
        <v>283</v>
      </c>
      <c r="U1072" s="257" t="s">
        <v>283</v>
      </c>
      <c r="V1072" s="257" t="s">
        <v>283</v>
      </c>
      <c r="W1072" s="258" t="s">
        <v>283</v>
      </c>
      <c r="X1072" s="258" t="s">
        <v>283</v>
      </c>
      <c r="Y1072" s="259" t="s">
        <v>283</v>
      </c>
    </row>
    <row r="1073" spans="1:25">
      <c r="A1073" s="253">
        <v>20</v>
      </c>
      <c r="B1073" s="254" t="str">
        <f>VLOOKUP(Tabel10[[#This Row],[Code]],Ruimtegroepen[[Code]:[Ruimte omschrijving]],2,FALSE)</f>
        <v>Niet in Onderhoud</v>
      </c>
      <c r="C1073" s="255" t="s">
        <v>1178</v>
      </c>
      <c r="D1073" s="254" t="s">
        <v>14</v>
      </c>
      <c r="E1073" s="255" t="s">
        <v>99</v>
      </c>
      <c r="F1073" s="255" t="s">
        <v>1180</v>
      </c>
      <c r="G1073" s="260" t="s">
        <v>283</v>
      </c>
      <c r="H1073" s="256" t="s">
        <v>283</v>
      </c>
      <c r="I1073" s="256" t="s">
        <v>283</v>
      </c>
      <c r="J1073" s="256" t="s">
        <v>283</v>
      </c>
      <c r="K1073" s="256" t="s">
        <v>283</v>
      </c>
      <c r="L1073" s="256" t="s">
        <v>283</v>
      </c>
      <c r="M1073" s="256" t="s">
        <v>283</v>
      </c>
      <c r="N1073" s="256" t="s">
        <v>283</v>
      </c>
      <c r="O1073" s="257" t="s">
        <v>283</v>
      </c>
      <c r="P1073" s="257" t="s">
        <v>283</v>
      </c>
      <c r="Q1073" s="257" t="s">
        <v>283</v>
      </c>
      <c r="R1073" s="257" t="s">
        <v>283</v>
      </c>
      <c r="S1073" s="257" t="s">
        <v>283</v>
      </c>
      <c r="T1073" s="257" t="s">
        <v>283</v>
      </c>
      <c r="U1073" s="257" t="s">
        <v>283</v>
      </c>
      <c r="V1073" s="257" t="s">
        <v>283</v>
      </c>
      <c r="W1073" s="258" t="s">
        <v>283</v>
      </c>
      <c r="X1073" s="258" t="s">
        <v>283</v>
      </c>
      <c r="Y1073" s="259" t="s">
        <v>283</v>
      </c>
    </row>
    <row r="1074" spans="1:25">
      <c r="A1074" s="253">
        <v>20</v>
      </c>
      <c r="B1074" s="254" t="str">
        <f>VLOOKUP(Tabel10[[#This Row],[Code]],Ruimtegroepen[[Code]:[Ruimte omschrijving]],2,FALSE)</f>
        <v>Niet in Onderhoud</v>
      </c>
      <c r="C1074" s="255" t="s">
        <v>1178</v>
      </c>
      <c r="D1074" s="254" t="s">
        <v>14</v>
      </c>
      <c r="E1074" s="255" t="s">
        <v>101</v>
      </c>
      <c r="F1074" s="255" t="s">
        <v>1181</v>
      </c>
      <c r="G1074" s="260" t="s">
        <v>283</v>
      </c>
      <c r="H1074" s="256" t="s">
        <v>283</v>
      </c>
      <c r="I1074" s="256" t="s">
        <v>283</v>
      </c>
      <c r="J1074" s="256" t="s">
        <v>283</v>
      </c>
      <c r="K1074" s="256" t="s">
        <v>283</v>
      </c>
      <c r="L1074" s="256" t="s">
        <v>283</v>
      </c>
      <c r="M1074" s="256" t="s">
        <v>283</v>
      </c>
      <c r="N1074" s="256" t="s">
        <v>283</v>
      </c>
      <c r="O1074" s="257" t="s">
        <v>283</v>
      </c>
      <c r="P1074" s="257" t="s">
        <v>283</v>
      </c>
      <c r="Q1074" s="257" t="s">
        <v>283</v>
      </c>
      <c r="R1074" s="257" t="s">
        <v>283</v>
      </c>
      <c r="S1074" s="257" t="s">
        <v>283</v>
      </c>
      <c r="T1074" s="257" t="s">
        <v>283</v>
      </c>
      <c r="U1074" s="257" t="s">
        <v>283</v>
      </c>
      <c r="V1074" s="257" t="s">
        <v>283</v>
      </c>
      <c r="W1074" s="258" t="s">
        <v>283</v>
      </c>
      <c r="X1074" s="258" t="s">
        <v>283</v>
      </c>
      <c r="Y1074" s="259" t="s">
        <v>283</v>
      </c>
    </row>
    <row r="1075" spans="1:25">
      <c r="A1075" s="253">
        <v>20</v>
      </c>
      <c r="B1075" s="254" t="str">
        <f>VLOOKUP(Tabel10[[#This Row],[Code]],Ruimtegroepen[[Code]:[Ruimte omschrijving]],2,FALSE)</f>
        <v>Niet in Onderhoud</v>
      </c>
      <c r="C1075" s="255" t="s">
        <v>1178</v>
      </c>
      <c r="D1075" s="254" t="s">
        <v>14</v>
      </c>
      <c r="E1075" s="255" t="s">
        <v>102</v>
      </c>
      <c r="F1075" s="255" t="s">
        <v>1182</v>
      </c>
      <c r="G1075" s="260" t="s">
        <v>283</v>
      </c>
      <c r="H1075" s="256" t="s">
        <v>283</v>
      </c>
      <c r="I1075" s="256" t="s">
        <v>283</v>
      </c>
      <c r="J1075" s="256" t="s">
        <v>283</v>
      </c>
      <c r="K1075" s="256" t="s">
        <v>283</v>
      </c>
      <c r="L1075" s="256" t="s">
        <v>283</v>
      </c>
      <c r="M1075" s="256" t="s">
        <v>283</v>
      </c>
      <c r="N1075" s="256" t="s">
        <v>283</v>
      </c>
      <c r="O1075" s="257" t="s">
        <v>283</v>
      </c>
      <c r="P1075" s="257" t="s">
        <v>283</v>
      </c>
      <c r="Q1075" s="257" t="s">
        <v>283</v>
      </c>
      <c r="R1075" s="257" t="s">
        <v>283</v>
      </c>
      <c r="S1075" s="257" t="s">
        <v>283</v>
      </c>
      <c r="T1075" s="257" t="s">
        <v>283</v>
      </c>
      <c r="U1075" s="257" t="s">
        <v>283</v>
      </c>
      <c r="V1075" s="257" t="s">
        <v>283</v>
      </c>
      <c r="W1075" s="258" t="s">
        <v>283</v>
      </c>
      <c r="X1075" s="258" t="s">
        <v>283</v>
      </c>
      <c r="Y1075" s="259" t="s">
        <v>283</v>
      </c>
    </row>
    <row r="1076" spans="1:25">
      <c r="A1076" s="253">
        <v>20</v>
      </c>
      <c r="B1076" s="254" t="str">
        <f>VLOOKUP(Tabel10[[#This Row],[Code]],Ruimtegroepen[[Code]:[Ruimte omschrijving]],2,FALSE)</f>
        <v>Niet in Onderhoud</v>
      </c>
      <c r="C1076" s="255" t="s">
        <v>1178</v>
      </c>
      <c r="D1076" s="254" t="s">
        <v>14</v>
      </c>
      <c r="E1076" s="255" t="s">
        <v>99</v>
      </c>
      <c r="F1076" s="255" t="s">
        <v>1180</v>
      </c>
      <c r="G1076" s="260" t="s">
        <v>283</v>
      </c>
      <c r="H1076" s="256" t="s">
        <v>283</v>
      </c>
      <c r="I1076" s="256" t="s">
        <v>283</v>
      </c>
      <c r="J1076" s="256" t="s">
        <v>283</v>
      </c>
      <c r="K1076" s="256" t="s">
        <v>283</v>
      </c>
      <c r="L1076" s="256" t="s">
        <v>283</v>
      </c>
      <c r="M1076" s="256" t="s">
        <v>283</v>
      </c>
      <c r="N1076" s="256" t="s">
        <v>283</v>
      </c>
      <c r="O1076" s="257" t="s">
        <v>283</v>
      </c>
      <c r="P1076" s="257" t="s">
        <v>283</v>
      </c>
      <c r="Q1076" s="257" t="s">
        <v>283</v>
      </c>
      <c r="R1076" s="257" t="s">
        <v>283</v>
      </c>
      <c r="S1076" s="257" t="s">
        <v>283</v>
      </c>
      <c r="T1076" s="257" t="s">
        <v>283</v>
      </c>
      <c r="U1076" s="257" t="s">
        <v>283</v>
      </c>
      <c r="V1076" s="257" t="s">
        <v>283</v>
      </c>
      <c r="W1076" s="258" t="s">
        <v>283</v>
      </c>
      <c r="X1076" s="258" t="s">
        <v>283</v>
      </c>
      <c r="Y1076" s="259" t="s">
        <v>283</v>
      </c>
    </row>
    <row r="1077" spans="1:25">
      <c r="A1077" s="253">
        <v>20</v>
      </c>
      <c r="B1077" s="254" t="str">
        <f>VLOOKUP(Tabel10[[#This Row],[Code]],Ruimtegroepen[[Code]:[Ruimte omschrijving]],2,FALSE)</f>
        <v>Niet in Onderhoud</v>
      </c>
      <c r="C1077" s="255" t="s">
        <v>1178</v>
      </c>
      <c r="D1077" s="254" t="s">
        <v>14</v>
      </c>
      <c r="E1077" s="255" t="s">
        <v>1312</v>
      </c>
      <c r="F1077" s="255" t="s">
        <v>1326</v>
      </c>
      <c r="G1077" s="260" t="s">
        <v>283</v>
      </c>
      <c r="H1077" s="256" t="s">
        <v>283</v>
      </c>
      <c r="I1077" s="256" t="s">
        <v>283</v>
      </c>
      <c r="J1077" s="256" t="s">
        <v>283</v>
      </c>
      <c r="K1077" s="256" t="s">
        <v>283</v>
      </c>
      <c r="L1077" s="256" t="s">
        <v>283</v>
      </c>
      <c r="M1077" s="256" t="s">
        <v>283</v>
      </c>
      <c r="N1077" s="256" t="s">
        <v>283</v>
      </c>
      <c r="O1077" s="257" t="s">
        <v>283</v>
      </c>
      <c r="P1077" s="257" t="s">
        <v>283</v>
      </c>
      <c r="Q1077" s="257" t="s">
        <v>283</v>
      </c>
      <c r="R1077" s="257" t="s">
        <v>283</v>
      </c>
      <c r="S1077" s="257" t="s">
        <v>283</v>
      </c>
      <c r="T1077" s="257" t="s">
        <v>283</v>
      </c>
      <c r="U1077" s="257" t="s">
        <v>283</v>
      </c>
      <c r="V1077" s="257" t="s">
        <v>283</v>
      </c>
      <c r="W1077" s="258" t="s">
        <v>283</v>
      </c>
      <c r="X1077" s="258" t="s">
        <v>283</v>
      </c>
      <c r="Y1077" s="259" t="s">
        <v>283</v>
      </c>
    </row>
    <row r="1078" spans="1:25">
      <c r="A1078" s="253">
        <v>20</v>
      </c>
      <c r="B1078" s="254" t="str">
        <f>VLOOKUP(Tabel10[[#This Row],[Code]],Ruimtegroepen[[Code]:[Ruimte omschrijving]],2,FALSE)</f>
        <v>Niet in Onderhoud</v>
      </c>
      <c r="C1078" s="255" t="s">
        <v>1183</v>
      </c>
      <c r="D1078" s="254" t="s">
        <v>13</v>
      </c>
      <c r="E1078" s="255" t="s">
        <v>100</v>
      </c>
      <c r="F1078" s="255" t="s">
        <v>1184</v>
      </c>
      <c r="G1078" s="260" t="s">
        <v>283</v>
      </c>
      <c r="H1078" s="256" t="s">
        <v>283</v>
      </c>
      <c r="I1078" s="256" t="s">
        <v>283</v>
      </c>
      <c r="J1078" s="256" t="s">
        <v>283</v>
      </c>
      <c r="K1078" s="256" t="s">
        <v>283</v>
      </c>
      <c r="L1078" s="256" t="s">
        <v>283</v>
      </c>
      <c r="M1078" s="256" t="s">
        <v>283</v>
      </c>
      <c r="N1078" s="256" t="s">
        <v>283</v>
      </c>
      <c r="O1078" s="257" t="s">
        <v>283</v>
      </c>
      <c r="P1078" s="257" t="s">
        <v>283</v>
      </c>
      <c r="Q1078" s="257" t="s">
        <v>283</v>
      </c>
      <c r="R1078" s="257" t="s">
        <v>283</v>
      </c>
      <c r="S1078" s="257" t="s">
        <v>283</v>
      </c>
      <c r="T1078" s="257" t="s">
        <v>283</v>
      </c>
      <c r="U1078" s="257" t="s">
        <v>283</v>
      </c>
      <c r="V1078" s="257" t="s">
        <v>283</v>
      </c>
      <c r="W1078" s="258" t="s">
        <v>283</v>
      </c>
      <c r="X1078" s="258" t="s">
        <v>283</v>
      </c>
      <c r="Y1078" s="259" t="s">
        <v>283</v>
      </c>
    </row>
    <row r="1079" spans="1:25">
      <c r="A1079" s="253">
        <v>20</v>
      </c>
      <c r="B1079" s="254" t="str">
        <f>VLOOKUP(Tabel10[[#This Row],[Code]],Ruimtegroepen[[Code]:[Ruimte omschrijving]],2,FALSE)</f>
        <v>Niet in Onderhoud</v>
      </c>
      <c r="C1079" s="255" t="s">
        <v>1183</v>
      </c>
      <c r="D1079" s="254" t="s">
        <v>13</v>
      </c>
      <c r="E1079" s="255" t="s">
        <v>99</v>
      </c>
      <c r="F1079" s="255" t="s">
        <v>1185</v>
      </c>
      <c r="G1079" s="260" t="s">
        <v>283</v>
      </c>
      <c r="H1079" s="256" t="s">
        <v>283</v>
      </c>
      <c r="I1079" s="256" t="s">
        <v>283</v>
      </c>
      <c r="J1079" s="256" t="s">
        <v>283</v>
      </c>
      <c r="K1079" s="256" t="s">
        <v>283</v>
      </c>
      <c r="L1079" s="256" t="s">
        <v>283</v>
      </c>
      <c r="M1079" s="256" t="s">
        <v>283</v>
      </c>
      <c r="N1079" s="256" t="s">
        <v>283</v>
      </c>
      <c r="O1079" s="257" t="s">
        <v>283</v>
      </c>
      <c r="P1079" s="257" t="s">
        <v>283</v>
      </c>
      <c r="Q1079" s="257" t="s">
        <v>283</v>
      </c>
      <c r="R1079" s="257" t="s">
        <v>283</v>
      </c>
      <c r="S1079" s="257" t="s">
        <v>283</v>
      </c>
      <c r="T1079" s="257" t="s">
        <v>283</v>
      </c>
      <c r="U1079" s="257" t="s">
        <v>283</v>
      </c>
      <c r="V1079" s="257" t="s">
        <v>283</v>
      </c>
      <c r="W1079" s="258" t="s">
        <v>283</v>
      </c>
      <c r="X1079" s="258" t="s">
        <v>283</v>
      </c>
      <c r="Y1079" s="259" t="s">
        <v>283</v>
      </c>
    </row>
    <row r="1080" spans="1:25">
      <c r="A1080" s="253">
        <v>20</v>
      </c>
      <c r="B1080" s="254" t="str">
        <f>VLOOKUP(Tabel10[[#This Row],[Code]],Ruimtegroepen[[Code]:[Ruimte omschrijving]],2,FALSE)</f>
        <v>Niet in Onderhoud</v>
      </c>
      <c r="C1080" s="255" t="s">
        <v>1183</v>
      </c>
      <c r="D1080" s="254" t="s">
        <v>13</v>
      </c>
      <c r="E1080" s="255" t="s">
        <v>101</v>
      </c>
      <c r="F1080" s="255" t="s">
        <v>1186</v>
      </c>
      <c r="G1080" s="260" t="s">
        <v>283</v>
      </c>
      <c r="H1080" s="256" t="s">
        <v>283</v>
      </c>
      <c r="I1080" s="256" t="s">
        <v>283</v>
      </c>
      <c r="J1080" s="256" t="s">
        <v>283</v>
      </c>
      <c r="K1080" s="256" t="s">
        <v>283</v>
      </c>
      <c r="L1080" s="256" t="s">
        <v>283</v>
      </c>
      <c r="M1080" s="256" t="s">
        <v>283</v>
      </c>
      <c r="N1080" s="256" t="s">
        <v>283</v>
      </c>
      <c r="O1080" s="257" t="s">
        <v>283</v>
      </c>
      <c r="P1080" s="257" t="s">
        <v>283</v>
      </c>
      <c r="Q1080" s="257" t="s">
        <v>283</v>
      </c>
      <c r="R1080" s="257" t="s">
        <v>283</v>
      </c>
      <c r="S1080" s="257" t="s">
        <v>283</v>
      </c>
      <c r="T1080" s="257" t="s">
        <v>283</v>
      </c>
      <c r="U1080" s="257" t="s">
        <v>283</v>
      </c>
      <c r="V1080" s="257" t="s">
        <v>283</v>
      </c>
      <c r="W1080" s="258" t="s">
        <v>283</v>
      </c>
      <c r="X1080" s="258" t="s">
        <v>283</v>
      </c>
      <c r="Y1080" s="259" t="s">
        <v>283</v>
      </c>
    </row>
    <row r="1081" spans="1:25">
      <c r="A1081" s="253">
        <v>20</v>
      </c>
      <c r="B1081" s="254" t="str">
        <f>VLOOKUP(Tabel10[[#This Row],[Code]],Ruimtegroepen[[Code]:[Ruimte omschrijving]],2,FALSE)</f>
        <v>Niet in Onderhoud</v>
      </c>
      <c r="C1081" s="255" t="s">
        <v>1183</v>
      </c>
      <c r="D1081" s="254" t="s">
        <v>13</v>
      </c>
      <c r="E1081" s="255" t="s">
        <v>102</v>
      </c>
      <c r="F1081" s="255" t="s">
        <v>1187</v>
      </c>
      <c r="G1081" s="260" t="s">
        <v>283</v>
      </c>
      <c r="H1081" s="256" t="s">
        <v>283</v>
      </c>
      <c r="I1081" s="256" t="s">
        <v>283</v>
      </c>
      <c r="J1081" s="256" t="s">
        <v>283</v>
      </c>
      <c r="K1081" s="256" t="s">
        <v>283</v>
      </c>
      <c r="L1081" s="256" t="s">
        <v>283</v>
      </c>
      <c r="M1081" s="256" t="s">
        <v>283</v>
      </c>
      <c r="N1081" s="256" t="s">
        <v>283</v>
      </c>
      <c r="O1081" s="257" t="s">
        <v>283</v>
      </c>
      <c r="P1081" s="257" t="s">
        <v>283</v>
      </c>
      <c r="Q1081" s="257" t="s">
        <v>283</v>
      </c>
      <c r="R1081" s="257" t="s">
        <v>283</v>
      </c>
      <c r="S1081" s="257" t="s">
        <v>283</v>
      </c>
      <c r="T1081" s="257" t="s">
        <v>283</v>
      </c>
      <c r="U1081" s="257" t="s">
        <v>283</v>
      </c>
      <c r="V1081" s="257" t="s">
        <v>283</v>
      </c>
      <c r="W1081" s="258" t="s">
        <v>283</v>
      </c>
      <c r="X1081" s="258" t="s">
        <v>283</v>
      </c>
      <c r="Y1081" s="259" t="s">
        <v>283</v>
      </c>
    </row>
    <row r="1082" spans="1:25">
      <c r="A1082" s="253">
        <v>20</v>
      </c>
      <c r="B1082" s="254" t="str">
        <f>VLOOKUP(Tabel10[[#This Row],[Code]],Ruimtegroepen[[Code]:[Ruimte omschrijving]],2,FALSE)</f>
        <v>Niet in Onderhoud</v>
      </c>
      <c r="C1082" s="255" t="s">
        <v>1183</v>
      </c>
      <c r="D1082" s="254" t="s">
        <v>13</v>
      </c>
      <c r="E1082" s="255" t="s">
        <v>99</v>
      </c>
      <c r="F1082" s="255" t="s">
        <v>1185</v>
      </c>
      <c r="G1082" s="260" t="s">
        <v>283</v>
      </c>
      <c r="H1082" s="256" t="s">
        <v>283</v>
      </c>
      <c r="I1082" s="256" t="s">
        <v>283</v>
      </c>
      <c r="J1082" s="256" t="s">
        <v>283</v>
      </c>
      <c r="K1082" s="256" t="s">
        <v>283</v>
      </c>
      <c r="L1082" s="256" t="s">
        <v>283</v>
      </c>
      <c r="M1082" s="256" t="s">
        <v>283</v>
      </c>
      <c r="N1082" s="256" t="s">
        <v>283</v>
      </c>
      <c r="O1082" s="257" t="s">
        <v>283</v>
      </c>
      <c r="P1082" s="257" t="s">
        <v>283</v>
      </c>
      <c r="Q1082" s="257" t="s">
        <v>283</v>
      </c>
      <c r="R1082" s="257" t="s">
        <v>283</v>
      </c>
      <c r="S1082" s="257" t="s">
        <v>283</v>
      </c>
      <c r="T1082" s="257" t="s">
        <v>283</v>
      </c>
      <c r="U1082" s="257" t="s">
        <v>283</v>
      </c>
      <c r="V1082" s="257" t="s">
        <v>283</v>
      </c>
      <c r="W1082" s="258" t="s">
        <v>283</v>
      </c>
      <c r="X1082" s="258" t="s">
        <v>283</v>
      </c>
      <c r="Y1082" s="259" t="s">
        <v>283</v>
      </c>
    </row>
    <row r="1083" spans="1:25">
      <c r="A1083" s="253">
        <v>20</v>
      </c>
      <c r="B1083" s="254" t="str">
        <f>VLOOKUP(Tabel10[[#This Row],[Code]],Ruimtegroepen[[Code]:[Ruimte omschrijving]],2,FALSE)</f>
        <v>Niet in Onderhoud</v>
      </c>
      <c r="C1083" s="255" t="s">
        <v>1183</v>
      </c>
      <c r="D1083" s="254" t="s">
        <v>13</v>
      </c>
      <c r="E1083" s="255" t="s">
        <v>1312</v>
      </c>
      <c r="F1083" s="255" t="s">
        <v>1325</v>
      </c>
      <c r="G1083" s="260" t="s">
        <v>283</v>
      </c>
      <c r="H1083" s="256" t="s">
        <v>283</v>
      </c>
      <c r="I1083" s="256" t="s">
        <v>283</v>
      </c>
      <c r="J1083" s="256" t="s">
        <v>283</v>
      </c>
      <c r="K1083" s="256" t="s">
        <v>283</v>
      </c>
      <c r="L1083" s="256" t="s">
        <v>283</v>
      </c>
      <c r="M1083" s="256" t="s">
        <v>283</v>
      </c>
      <c r="N1083" s="256" t="s">
        <v>283</v>
      </c>
      <c r="O1083" s="257" t="s">
        <v>283</v>
      </c>
      <c r="P1083" s="257" t="s">
        <v>283</v>
      </c>
      <c r="Q1083" s="257" t="s">
        <v>283</v>
      </c>
      <c r="R1083" s="257" t="s">
        <v>283</v>
      </c>
      <c r="S1083" s="257" t="s">
        <v>283</v>
      </c>
      <c r="T1083" s="257" t="s">
        <v>283</v>
      </c>
      <c r="U1083" s="257" t="s">
        <v>283</v>
      </c>
      <c r="V1083" s="257" t="s">
        <v>283</v>
      </c>
      <c r="W1083" s="258" t="s">
        <v>283</v>
      </c>
      <c r="X1083" s="258" t="s">
        <v>283</v>
      </c>
      <c r="Y1083" s="259" t="s">
        <v>283</v>
      </c>
    </row>
    <row r="1084" spans="1:25">
      <c r="A1084" s="253">
        <v>20</v>
      </c>
      <c r="B1084" s="254" t="str">
        <f>VLOOKUP(Tabel10[[#This Row],[Code]],Ruimtegroepen[[Code]:[Ruimte omschrijving]],2,FALSE)</f>
        <v>Niet in Onderhoud</v>
      </c>
      <c r="C1084" s="255" t="s">
        <v>1188</v>
      </c>
      <c r="D1084" s="254" t="s">
        <v>0</v>
      </c>
      <c r="E1084" s="255" t="s">
        <v>100</v>
      </c>
      <c r="F1084" s="255" t="s">
        <v>1189</v>
      </c>
      <c r="G1084" s="260" t="s">
        <v>283</v>
      </c>
      <c r="H1084" s="256" t="s">
        <v>283</v>
      </c>
      <c r="I1084" s="256" t="s">
        <v>283</v>
      </c>
      <c r="J1084" s="256" t="s">
        <v>283</v>
      </c>
      <c r="K1084" s="256" t="s">
        <v>283</v>
      </c>
      <c r="L1084" s="256" t="s">
        <v>283</v>
      </c>
      <c r="M1084" s="256" t="s">
        <v>283</v>
      </c>
      <c r="N1084" s="256" t="s">
        <v>283</v>
      </c>
      <c r="O1084" s="257" t="s">
        <v>283</v>
      </c>
      <c r="P1084" s="257" t="s">
        <v>283</v>
      </c>
      <c r="Q1084" s="257" t="s">
        <v>283</v>
      </c>
      <c r="R1084" s="257" t="s">
        <v>283</v>
      </c>
      <c r="S1084" s="257" t="s">
        <v>283</v>
      </c>
      <c r="T1084" s="257" t="s">
        <v>283</v>
      </c>
      <c r="U1084" s="257" t="s">
        <v>283</v>
      </c>
      <c r="V1084" s="257" t="s">
        <v>283</v>
      </c>
      <c r="W1084" s="258" t="s">
        <v>283</v>
      </c>
      <c r="X1084" s="258" t="s">
        <v>283</v>
      </c>
      <c r="Y1084" s="259" t="s">
        <v>283</v>
      </c>
    </row>
    <row r="1085" spans="1:25">
      <c r="A1085" s="253">
        <v>20</v>
      </c>
      <c r="B1085" s="254" t="str">
        <f>VLOOKUP(Tabel10[[#This Row],[Code]],Ruimtegroepen[[Code]:[Ruimte omschrijving]],2,FALSE)</f>
        <v>Niet in Onderhoud</v>
      </c>
      <c r="C1085" s="255" t="s">
        <v>1188</v>
      </c>
      <c r="D1085" s="254" t="s">
        <v>0</v>
      </c>
      <c r="E1085" s="255" t="s">
        <v>99</v>
      </c>
      <c r="F1085" s="255" t="s">
        <v>1190</v>
      </c>
      <c r="G1085" s="260" t="s">
        <v>283</v>
      </c>
      <c r="H1085" s="256" t="s">
        <v>283</v>
      </c>
      <c r="I1085" s="256" t="s">
        <v>283</v>
      </c>
      <c r="J1085" s="256" t="s">
        <v>283</v>
      </c>
      <c r="K1085" s="256" t="s">
        <v>283</v>
      </c>
      <c r="L1085" s="256" t="s">
        <v>283</v>
      </c>
      <c r="M1085" s="256" t="s">
        <v>283</v>
      </c>
      <c r="N1085" s="256" t="s">
        <v>283</v>
      </c>
      <c r="O1085" s="257" t="s">
        <v>283</v>
      </c>
      <c r="P1085" s="257" t="s">
        <v>283</v>
      </c>
      <c r="Q1085" s="257" t="s">
        <v>283</v>
      </c>
      <c r="R1085" s="257" t="s">
        <v>283</v>
      </c>
      <c r="S1085" s="257" t="s">
        <v>283</v>
      </c>
      <c r="T1085" s="257" t="s">
        <v>283</v>
      </c>
      <c r="U1085" s="257" t="s">
        <v>283</v>
      </c>
      <c r="V1085" s="257" t="s">
        <v>283</v>
      </c>
      <c r="W1085" s="258" t="s">
        <v>283</v>
      </c>
      <c r="X1085" s="258" t="s">
        <v>283</v>
      </c>
      <c r="Y1085" s="259" t="s">
        <v>283</v>
      </c>
    </row>
    <row r="1086" spans="1:25">
      <c r="A1086" s="253">
        <v>20</v>
      </c>
      <c r="B1086" s="254" t="str">
        <f>VLOOKUP(Tabel10[[#This Row],[Code]],Ruimtegroepen[[Code]:[Ruimte omschrijving]],2,FALSE)</f>
        <v>Niet in Onderhoud</v>
      </c>
      <c r="C1086" s="255" t="s">
        <v>1188</v>
      </c>
      <c r="D1086" s="254" t="s">
        <v>0</v>
      </c>
      <c r="E1086" s="255" t="s">
        <v>101</v>
      </c>
      <c r="F1086" s="255" t="s">
        <v>1191</v>
      </c>
      <c r="G1086" s="260" t="s">
        <v>283</v>
      </c>
      <c r="H1086" s="256" t="s">
        <v>283</v>
      </c>
      <c r="I1086" s="256" t="s">
        <v>283</v>
      </c>
      <c r="J1086" s="256" t="s">
        <v>283</v>
      </c>
      <c r="K1086" s="256" t="s">
        <v>283</v>
      </c>
      <c r="L1086" s="256" t="s">
        <v>283</v>
      </c>
      <c r="M1086" s="256" t="s">
        <v>283</v>
      </c>
      <c r="N1086" s="256" t="s">
        <v>283</v>
      </c>
      <c r="O1086" s="257" t="s">
        <v>283</v>
      </c>
      <c r="P1086" s="257" t="s">
        <v>283</v>
      </c>
      <c r="Q1086" s="257" t="s">
        <v>283</v>
      </c>
      <c r="R1086" s="257" t="s">
        <v>283</v>
      </c>
      <c r="S1086" s="257" t="s">
        <v>283</v>
      </c>
      <c r="T1086" s="257" t="s">
        <v>283</v>
      </c>
      <c r="U1086" s="257" t="s">
        <v>283</v>
      </c>
      <c r="V1086" s="257" t="s">
        <v>283</v>
      </c>
      <c r="W1086" s="258" t="s">
        <v>283</v>
      </c>
      <c r="X1086" s="258" t="s">
        <v>283</v>
      </c>
      <c r="Y1086" s="259" t="s">
        <v>283</v>
      </c>
    </row>
    <row r="1087" spans="1:25">
      <c r="A1087" s="253">
        <v>20</v>
      </c>
      <c r="B1087" s="254" t="str">
        <f>VLOOKUP(Tabel10[[#This Row],[Code]],Ruimtegroepen[[Code]:[Ruimte omschrijving]],2,FALSE)</f>
        <v>Niet in Onderhoud</v>
      </c>
      <c r="C1087" s="255" t="s">
        <v>1188</v>
      </c>
      <c r="D1087" s="254" t="s">
        <v>0</v>
      </c>
      <c r="E1087" s="255" t="s">
        <v>102</v>
      </c>
      <c r="F1087" s="255" t="s">
        <v>1192</v>
      </c>
      <c r="G1087" s="260" t="s">
        <v>283</v>
      </c>
      <c r="H1087" s="256" t="s">
        <v>283</v>
      </c>
      <c r="I1087" s="256" t="s">
        <v>283</v>
      </c>
      <c r="J1087" s="256" t="s">
        <v>283</v>
      </c>
      <c r="K1087" s="256" t="s">
        <v>283</v>
      </c>
      <c r="L1087" s="256" t="s">
        <v>283</v>
      </c>
      <c r="M1087" s="256" t="s">
        <v>283</v>
      </c>
      <c r="N1087" s="256" t="s">
        <v>283</v>
      </c>
      <c r="O1087" s="257" t="s">
        <v>283</v>
      </c>
      <c r="P1087" s="257" t="s">
        <v>283</v>
      </c>
      <c r="Q1087" s="257" t="s">
        <v>283</v>
      </c>
      <c r="R1087" s="257" t="s">
        <v>283</v>
      </c>
      <c r="S1087" s="257" t="s">
        <v>283</v>
      </c>
      <c r="T1087" s="257" t="s">
        <v>283</v>
      </c>
      <c r="U1087" s="257" t="s">
        <v>283</v>
      </c>
      <c r="V1087" s="257" t="s">
        <v>283</v>
      </c>
      <c r="W1087" s="258" t="s">
        <v>283</v>
      </c>
      <c r="X1087" s="258" t="s">
        <v>283</v>
      </c>
      <c r="Y1087" s="259" t="s">
        <v>283</v>
      </c>
    </row>
    <row r="1088" spans="1:25">
      <c r="A1088" s="253">
        <v>20</v>
      </c>
      <c r="B1088" s="254" t="str">
        <f>VLOOKUP(Tabel10[[#This Row],[Code]],Ruimtegroepen[[Code]:[Ruimte omschrijving]],2,FALSE)</f>
        <v>Niet in Onderhoud</v>
      </c>
      <c r="C1088" s="255" t="s">
        <v>1188</v>
      </c>
      <c r="D1088" s="254" t="s">
        <v>0</v>
      </c>
      <c r="E1088" s="255" t="s">
        <v>99</v>
      </c>
      <c r="F1088" s="255" t="s">
        <v>1190</v>
      </c>
      <c r="G1088" s="260" t="s">
        <v>283</v>
      </c>
      <c r="H1088" s="256" t="s">
        <v>283</v>
      </c>
      <c r="I1088" s="256" t="s">
        <v>283</v>
      </c>
      <c r="J1088" s="256" t="s">
        <v>283</v>
      </c>
      <c r="K1088" s="256" t="s">
        <v>283</v>
      </c>
      <c r="L1088" s="256" t="s">
        <v>283</v>
      </c>
      <c r="M1088" s="256" t="s">
        <v>283</v>
      </c>
      <c r="N1088" s="256" t="s">
        <v>283</v>
      </c>
      <c r="O1088" s="257" t="s">
        <v>283</v>
      </c>
      <c r="P1088" s="257" t="s">
        <v>283</v>
      </c>
      <c r="Q1088" s="257" t="s">
        <v>283</v>
      </c>
      <c r="R1088" s="257" t="s">
        <v>283</v>
      </c>
      <c r="S1088" s="257" t="s">
        <v>283</v>
      </c>
      <c r="T1088" s="257" t="s">
        <v>283</v>
      </c>
      <c r="U1088" s="257" t="s">
        <v>283</v>
      </c>
      <c r="V1088" s="257" t="s">
        <v>283</v>
      </c>
      <c r="W1088" s="258" t="s">
        <v>283</v>
      </c>
      <c r="X1088" s="258" t="s">
        <v>283</v>
      </c>
      <c r="Y1088" s="259" t="s">
        <v>283</v>
      </c>
    </row>
    <row r="1089" spans="1:25">
      <c r="A1089" s="253">
        <v>20</v>
      </c>
      <c r="B1089" s="254" t="str">
        <f>VLOOKUP(Tabel10[[#This Row],[Code]],Ruimtegroepen[[Code]:[Ruimte omschrijving]],2,FALSE)</f>
        <v>Niet in Onderhoud</v>
      </c>
      <c r="C1089" s="255" t="s">
        <v>1188</v>
      </c>
      <c r="D1089" s="254" t="s">
        <v>0</v>
      </c>
      <c r="E1089" s="255" t="s">
        <v>1312</v>
      </c>
      <c r="F1089" s="255" t="s">
        <v>1324</v>
      </c>
      <c r="G1089" s="260" t="s">
        <v>283</v>
      </c>
      <c r="H1089" s="256" t="s">
        <v>283</v>
      </c>
      <c r="I1089" s="256" t="s">
        <v>283</v>
      </c>
      <c r="J1089" s="256" t="s">
        <v>283</v>
      </c>
      <c r="K1089" s="256" t="s">
        <v>283</v>
      </c>
      <c r="L1089" s="256" t="s">
        <v>283</v>
      </c>
      <c r="M1089" s="256" t="s">
        <v>283</v>
      </c>
      <c r="N1089" s="256" t="s">
        <v>283</v>
      </c>
      <c r="O1089" s="257" t="s">
        <v>283</v>
      </c>
      <c r="P1089" s="257" t="s">
        <v>283</v>
      </c>
      <c r="Q1089" s="257" t="s">
        <v>283</v>
      </c>
      <c r="R1089" s="257" t="s">
        <v>283</v>
      </c>
      <c r="S1089" s="257" t="s">
        <v>283</v>
      </c>
      <c r="T1089" s="257" t="s">
        <v>283</v>
      </c>
      <c r="U1089" s="257" t="s">
        <v>283</v>
      </c>
      <c r="V1089" s="257" t="s">
        <v>283</v>
      </c>
      <c r="W1089" s="258" t="s">
        <v>283</v>
      </c>
      <c r="X1089" s="258" t="s">
        <v>283</v>
      </c>
      <c r="Y1089" s="259" t="s">
        <v>283</v>
      </c>
    </row>
    <row r="1090" spans="1:25">
      <c r="A1090" s="253">
        <v>20</v>
      </c>
      <c r="B1090" s="254" t="str">
        <f>VLOOKUP(Tabel10[[#This Row],[Code]],Ruimtegroepen[[Code]:[Ruimte omschrijving]],2,FALSE)</f>
        <v>Niet in Onderhoud</v>
      </c>
      <c r="C1090" s="255" t="s">
        <v>1193</v>
      </c>
      <c r="D1090" s="254" t="s">
        <v>27</v>
      </c>
      <c r="E1090" s="255" t="s">
        <v>100</v>
      </c>
      <c r="F1090" s="255" t="s">
        <v>1194</v>
      </c>
      <c r="G1090" s="260" t="s">
        <v>283</v>
      </c>
      <c r="H1090" s="256" t="s">
        <v>283</v>
      </c>
      <c r="I1090" s="256" t="s">
        <v>283</v>
      </c>
      <c r="J1090" s="256" t="s">
        <v>283</v>
      </c>
      <c r="K1090" s="256" t="s">
        <v>283</v>
      </c>
      <c r="L1090" s="256" t="s">
        <v>283</v>
      </c>
      <c r="M1090" s="256" t="s">
        <v>283</v>
      </c>
      <c r="N1090" s="256" t="s">
        <v>283</v>
      </c>
      <c r="O1090" s="257" t="s">
        <v>283</v>
      </c>
      <c r="P1090" s="257" t="s">
        <v>283</v>
      </c>
      <c r="Q1090" s="257" t="s">
        <v>283</v>
      </c>
      <c r="R1090" s="257" t="s">
        <v>283</v>
      </c>
      <c r="S1090" s="257" t="s">
        <v>283</v>
      </c>
      <c r="T1090" s="257" t="s">
        <v>283</v>
      </c>
      <c r="U1090" s="257" t="s">
        <v>283</v>
      </c>
      <c r="V1090" s="257" t="s">
        <v>283</v>
      </c>
      <c r="W1090" s="258" t="s">
        <v>283</v>
      </c>
      <c r="X1090" s="258" t="s">
        <v>283</v>
      </c>
      <c r="Y1090" s="259" t="s">
        <v>283</v>
      </c>
    </row>
    <row r="1091" spans="1:25">
      <c r="A1091" s="253">
        <v>20</v>
      </c>
      <c r="B1091" s="254" t="str">
        <f>VLOOKUP(Tabel10[[#This Row],[Code]],Ruimtegroepen[[Code]:[Ruimte omschrijving]],2,FALSE)</f>
        <v>Niet in Onderhoud</v>
      </c>
      <c r="C1091" s="255" t="s">
        <v>1193</v>
      </c>
      <c r="D1091" s="254" t="s">
        <v>27</v>
      </c>
      <c r="E1091" s="255" t="s">
        <v>99</v>
      </c>
      <c r="F1091" s="255" t="s">
        <v>1195</v>
      </c>
      <c r="G1091" s="260" t="s">
        <v>283</v>
      </c>
      <c r="H1091" s="256" t="s">
        <v>283</v>
      </c>
      <c r="I1091" s="256" t="s">
        <v>283</v>
      </c>
      <c r="J1091" s="256" t="s">
        <v>283</v>
      </c>
      <c r="K1091" s="256" t="s">
        <v>283</v>
      </c>
      <c r="L1091" s="256" t="s">
        <v>283</v>
      </c>
      <c r="M1091" s="256" t="s">
        <v>283</v>
      </c>
      <c r="N1091" s="256" t="s">
        <v>283</v>
      </c>
      <c r="O1091" s="257" t="s">
        <v>283</v>
      </c>
      <c r="P1091" s="257" t="s">
        <v>283</v>
      </c>
      <c r="Q1091" s="257" t="s">
        <v>283</v>
      </c>
      <c r="R1091" s="257" t="s">
        <v>283</v>
      </c>
      <c r="S1091" s="257" t="s">
        <v>283</v>
      </c>
      <c r="T1091" s="257" t="s">
        <v>283</v>
      </c>
      <c r="U1091" s="257" t="s">
        <v>283</v>
      </c>
      <c r="V1091" s="257" t="s">
        <v>283</v>
      </c>
      <c r="W1091" s="258" t="s">
        <v>283</v>
      </c>
      <c r="X1091" s="258" t="s">
        <v>283</v>
      </c>
      <c r="Y1091" s="259" t="s">
        <v>283</v>
      </c>
    </row>
    <row r="1092" spans="1:25">
      <c r="A1092" s="253">
        <v>20</v>
      </c>
      <c r="B1092" s="254" t="str">
        <f>VLOOKUP(Tabel10[[#This Row],[Code]],Ruimtegroepen[[Code]:[Ruimte omschrijving]],2,FALSE)</f>
        <v>Niet in Onderhoud</v>
      </c>
      <c r="C1092" s="255" t="s">
        <v>1193</v>
      </c>
      <c r="D1092" s="254" t="s">
        <v>27</v>
      </c>
      <c r="E1092" s="255" t="s">
        <v>101</v>
      </c>
      <c r="F1092" s="255" t="s">
        <v>1196</v>
      </c>
      <c r="G1092" s="260" t="s">
        <v>283</v>
      </c>
      <c r="H1092" s="256" t="s">
        <v>283</v>
      </c>
      <c r="I1092" s="256" t="s">
        <v>283</v>
      </c>
      <c r="J1092" s="256" t="s">
        <v>283</v>
      </c>
      <c r="K1092" s="256" t="s">
        <v>283</v>
      </c>
      <c r="L1092" s="256" t="s">
        <v>283</v>
      </c>
      <c r="M1092" s="256" t="s">
        <v>283</v>
      </c>
      <c r="N1092" s="256" t="s">
        <v>283</v>
      </c>
      <c r="O1092" s="257" t="s">
        <v>283</v>
      </c>
      <c r="P1092" s="257" t="s">
        <v>283</v>
      </c>
      <c r="Q1092" s="257" t="s">
        <v>283</v>
      </c>
      <c r="R1092" s="257" t="s">
        <v>283</v>
      </c>
      <c r="S1092" s="257" t="s">
        <v>283</v>
      </c>
      <c r="T1092" s="257" t="s">
        <v>283</v>
      </c>
      <c r="U1092" s="257" t="s">
        <v>283</v>
      </c>
      <c r="V1092" s="257" t="s">
        <v>283</v>
      </c>
      <c r="W1092" s="258" t="s">
        <v>283</v>
      </c>
      <c r="X1092" s="258" t="s">
        <v>283</v>
      </c>
      <c r="Y1092" s="259" t="s">
        <v>283</v>
      </c>
    </row>
    <row r="1093" spans="1:25">
      <c r="A1093" s="253">
        <v>20</v>
      </c>
      <c r="B1093" s="254" t="str">
        <f>VLOOKUP(Tabel10[[#This Row],[Code]],Ruimtegroepen[[Code]:[Ruimte omschrijving]],2,FALSE)</f>
        <v>Niet in Onderhoud</v>
      </c>
      <c r="C1093" s="255" t="s">
        <v>1193</v>
      </c>
      <c r="D1093" s="254" t="s">
        <v>27</v>
      </c>
      <c r="E1093" s="255" t="s">
        <v>102</v>
      </c>
      <c r="F1093" s="255" t="s">
        <v>1197</v>
      </c>
      <c r="G1093" s="260" t="s">
        <v>283</v>
      </c>
      <c r="H1093" s="256" t="s">
        <v>283</v>
      </c>
      <c r="I1093" s="256" t="s">
        <v>283</v>
      </c>
      <c r="J1093" s="256" t="s">
        <v>283</v>
      </c>
      <c r="K1093" s="256" t="s">
        <v>283</v>
      </c>
      <c r="L1093" s="256" t="s">
        <v>283</v>
      </c>
      <c r="M1093" s="256" t="s">
        <v>283</v>
      </c>
      <c r="N1093" s="256" t="s">
        <v>283</v>
      </c>
      <c r="O1093" s="257" t="s">
        <v>283</v>
      </c>
      <c r="P1093" s="257" t="s">
        <v>283</v>
      </c>
      <c r="Q1093" s="257" t="s">
        <v>283</v>
      </c>
      <c r="R1093" s="257" t="s">
        <v>283</v>
      </c>
      <c r="S1093" s="257" t="s">
        <v>283</v>
      </c>
      <c r="T1093" s="257" t="s">
        <v>283</v>
      </c>
      <c r="U1093" s="257" t="s">
        <v>283</v>
      </c>
      <c r="V1093" s="257" t="s">
        <v>283</v>
      </c>
      <c r="W1093" s="258" t="s">
        <v>283</v>
      </c>
      <c r="X1093" s="258" t="s">
        <v>283</v>
      </c>
      <c r="Y1093" s="259" t="s">
        <v>283</v>
      </c>
    </row>
    <row r="1094" spans="1:25">
      <c r="A1094" s="253">
        <v>20</v>
      </c>
      <c r="B1094" s="254" t="str">
        <f>VLOOKUP(Tabel10[[#This Row],[Code]],Ruimtegroepen[[Code]:[Ruimte omschrijving]],2,FALSE)</f>
        <v>Niet in Onderhoud</v>
      </c>
      <c r="C1094" s="255" t="s">
        <v>1193</v>
      </c>
      <c r="D1094" s="254" t="s">
        <v>27</v>
      </c>
      <c r="E1094" s="255" t="s">
        <v>99</v>
      </c>
      <c r="F1094" s="255" t="s">
        <v>1195</v>
      </c>
      <c r="G1094" s="260" t="s">
        <v>283</v>
      </c>
      <c r="H1094" s="256" t="s">
        <v>283</v>
      </c>
      <c r="I1094" s="256" t="s">
        <v>283</v>
      </c>
      <c r="J1094" s="256" t="s">
        <v>283</v>
      </c>
      <c r="K1094" s="256" t="s">
        <v>283</v>
      </c>
      <c r="L1094" s="256" t="s">
        <v>283</v>
      </c>
      <c r="M1094" s="256" t="s">
        <v>283</v>
      </c>
      <c r="N1094" s="256" t="s">
        <v>283</v>
      </c>
      <c r="O1094" s="257" t="s">
        <v>283</v>
      </c>
      <c r="P1094" s="257" t="s">
        <v>283</v>
      </c>
      <c r="Q1094" s="257" t="s">
        <v>283</v>
      </c>
      <c r="R1094" s="257" t="s">
        <v>283</v>
      </c>
      <c r="S1094" s="257" t="s">
        <v>283</v>
      </c>
      <c r="T1094" s="257" t="s">
        <v>283</v>
      </c>
      <c r="U1094" s="257" t="s">
        <v>283</v>
      </c>
      <c r="V1094" s="257" t="s">
        <v>283</v>
      </c>
      <c r="W1094" s="258" t="s">
        <v>283</v>
      </c>
      <c r="X1094" s="258" t="s">
        <v>283</v>
      </c>
      <c r="Y1094" s="259" t="s">
        <v>283</v>
      </c>
    </row>
    <row r="1095" spans="1:25">
      <c r="A1095" s="253">
        <v>20</v>
      </c>
      <c r="B1095" s="254" t="str">
        <f>VLOOKUP(Tabel10[[#This Row],[Code]],Ruimtegroepen[[Code]:[Ruimte omschrijving]],2,FALSE)</f>
        <v>Niet in Onderhoud</v>
      </c>
      <c r="C1095" s="255" t="s">
        <v>1193</v>
      </c>
      <c r="D1095" s="254" t="s">
        <v>27</v>
      </c>
      <c r="E1095" s="255" t="s">
        <v>1312</v>
      </c>
      <c r="F1095" s="255" t="s">
        <v>1323</v>
      </c>
      <c r="G1095" s="260" t="s">
        <v>283</v>
      </c>
      <c r="H1095" s="256" t="s">
        <v>283</v>
      </c>
      <c r="I1095" s="256" t="s">
        <v>283</v>
      </c>
      <c r="J1095" s="256" t="s">
        <v>283</v>
      </c>
      <c r="K1095" s="256" t="s">
        <v>283</v>
      </c>
      <c r="L1095" s="256" t="s">
        <v>283</v>
      </c>
      <c r="M1095" s="256" t="s">
        <v>283</v>
      </c>
      <c r="N1095" s="256" t="s">
        <v>283</v>
      </c>
      <c r="O1095" s="257" t="s">
        <v>283</v>
      </c>
      <c r="P1095" s="257" t="s">
        <v>283</v>
      </c>
      <c r="Q1095" s="257" t="s">
        <v>283</v>
      </c>
      <c r="R1095" s="257" t="s">
        <v>283</v>
      </c>
      <c r="S1095" s="257" t="s">
        <v>283</v>
      </c>
      <c r="T1095" s="257" t="s">
        <v>283</v>
      </c>
      <c r="U1095" s="257" t="s">
        <v>283</v>
      </c>
      <c r="V1095" s="257" t="s">
        <v>283</v>
      </c>
      <c r="W1095" s="258" t="s">
        <v>283</v>
      </c>
      <c r="X1095" s="258" t="s">
        <v>283</v>
      </c>
      <c r="Y1095" s="259" t="s">
        <v>283</v>
      </c>
    </row>
    <row r="1096" spans="1:25">
      <c r="A1096" s="253">
        <v>20</v>
      </c>
      <c r="B1096" s="254" t="str">
        <f>VLOOKUP(Tabel10[[#This Row],[Code]],Ruimtegroepen[[Code]:[Ruimte omschrijving]],2,FALSE)</f>
        <v>Niet in Onderhoud</v>
      </c>
      <c r="C1096" s="255" t="s">
        <v>1198</v>
      </c>
      <c r="D1096" s="254" t="s">
        <v>28</v>
      </c>
      <c r="E1096" s="255" t="s">
        <v>100</v>
      </c>
      <c r="F1096" s="255" t="s">
        <v>1199</v>
      </c>
      <c r="G1096" s="260" t="s">
        <v>283</v>
      </c>
      <c r="H1096" s="256" t="s">
        <v>283</v>
      </c>
      <c r="I1096" s="256" t="s">
        <v>283</v>
      </c>
      <c r="J1096" s="256" t="s">
        <v>283</v>
      </c>
      <c r="K1096" s="256" t="s">
        <v>283</v>
      </c>
      <c r="L1096" s="256" t="s">
        <v>283</v>
      </c>
      <c r="M1096" s="256" t="s">
        <v>283</v>
      </c>
      <c r="N1096" s="256" t="s">
        <v>283</v>
      </c>
      <c r="O1096" s="257" t="s">
        <v>283</v>
      </c>
      <c r="P1096" s="257" t="s">
        <v>283</v>
      </c>
      <c r="Q1096" s="257" t="s">
        <v>283</v>
      </c>
      <c r="R1096" s="257" t="s">
        <v>283</v>
      </c>
      <c r="S1096" s="257" t="s">
        <v>283</v>
      </c>
      <c r="T1096" s="257" t="s">
        <v>283</v>
      </c>
      <c r="U1096" s="257" t="s">
        <v>283</v>
      </c>
      <c r="V1096" s="257" t="s">
        <v>283</v>
      </c>
      <c r="W1096" s="258" t="s">
        <v>283</v>
      </c>
      <c r="X1096" s="258" t="s">
        <v>283</v>
      </c>
      <c r="Y1096" s="259" t="s">
        <v>283</v>
      </c>
    </row>
    <row r="1097" spans="1:25">
      <c r="A1097" s="253">
        <v>20</v>
      </c>
      <c r="B1097" s="254" t="str">
        <f>VLOOKUP(Tabel10[[#This Row],[Code]],Ruimtegroepen[[Code]:[Ruimte omschrijving]],2,FALSE)</f>
        <v>Niet in Onderhoud</v>
      </c>
      <c r="C1097" s="255" t="s">
        <v>1198</v>
      </c>
      <c r="D1097" s="254" t="s">
        <v>28</v>
      </c>
      <c r="E1097" s="255" t="s">
        <v>99</v>
      </c>
      <c r="F1097" s="255" t="s">
        <v>1200</v>
      </c>
      <c r="G1097" s="260" t="s">
        <v>283</v>
      </c>
      <c r="H1097" s="256" t="s">
        <v>283</v>
      </c>
      <c r="I1097" s="256" t="s">
        <v>283</v>
      </c>
      <c r="J1097" s="256" t="s">
        <v>283</v>
      </c>
      <c r="K1097" s="256" t="s">
        <v>283</v>
      </c>
      <c r="L1097" s="256" t="s">
        <v>283</v>
      </c>
      <c r="M1097" s="256" t="s">
        <v>283</v>
      </c>
      <c r="N1097" s="256" t="s">
        <v>283</v>
      </c>
      <c r="O1097" s="257" t="s">
        <v>283</v>
      </c>
      <c r="P1097" s="257" t="s">
        <v>283</v>
      </c>
      <c r="Q1097" s="257" t="s">
        <v>283</v>
      </c>
      <c r="R1097" s="257" t="s">
        <v>283</v>
      </c>
      <c r="S1097" s="257" t="s">
        <v>283</v>
      </c>
      <c r="T1097" s="257" t="s">
        <v>283</v>
      </c>
      <c r="U1097" s="257" t="s">
        <v>283</v>
      </c>
      <c r="V1097" s="257" t="s">
        <v>283</v>
      </c>
      <c r="W1097" s="258" t="s">
        <v>283</v>
      </c>
      <c r="X1097" s="258" t="s">
        <v>283</v>
      </c>
      <c r="Y1097" s="259" t="s">
        <v>283</v>
      </c>
    </row>
    <row r="1098" spans="1:25">
      <c r="A1098" s="253">
        <v>20</v>
      </c>
      <c r="B1098" s="254" t="str">
        <f>VLOOKUP(Tabel10[[#This Row],[Code]],Ruimtegroepen[[Code]:[Ruimte omschrijving]],2,FALSE)</f>
        <v>Niet in Onderhoud</v>
      </c>
      <c r="C1098" s="255" t="s">
        <v>1198</v>
      </c>
      <c r="D1098" s="254" t="s">
        <v>28</v>
      </c>
      <c r="E1098" s="255" t="s">
        <v>101</v>
      </c>
      <c r="F1098" s="255" t="s">
        <v>1201</v>
      </c>
      <c r="G1098" s="260" t="s">
        <v>283</v>
      </c>
      <c r="H1098" s="256" t="s">
        <v>283</v>
      </c>
      <c r="I1098" s="256" t="s">
        <v>283</v>
      </c>
      <c r="J1098" s="256" t="s">
        <v>283</v>
      </c>
      <c r="K1098" s="256" t="s">
        <v>283</v>
      </c>
      <c r="L1098" s="256" t="s">
        <v>283</v>
      </c>
      <c r="M1098" s="256" t="s">
        <v>283</v>
      </c>
      <c r="N1098" s="256" t="s">
        <v>283</v>
      </c>
      <c r="O1098" s="257" t="s">
        <v>283</v>
      </c>
      <c r="P1098" s="257" t="s">
        <v>283</v>
      </c>
      <c r="Q1098" s="257" t="s">
        <v>283</v>
      </c>
      <c r="R1098" s="257" t="s">
        <v>283</v>
      </c>
      <c r="S1098" s="257" t="s">
        <v>283</v>
      </c>
      <c r="T1098" s="257" t="s">
        <v>283</v>
      </c>
      <c r="U1098" s="257" t="s">
        <v>283</v>
      </c>
      <c r="V1098" s="257" t="s">
        <v>283</v>
      </c>
      <c r="W1098" s="258" t="s">
        <v>283</v>
      </c>
      <c r="X1098" s="258" t="s">
        <v>283</v>
      </c>
      <c r="Y1098" s="259" t="s">
        <v>283</v>
      </c>
    </row>
    <row r="1099" spans="1:25">
      <c r="A1099" s="253">
        <v>20</v>
      </c>
      <c r="B1099" s="254" t="str">
        <f>VLOOKUP(Tabel10[[#This Row],[Code]],Ruimtegroepen[[Code]:[Ruimte omschrijving]],2,FALSE)</f>
        <v>Niet in Onderhoud</v>
      </c>
      <c r="C1099" s="255" t="s">
        <v>1198</v>
      </c>
      <c r="D1099" s="254" t="s">
        <v>28</v>
      </c>
      <c r="E1099" s="255" t="s">
        <v>102</v>
      </c>
      <c r="F1099" s="255" t="s">
        <v>1202</v>
      </c>
      <c r="G1099" s="260" t="s">
        <v>283</v>
      </c>
      <c r="H1099" s="256" t="s">
        <v>283</v>
      </c>
      <c r="I1099" s="256" t="s">
        <v>283</v>
      </c>
      <c r="J1099" s="256" t="s">
        <v>283</v>
      </c>
      <c r="K1099" s="256" t="s">
        <v>283</v>
      </c>
      <c r="L1099" s="256" t="s">
        <v>283</v>
      </c>
      <c r="M1099" s="256" t="s">
        <v>283</v>
      </c>
      <c r="N1099" s="256" t="s">
        <v>283</v>
      </c>
      <c r="O1099" s="257" t="s">
        <v>283</v>
      </c>
      <c r="P1099" s="257" t="s">
        <v>283</v>
      </c>
      <c r="Q1099" s="257" t="s">
        <v>283</v>
      </c>
      <c r="R1099" s="257" t="s">
        <v>283</v>
      </c>
      <c r="S1099" s="257" t="s">
        <v>283</v>
      </c>
      <c r="T1099" s="257" t="s">
        <v>283</v>
      </c>
      <c r="U1099" s="257" t="s">
        <v>283</v>
      </c>
      <c r="V1099" s="257" t="s">
        <v>283</v>
      </c>
      <c r="W1099" s="258" t="s">
        <v>283</v>
      </c>
      <c r="X1099" s="258" t="s">
        <v>283</v>
      </c>
      <c r="Y1099" s="259" t="s">
        <v>283</v>
      </c>
    </row>
    <row r="1100" spans="1:25">
      <c r="A1100" s="253">
        <v>20</v>
      </c>
      <c r="B1100" s="254" t="str">
        <f>VLOOKUP(Tabel10[[#This Row],[Code]],Ruimtegroepen[[Code]:[Ruimte omschrijving]],2,FALSE)</f>
        <v>Niet in Onderhoud</v>
      </c>
      <c r="C1100" s="255" t="s">
        <v>1198</v>
      </c>
      <c r="D1100" s="254" t="s">
        <v>28</v>
      </c>
      <c r="E1100" s="255" t="s">
        <v>99</v>
      </c>
      <c r="F1100" s="255" t="s">
        <v>1200</v>
      </c>
      <c r="G1100" s="260" t="s">
        <v>283</v>
      </c>
      <c r="H1100" s="256" t="s">
        <v>283</v>
      </c>
      <c r="I1100" s="256" t="s">
        <v>283</v>
      </c>
      <c r="J1100" s="256" t="s">
        <v>283</v>
      </c>
      <c r="K1100" s="256" t="s">
        <v>283</v>
      </c>
      <c r="L1100" s="256" t="s">
        <v>283</v>
      </c>
      <c r="M1100" s="256" t="s">
        <v>283</v>
      </c>
      <c r="N1100" s="256" t="s">
        <v>283</v>
      </c>
      <c r="O1100" s="257" t="s">
        <v>283</v>
      </c>
      <c r="P1100" s="257" t="s">
        <v>283</v>
      </c>
      <c r="Q1100" s="257" t="s">
        <v>283</v>
      </c>
      <c r="R1100" s="257" t="s">
        <v>283</v>
      </c>
      <c r="S1100" s="257" t="s">
        <v>283</v>
      </c>
      <c r="T1100" s="257" t="s">
        <v>283</v>
      </c>
      <c r="U1100" s="257" t="s">
        <v>283</v>
      </c>
      <c r="V1100" s="257" t="s">
        <v>283</v>
      </c>
      <c r="W1100" s="258" t="s">
        <v>283</v>
      </c>
      <c r="X1100" s="258" t="s">
        <v>283</v>
      </c>
      <c r="Y1100" s="259" t="s">
        <v>283</v>
      </c>
    </row>
    <row r="1101" spans="1:25">
      <c r="A1101" s="253">
        <v>20</v>
      </c>
      <c r="B1101" s="254" t="str">
        <f>VLOOKUP(Tabel10[[#This Row],[Code]],Ruimtegroepen[[Code]:[Ruimte omschrijving]],2,FALSE)</f>
        <v>Niet in Onderhoud</v>
      </c>
      <c r="C1101" s="255" t="s">
        <v>1198</v>
      </c>
      <c r="D1101" s="254" t="s">
        <v>28</v>
      </c>
      <c r="E1101" s="255" t="s">
        <v>1312</v>
      </c>
      <c r="F1101" s="255" t="s">
        <v>1322</v>
      </c>
      <c r="G1101" s="260" t="s">
        <v>283</v>
      </c>
      <c r="H1101" s="256" t="s">
        <v>283</v>
      </c>
      <c r="I1101" s="256" t="s">
        <v>283</v>
      </c>
      <c r="J1101" s="256" t="s">
        <v>283</v>
      </c>
      <c r="K1101" s="256" t="s">
        <v>283</v>
      </c>
      <c r="L1101" s="256" t="s">
        <v>283</v>
      </c>
      <c r="M1101" s="256" t="s">
        <v>283</v>
      </c>
      <c r="N1101" s="256" t="s">
        <v>283</v>
      </c>
      <c r="O1101" s="257" t="s">
        <v>283</v>
      </c>
      <c r="P1101" s="257" t="s">
        <v>283</v>
      </c>
      <c r="Q1101" s="257" t="s">
        <v>283</v>
      </c>
      <c r="R1101" s="257" t="s">
        <v>283</v>
      </c>
      <c r="S1101" s="257" t="s">
        <v>283</v>
      </c>
      <c r="T1101" s="257" t="s">
        <v>283</v>
      </c>
      <c r="U1101" s="257" t="s">
        <v>283</v>
      </c>
      <c r="V1101" s="257" t="s">
        <v>283</v>
      </c>
      <c r="W1101" s="258" t="s">
        <v>283</v>
      </c>
      <c r="X1101" s="258" t="s">
        <v>283</v>
      </c>
      <c r="Y1101" s="259" t="s">
        <v>283</v>
      </c>
    </row>
  </sheetData>
  <sheetProtection algorithmName="SHA-512" hashValue="unnd8rTw9jh/eCGl/vQUgFGO8507m0m5nV/0yM/antOyLrsT2pEY3sKgYtK/0bNQ5XEYOwKxqhyWOB2vrxWjhQ==" saltValue="p2ydPB0lXUpn/uATxOVUCg==" spinCount="100000" sheet="1" objects="1" scenarios="1" sort="0"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topLeftCell="A13" zoomScaleNormal="100" zoomScaleSheetLayoutView="100" workbookViewId="0">
      <selection activeCell="E30" activeCellId="10" sqref="A7:B7 C5:D8 D13:D17 A17:C17 E21:E23 D24 E25 A25:C25 A31:C31 D29 E30:E32"/>
    </sheetView>
  </sheetViews>
  <sheetFormatPr defaultColWidth="7.85546875" defaultRowHeight="15" customHeight="1"/>
  <cols>
    <col min="1" max="1" width="15.140625" style="375" bestFit="1" customWidth="1"/>
    <col min="2" max="2" width="26" style="375" customWidth="1"/>
    <col min="3" max="3" width="18.28515625" style="375" customWidth="1"/>
    <col min="4" max="4" width="17.7109375" style="375" bestFit="1" customWidth="1"/>
    <col min="5" max="5" width="18.28515625" style="401" customWidth="1"/>
    <col min="6" max="6" width="2.85546875" style="375" customWidth="1"/>
    <col min="7" max="7" width="14.85546875" style="375" customWidth="1"/>
    <col min="8" max="8" width="12" style="375" bestFit="1" customWidth="1"/>
    <col min="9" max="9" width="19.42578125" style="375" bestFit="1" customWidth="1"/>
    <col min="10" max="10" width="12" style="375" bestFit="1" customWidth="1"/>
    <col min="11" max="11" width="19.42578125" style="375" bestFit="1" customWidth="1"/>
    <col min="12" max="12" width="12" style="375" bestFit="1" customWidth="1"/>
    <col min="13" max="13" width="19.42578125" style="375" bestFit="1" customWidth="1"/>
    <col min="14" max="14" width="12" style="375" bestFit="1" customWidth="1"/>
    <col min="15" max="15" width="19.42578125" style="375" bestFit="1" customWidth="1"/>
    <col min="16" max="16" width="12" style="375" bestFit="1" customWidth="1"/>
    <col min="17" max="17" width="19.42578125" style="375" bestFit="1" customWidth="1"/>
    <col min="18" max="16384" width="7.85546875" style="375"/>
  </cols>
  <sheetData>
    <row r="1" spans="1:17" s="372" customFormat="1" ht="26.25" customHeight="1">
      <c r="A1" s="371" t="s">
        <v>34</v>
      </c>
      <c r="B1" s="371"/>
      <c r="C1" s="371"/>
      <c r="D1" s="371"/>
      <c r="E1" s="371"/>
    </row>
    <row r="2" spans="1:17" s="372" customFormat="1" ht="15" customHeight="1">
      <c r="A2" s="373" t="s">
        <v>1587</v>
      </c>
      <c r="B2" s="373"/>
      <c r="C2" s="373"/>
      <c r="D2" s="373"/>
      <c r="E2" s="373"/>
      <c r="G2" s="374" t="s">
        <v>244</v>
      </c>
      <c r="H2" s="374"/>
      <c r="I2" s="374"/>
      <c r="J2" s="374"/>
      <c r="K2" s="374"/>
      <c r="L2" s="374"/>
      <c r="M2" s="374"/>
      <c r="N2" s="374"/>
      <c r="O2" s="374"/>
      <c r="P2" s="374"/>
      <c r="Q2" s="374"/>
    </row>
    <row r="3" spans="1:17" ht="15" customHeight="1">
      <c r="E3" s="375"/>
      <c r="G3" s="376"/>
      <c r="H3" s="377">
        <v>2027</v>
      </c>
      <c r="I3" s="377"/>
      <c r="J3" s="378">
        <v>2028</v>
      </c>
      <c r="K3" s="379"/>
      <c r="L3" s="378">
        <v>2029</v>
      </c>
      <c r="M3" s="379"/>
      <c r="N3" s="378">
        <v>2030</v>
      </c>
      <c r="O3" s="379"/>
      <c r="P3" s="378">
        <v>2031</v>
      </c>
      <c r="Q3" s="379"/>
    </row>
    <row r="4" spans="1:17" s="383" customFormat="1" ht="26.25" customHeight="1">
      <c r="A4" s="380" t="s">
        <v>72</v>
      </c>
      <c r="B4" s="381"/>
      <c r="C4" s="382" t="s">
        <v>196</v>
      </c>
      <c r="D4" s="382" t="s">
        <v>208</v>
      </c>
      <c r="E4" s="382" t="s">
        <v>79</v>
      </c>
      <c r="G4" s="382" t="s">
        <v>1291</v>
      </c>
      <c r="H4" s="382" t="s">
        <v>1292</v>
      </c>
      <c r="I4" s="382" t="s">
        <v>1293</v>
      </c>
      <c r="J4" s="382" t="s">
        <v>1292</v>
      </c>
      <c r="K4" s="382" t="s">
        <v>1293</v>
      </c>
      <c r="L4" s="382" t="s">
        <v>1292</v>
      </c>
      <c r="M4" s="382" t="s">
        <v>1293</v>
      </c>
      <c r="N4" s="382" t="s">
        <v>1292</v>
      </c>
      <c r="O4" s="382" t="s">
        <v>1293</v>
      </c>
      <c r="P4" s="382" t="s">
        <v>1292</v>
      </c>
      <c r="Q4" s="382" t="s">
        <v>1293</v>
      </c>
    </row>
    <row r="5" spans="1:17" ht="15" customHeight="1">
      <c r="A5" s="384" t="s">
        <v>93</v>
      </c>
      <c r="B5" s="385"/>
      <c r="C5" s="435">
        <v>0</v>
      </c>
      <c r="D5" s="436">
        <v>0</v>
      </c>
      <c r="E5" s="386">
        <f>C5*D5</f>
        <v>0</v>
      </c>
      <c r="G5" s="387"/>
      <c r="H5" s="387"/>
      <c r="I5" s="387"/>
      <c r="J5" s="387"/>
      <c r="K5" s="387"/>
      <c r="L5" s="387"/>
      <c r="M5" s="387"/>
      <c r="N5" s="387"/>
      <c r="O5" s="387"/>
      <c r="P5" s="387"/>
      <c r="Q5" s="387"/>
    </row>
    <row r="6" spans="1:17" ht="15" customHeight="1">
      <c r="A6" s="384" t="s">
        <v>64</v>
      </c>
      <c r="B6" s="385"/>
      <c r="C6" s="435">
        <v>0</v>
      </c>
      <c r="D6" s="436">
        <v>0</v>
      </c>
      <c r="E6" s="386">
        <f>C6*D6</f>
        <v>0</v>
      </c>
      <c r="G6" s="387"/>
      <c r="H6" s="387"/>
      <c r="I6" s="387"/>
      <c r="J6" s="387"/>
      <c r="K6" s="387"/>
      <c r="L6" s="387"/>
      <c r="M6" s="387"/>
      <c r="N6" s="387"/>
      <c r="O6" s="387"/>
      <c r="P6" s="387"/>
      <c r="Q6" s="387"/>
    </row>
    <row r="7" spans="1:17" ht="15" customHeight="1">
      <c r="A7" s="433"/>
      <c r="B7" s="434"/>
      <c r="C7" s="435">
        <v>0</v>
      </c>
      <c r="D7" s="436">
        <v>0</v>
      </c>
      <c r="E7" s="386">
        <f>C7*D7</f>
        <v>0</v>
      </c>
      <c r="G7" s="387"/>
      <c r="H7" s="387"/>
      <c r="I7" s="387"/>
      <c r="J7" s="387"/>
      <c r="K7" s="387"/>
      <c r="L7" s="387"/>
      <c r="M7" s="387"/>
      <c r="N7" s="387"/>
      <c r="O7" s="387"/>
      <c r="P7" s="387"/>
      <c r="Q7" s="387"/>
    </row>
    <row r="8" spans="1:17" ht="15" customHeight="1">
      <c r="A8" s="388" t="s">
        <v>65</v>
      </c>
      <c r="B8" s="389"/>
      <c r="C8" s="435">
        <v>0</v>
      </c>
      <c r="D8" s="436">
        <v>0</v>
      </c>
      <c r="E8" s="386">
        <f>C8*D8</f>
        <v>0</v>
      </c>
      <c r="G8" s="387"/>
      <c r="H8" s="387"/>
      <c r="I8" s="387"/>
      <c r="J8" s="387"/>
      <c r="K8" s="387"/>
      <c r="L8" s="387"/>
      <c r="M8" s="387"/>
      <c r="N8" s="387"/>
      <c r="O8" s="387"/>
      <c r="P8" s="387"/>
      <c r="Q8" s="387"/>
    </row>
    <row r="9" spans="1:17" ht="15" customHeight="1">
      <c r="A9" s="390" t="s">
        <v>94</v>
      </c>
      <c r="B9" s="391"/>
      <c r="C9" s="392"/>
      <c r="D9" s="393">
        <f>SUM(D5:D8)</f>
        <v>0</v>
      </c>
      <c r="E9" s="386" t="str">
        <f>IF(SUM($D$5:$D$8)=100%,SUM(E5:E8),"    GEEN 100%")</f>
        <v xml:space="preserve">    GEEN 100%</v>
      </c>
      <c r="G9" s="387"/>
      <c r="H9" s="394"/>
      <c r="I9" s="387"/>
      <c r="J9" s="387"/>
      <c r="K9" s="387"/>
      <c r="L9" s="387"/>
      <c r="M9" s="387"/>
      <c r="N9" s="387"/>
      <c r="O9" s="387"/>
      <c r="P9" s="387"/>
      <c r="Q9" s="387"/>
    </row>
    <row r="10" spans="1:17" ht="15" customHeight="1">
      <c r="A10" s="395" t="s">
        <v>66</v>
      </c>
      <c r="B10" s="395"/>
      <c r="C10" s="395"/>
      <c r="D10" s="396" t="s">
        <v>3</v>
      </c>
      <c r="E10" s="397">
        <f>SUM(E9:E9)</f>
        <v>0</v>
      </c>
      <c r="G10" s="387" t="s">
        <v>1294</v>
      </c>
      <c r="H10" s="398">
        <v>0</v>
      </c>
      <c r="I10" s="397">
        <f>(E10*H10)+E10</f>
        <v>0</v>
      </c>
      <c r="J10" s="398">
        <v>0</v>
      </c>
      <c r="K10" s="397">
        <f>(I10*J10)+I10</f>
        <v>0</v>
      </c>
      <c r="L10" s="398">
        <v>0</v>
      </c>
      <c r="M10" s="397">
        <f>(K10*L10)+K10</f>
        <v>0</v>
      </c>
      <c r="N10" s="398">
        <v>0</v>
      </c>
      <c r="O10" s="397">
        <f>(M10*N10)+M10</f>
        <v>0</v>
      </c>
      <c r="P10" s="398">
        <v>0</v>
      </c>
      <c r="Q10" s="397">
        <f>(O10*P10)+O10</f>
        <v>0</v>
      </c>
    </row>
    <row r="11" spans="1:17" ht="15" customHeight="1">
      <c r="A11" s="399"/>
      <c r="B11" s="400"/>
      <c r="C11" s="400"/>
      <c r="D11" s="400"/>
      <c r="G11" s="387"/>
      <c r="H11" s="387"/>
      <c r="I11" s="387"/>
      <c r="J11" s="387"/>
      <c r="K11" s="387"/>
      <c r="L11" s="387"/>
      <c r="M11" s="387"/>
      <c r="N11" s="387"/>
      <c r="O11" s="387"/>
      <c r="P11" s="387"/>
      <c r="Q11" s="387"/>
    </row>
    <row r="12" spans="1:17" s="383" customFormat="1" ht="26.25" customHeight="1">
      <c r="A12" s="380" t="s">
        <v>67</v>
      </c>
      <c r="B12" s="402"/>
      <c r="C12" s="381"/>
      <c r="D12" s="403" t="s">
        <v>76</v>
      </c>
      <c r="E12" s="382" t="s">
        <v>79</v>
      </c>
      <c r="G12" s="404"/>
      <c r="H12" s="404"/>
      <c r="I12" s="404"/>
      <c r="J12" s="404"/>
      <c r="K12" s="404"/>
      <c r="L12" s="404"/>
      <c r="M12" s="404"/>
      <c r="N12" s="404"/>
      <c r="O12" s="404"/>
      <c r="P12" s="404"/>
      <c r="Q12" s="404"/>
    </row>
    <row r="13" spans="1:17" ht="15" customHeight="1">
      <c r="A13" s="405" t="s">
        <v>4</v>
      </c>
      <c r="B13" s="406"/>
      <c r="C13" s="406"/>
      <c r="D13" s="437">
        <v>0</v>
      </c>
      <c r="E13" s="407">
        <f>SUM($E$10*D13)</f>
        <v>0</v>
      </c>
      <c r="G13" s="387" t="s">
        <v>1583</v>
      </c>
      <c r="H13" s="398"/>
      <c r="I13" s="408">
        <f>(E13*H13)+E13</f>
        <v>0</v>
      </c>
      <c r="J13" s="409"/>
      <c r="K13" s="408">
        <f>(I13*J13)+I13</f>
        <v>0</v>
      </c>
      <c r="L13" s="409"/>
      <c r="M13" s="408">
        <f>(K13*L13)+K13</f>
        <v>0</v>
      </c>
      <c r="N13" s="409"/>
      <c r="O13" s="408">
        <f>(M13*N13)+M13</f>
        <v>0</v>
      </c>
      <c r="P13" s="409"/>
      <c r="Q13" s="408">
        <f>(O13*P13)+O13</f>
        <v>0</v>
      </c>
    </row>
    <row r="14" spans="1:17" ht="15" customHeight="1">
      <c r="A14" s="406" t="s">
        <v>81</v>
      </c>
      <c r="B14" s="406"/>
      <c r="C14" s="406"/>
      <c r="D14" s="437">
        <v>0</v>
      </c>
      <c r="E14" s="407">
        <f>SUM($E$10*D14)</f>
        <v>0</v>
      </c>
      <c r="G14" s="387" t="s">
        <v>1583</v>
      </c>
      <c r="H14" s="398"/>
      <c r="I14" s="408">
        <f>(E14*H14)+E14</f>
        <v>0</v>
      </c>
      <c r="J14" s="409"/>
      <c r="K14" s="408">
        <f>(I14*J14)+I14</f>
        <v>0</v>
      </c>
      <c r="L14" s="409"/>
      <c r="M14" s="408">
        <f>(K14*L14)+K14</f>
        <v>0</v>
      </c>
      <c r="N14" s="409"/>
      <c r="O14" s="408">
        <f>(M14*N14)+M14</f>
        <v>0</v>
      </c>
      <c r="P14" s="409"/>
      <c r="Q14" s="408">
        <f>(O14*P14)+O14</f>
        <v>0</v>
      </c>
    </row>
    <row r="15" spans="1:17" ht="15" customHeight="1">
      <c r="A15" s="406" t="s">
        <v>5</v>
      </c>
      <c r="B15" s="406"/>
      <c r="C15" s="406"/>
      <c r="D15" s="437">
        <v>0</v>
      </c>
      <c r="E15" s="407">
        <f>SUM($E$10*D15)</f>
        <v>0</v>
      </c>
      <c r="G15" s="387" t="s">
        <v>1583</v>
      </c>
      <c r="H15" s="398"/>
      <c r="I15" s="408">
        <f>(E15*H15)+E15</f>
        <v>0</v>
      </c>
      <c r="J15" s="409"/>
      <c r="K15" s="408">
        <f>(I15*J15)+I15</f>
        <v>0</v>
      </c>
      <c r="L15" s="409"/>
      <c r="M15" s="408">
        <f>(K15*L15)+K15</f>
        <v>0</v>
      </c>
      <c r="N15" s="409"/>
      <c r="O15" s="408">
        <f>(M15*N15)+M15</f>
        <v>0</v>
      </c>
      <c r="P15" s="409"/>
      <c r="Q15" s="408">
        <f>(O15*P15)+O15</f>
        <v>0</v>
      </c>
    </row>
    <row r="16" spans="1:17" ht="15" customHeight="1">
      <c r="A16" s="406" t="s">
        <v>6</v>
      </c>
      <c r="B16" s="406"/>
      <c r="C16" s="406"/>
      <c r="D16" s="437">
        <v>0</v>
      </c>
      <c r="E16" s="407">
        <f>SUM($E$10*D16)</f>
        <v>0</v>
      </c>
      <c r="G16" s="387" t="s">
        <v>1583</v>
      </c>
      <c r="H16" s="398"/>
      <c r="I16" s="408">
        <f>(E16*H16)+E16</f>
        <v>0</v>
      </c>
      <c r="J16" s="409"/>
      <c r="K16" s="408">
        <f>(I16*J16)+I16</f>
        <v>0</v>
      </c>
      <c r="L16" s="409"/>
      <c r="M16" s="408">
        <f>(K16*L16)+K16</f>
        <v>0</v>
      </c>
      <c r="N16" s="409"/>
      <c r="O16" s="408">
        <f>(M16*N16)+M16</f>
        <v>0</v>
      </c>
      <c r="P16" s="409"/>
      <c r="Q16" s="408">
        <f>(O16*P16)+O16</f>
        <v>0</v>
      </c>
    </row>
    <row r="17" spans="1:17" ht="15" customHeight="1">
      <c r="A17" s="433" t="s">
        <v>84</v>
      </c>
      <c r="B17" s="438"/>
      <c r="C17" s="434"/>
      <c r="D17" s="437">
        <v>0</v>
      </c>
      <c r="E17" s="407">
        <f>SUM($E$10*D17)</f>
        <v>0</v>
      </c>
      <c r="G17" s="387" t="s">
        <v>1583</v>
      </c>
      <c r="H17" s="398"/>
      <c r="I17" s="408">
        <f>(E17*H17)+E17</f>
        <v>0</v>
      </c>
      <c r="J17" s="409"/>
      <c r="K17" s="408">
        <f>(I17*J17)+I17</f>
        <v>0</v>
      </c>
      <c r="L17" s="409"/>
      <c r="M17" s="408">
        <f>(K17*L17)+K17</f>
        <v>0</v>
      </c>
      <c r="N17" s="409"/>
      <c r="O17" s="408">
        <f>(M17*N17)+M17</f>
        <v>0</v>
      </c>
      <c r="P17" s="409"/>
      <c r="Q17" s="408">
        <f>(O17*P17)+O17</f>
        <v>0</v>
      </c>
    </row>
    <row r="18" spans="1:17" ht="15" customHeight="1">
      <c r="A18" s="395" t="s">
        <v>73</v>
      </c>
      <c r="B18" s="395"/>
      <c r="C18" s="395"/>
      <c r="D18" s="396"/>
      <c r="E18" s="410">
        <f>SUM(E13:E17)</f>
        <v>0</v>
      </c>
      <c r="G18" s="387"/>
      <c r="H18" s="398"/>
      <c r="I18" s="410">
        <f>SUM(I13:I17)</f>
        <v>0</v>
      </c>
      <c r="J18" s="398"/>
      <c r="K18" s="410">
        <f>SUM(K13:K17)</f>
        <v>0</v>
      </c>
      <c r="L18" s="398"/>
      <c r="M18" s="410">
        <f>SUM(M13:M17)</f>
        <v>0</v>
      </c>
      <c r="N18" s="398"/>
      <c r="O18" s="410">
        <f>SUM(O13:O17)</f>
        <v>0</v>
      </c>
      <c r="P18" s="398"/>
      <c r="Q18" s="410">
        <f>SUM(Q13:Q17)</f>
        <v>0</v>
      </c>
    </row>
    <row r="19" spans="1:17" ht="15" customHeight="1">
      <c r="D19" s="411"/>
      <c r="E19" s="412"/>
      <c r="G19" s="387"/>
      <c r="H19" s="387"/>
      <c r="I19" s="387"/>
      <c r="J19" s="387"/>
      <c r="K19" s="387"/>
      <c r="L19" s="387"/>
      <c r="M19" s="387"/>
      <c r="N19" s="387"/>
      <c r="O19" s="387"/>
      <c r="P19" s="387"/>
      <c r="Q19" s="387"/>
    </row>
    <row r="20" spans="1:17" s="383" customFormat="1" ht="26.25" customHeight="1">
      <c r="A20" s="380" t="s">
        <v>68</v>
      </c>
      <c r="B20" s="402"/>
      <c r="C20" s="381"/>
      <c r="D20" s="403" t="s">
        <v>77</v>
      </c>
      <c r="E20" s="382" t="s">
        <v>79</v>
      </c>
      <c r="G20" s="404"/>
      <c r="H20" s="404"/>
      <c r="I20" s="404"/>
      <c r="J20" s="404"/>
      <c r="K20" s="404"/>
      <c r="L20" s="404"/>
      <c r="M20" s="404"/>
      <c r="N20" s="404"/>
      <c r="O20" s="404"/>
      <c r="P20" s="404"/>
      <c r="Q20" s="404"/>
    </row>
    <row r="21" spans="1:17" ht="15" customHeight="1">
      <c r="A21" s="406" t="s">
        <v>7</v>
      </c>
      <c r="B21" s="406"/>
      <c r="C21" s="406"/>
      <c r="D21" s="413" t="e">
        <f>E21/$E$35</f>
        <v>#DIV/0!</v>
      </c>
      <c r="E21" s="439">
        <v>0</v>
      </c>
      <c r="G21" s="387" t="s">
        <v>1583</v>
      </c>
      <c r="H21" s="398"/>
      <c r="I21" s="408">
        <f>(E21*H21)+E21</f>
        <v>0</v>
      </c>
      <c r="J21" s="409"/>
      <c r="K21" s="408">
        <f>(I21*J21)+I21</f>
        <v>0</v>
      </c>
      <c r="L21" s="409"/>
      <c r="M21" s="408">
        <f>(K21*L21)+K21</f>
        <v>0</v>
      </c>
      <c r="N21" s="409"/>
      <c r="O21" s="408">
        <f>(M21*N21)+M21</f>
        <v>0</v>
      </c>
      <c r="P21" s="409"/>
      <c r="Q21" s="408">
        <f>(O21*P21)+O21</f>
        <v>0</v>
      </c>
    </row>
    <row r="22" spans="1:17" ht="15" customHeight="1">
      <c r="A22" s="405" t="s">
        <v>8</v>
      </c>
      <c r="B22" s="406"/>
      <c r="C22" s="406"/>
      <c r="D22" s="413" t="e">
        <f>E22/$E$35</f>
        <v>#DIV/0!</v>
      </c>
      <c r="E22" s="439">
        <v>0</v>
      </c>
      <c r="G22" s="387" t="s">
        <v>1583</v>
      </c>
      <c r="H22" s="398"/>
      <c r="I22" s="408">
        <f>(E22*H22)+E22</f>
        <v>0</v>
      </c>
      <c r="J22" s="409"/>
      <c r="K22" s="408">
        <f>(I22*J22)+I22</f>
        <v>0</v>
      </c>
      <c r="L22" s="409"/>
      <c r="M22" s="408">
        <f>(K22*L22)+K22</f>
        <v>0</v>
      </c>
      <c r="N22" s="409"/>
      <c r="O22" s="408">
        <f>(M22*N22)+M22</f>
        <v>0</v>
      </c>
      <c r="P22" s="409"/>
      <c r="Q22" s="408">
        <f>(O22*P22)+O22</f>
        <v>0</v>
      </c>
    </row>
    <row r="23" spans="1:17" ht="15" customHeight="1">
      <c r="A23" s="406" t="s">
        <v>9</v>
      </c>
      <c r="B23" s="406"/>
      <c r="C23" s="406"/>
      <c r="D23" s="413" t="e">
        <f>E23/$E$35</f>
        <v>#DIV/0!</v>
      </c>
      <c r="E23" s="439">
        <v>0</v>
      </c>
      <c r="G23" s="387" t="s">
        <v>1583</v>
      </c>
      <c r="H23" s="398"/>
      <c r="I23" s="414">
        <f>(E23*H23)+E23</f>
        <v>0</v>
      </c>
      <c r="J23" s="409"/>
      <c r="K23" s="408">
        <f>(I23*J23)+I23</f>
        <v>0</v>
      </c>
      <c r="L23" s="409"/>
      <c r="M23" s="408">
        <f>(K23*L23)+K23</f>
        <v>0</v>
      </c>
      <c r="N23" s="409"/>
      <c r="O23" s="408">
        <f>(M23*N23)+M23</f>
        <v>0</v>
      </c>
      <c r="P23" s="409"/>
      <c r="Q23" s="408">
        <f>(O23*P23)+O23</f>
        <v>0</v>
      </c>
    </row>
    <row r="24" spans="1:17" ht="15" customHeight="1">
      <c r="A24" s="388" t="s">
        <v>10</v>
      </c>
      <c r="B24" s="415"/>
      <c r="C24" s="389"/>
      <c r="D24" s="437">
        <v>0</v>
      </c>
      <c r="E24" s="416">
        <f>D24*$E$10</f>
        <v>0</v>
      </c>
      <c r="G24" s="387" t="s">
        <v>1294</v>
      </c>
      <c r="H24" s="398"/>
      <c r="I24" s="408">
        <f>(E24*H24)+E24</f>
        <v>0</v>
      </c>
      <c r="J24" s="409"/>
      <c r="K24" s="408">
        <f>(I24*J24)+I24</f>
        <v>0</v>
      </c>
      <c r="L24" s="409"/>
      <c r="M24" s="408">
        <f>(K24*L24)+K24</f>
        <v>0</v>
      </c>
      <c r="N24" s="409"/>
      <c r="O24" s="408">
        <f>(M24*N24)+M24</f>
        <v>0</v>
      </c>
      <c r="P24" s="409"/>
      <c r="Q24" s="408">
        <f>(O24*P24)+O24</f>
        <v>0</v>
      </c>
    </row>
    <row r="25" spans="1:17" ht="15" customHeight="1">
      <c r="A25" s="433" t="s">
        <v>82</v>
      </c>
      <c r="B25" s="438"/>
      <c r="C25" s="434"/>
      <c r="D25" s="413" t="e">
        <f>E25/$E$35</f>
        <v>#DIV/0!</v>
      </c>
      <c r="E25" s="439">
        <v>0</v>
      </c>
      <c r="G25" s="387" t="s">
        <v>1583</v>
      </c>
      <c r="H25" s="398"/>
      <c r="I25" s="414">
        <f>(E25*H25)+E25</f>
        <v>0</v>
      </c>
      <c r="J25" s="409"/>
      <c r="K25" s="408">
        <f>(I25*J25)+I25</f>
        <v>0</v>
      </c>
      <c r="L25" s="409"/>
      <c r="M25" s="408">
        <f>(K25*L25)+K25</f>
        <v>0</v>
      </c>
      <c r="N25" s="409"/>
      <c r="O25" s="408">
        <f>(M25*N25)+M25</f>
        <v>0</v>
      </c>
      <c r="P25" s="409"/>
      <c r="Q25" s="408">
        <f>(O25*P25)+O25</f>
        <v>0</v>
      </c>
    </row>
    <row r="26" spans="1:17" ht="15" customHeight="1">
      <c r="A26" s="395" t="s">
        <v>74</v>
      </c>
      <c r="B26" s="395"/>
      <c r="C26" s="395"/>
      <c r="D26" s="396" t="s">
        <v>3</v>
      </c>
      <c r="E26" s="397">
        <f>SUM(E21:E25)</f>
        <v>0</v>
      </c>
      <c r="G26" s="387"/>
      <c r="H26" s="387"/>
      <c r="I26" s="397">
        <f>SUM(I21:I25)</f>
        <v>0</v>
      </c>
      <c r="J26" s="398"/>
      <c r="K26" s="397">
        <f>SUM(K21:K25)</f>
        <v>0</v>
      </c>
      <c r="L26" s="398"/>
      <c r="M26" s="397">
        <f>SUM(M21:M25)</f>
        <v>0</v>
      </c>
      <c r="N26" s="398"/>
      <c r="O26" s="397">
        <f>SUM(O21:O25)</f>
        <v>0</v>
      </c>
      <c r="P26" s="398"/>
      <c r="Q26" s="397">
        <f>SUM(Q21:Q25)</f>
        <v>0</v>
      </c>
    </row>
    <row r="27" spans="1:17" ht="15" customHeight="1">
      <c r="A27" s="417"/>
      <c r="B27" s="417"/>
      <c r="C27" s="417"/>
      <c r="D27" s="411"/>
      <c r="E27" s="418"/>
      <c r="G27" s="387"/>
      <c r="H27" s="387"/>
      <c r="I27" s="387"/>
      <c r="J27" s="387"/>
      <c r="K27" s="387"/>
      <c r="L27" s="387"/>
      <c r="M27" s="387"/>
      <c r="N27" s="387"/>
      <c r="O27" s="387"/>
      <c r="P27" s="387"/>
      <c r="Q27" s="387"/>
    </row>
    <row r="28" spans="1:17" s="383" customFormat="1" ht="26.25" customHeight="1">
      <c r="A28" s="380" t="s">
        <v>69</v>
      </c>
      <c r="B28" s="402"/>
      <c r="C28" s="381"/>
      <c r="D28" s="403" t="s">
        <v>77</v>
      </c>
      <c r="E28" s="382" t="s">
        <v>79</v>
      </c>
      <c r="G28" s="404"/>
      <c r="H28" s="404"/>
      <c r="I28" s="404"/>
      <c r="J28" s="404"/>
      <c r="K28" s="404"/>
      <c r="L28" s="404"/>
      <c r="M28" s="404"/>
      <c r="N28" s="404"/>
      <c r="O28" s="404"/>
      <c r="P28" s="404"/>
      <c r="Q28" s="404"/>
    </row>
    <row r="29" spans="1:17" ht="15" customHeight="1">
      <c r="A29" s="405" t="s">
        <v>11</v>
      </c>
      <c r="B29" s="406"/>
      <c r="C29" s="406"/>
      <c r="D29" s="437">
        <v>0</v>
      </c>
      <c r="E29" s="416">
        <f>D29*($E$18+$E$10)</f>
        <v>0</v>
      </c>
      <c r="G29" s="387" t="s">
        <v>1583</v>
      </c>
      <c r="H29" s="398"/>
      <c r="I29" s="408">
        <f>(E29*H29)+E29</f>
        <v>0</v>
      </c>
      <c r="J29" s="409"/>
      <c r="K29" s="408">
        <f>(I29*J29)+I29</f>
        <v>0</v>
      </c>
      <c r="L29" s="409"/>
      <c r="M29" s="408">
        <f>(K29*L29)+K29</f>
        <v>0</v>
      </c>
      <c r="N29" s="409"/>
      <c r="O29" s="408">
        <f>(M29*N29)+M29</f>
        <v>0</v>
      </c>
      <c r="P29" s="409"/>
      <c r="Q29" s="408">
        <f>(O29*P29)+O29</f>
        <v>0</v>
      </c>
    </row>
    <row r="30" spans="1:17" ht="15" customHeight="1">
      <c r="A30" s="405" t="s">
        <v>70</v>
      </c>
      <c r="B30" s="406"/>
      <c r="C30" s="406"/>
      <c r="D30" s="419" t="e">
        <f>E30/$E$35</f>
        <v>#DIV/0!</v>
      </c>
      <c r="E30" s="439">
        <v>0</v>
      </c>
      <c r="G30" s="387" t="s">
        <v>1583</v>
      </c>
      <c r="H30" s="398"/>
      <c r="I30" s="414">
        <f>(E30*H30)+E30</f>
        <v>0</v>
      </c>
      <c r="J30" s="409"/>
      <c r="K30" s="408">
        <f>(I30*J30)+I30</f>
        <v>0</v>
      </c>
      <c r="L30" s="409"/>
      <c r="M30" s="408">
        <f>(K30*L30)+K30</f>
        <v>0</v>
      </c>
      <c r="N30" s="409"/>
      <c r="O30" s="408">
        <f>(M30*N30)+M30</f>
        <v>0</v>
      </c>
      <c r="P30" s="409"/>
      <c r="Q30" s="408">
        <f>(O30*P30)+O30</f>
        <v>0</v>
      </c>
    </row>
    <row r="31" spans="1:17" ht="15" customHeight="1">
      <c r="A31" s="433" t="s">
        <v>83</v>
      </c>
      <c r="B31" s="438"/>
      <c r="C31" s="434"/>
      <c r="D31" s="413" t="e">
        <f>E31/$E$35</f>
        <v>#DIV/0!</v>
      </c>
      <c r="E31" s="439">
        <v>0</v>
      </c>
      <c r="G31" s="387" t="s">
        <v>1583</v>
      </c>
      <c r="H31" s="398"/>
      <c r="I31" s="414">
        <f>(E31*H31)+E31</f>
        <v>0</v>
      </c>
      <c r="J31" s="409"/>
      <c r="K31" s="408">
        <f>(I31*J31)+I31</f>
        <v>0</v>
      </c>
      <c r="L31" s="409"/>
      <c r="M31" s="408">
        <f>(K31*L31)+K31</f>
        <v>0</v>
      </c>
      <c r="N31" s="409"/>
      <c r="O31" s="408">
        <f>(M31*N31)+M31</f>
        <v>0</v>
      </c>
      <c r="P31" s="409"/>
      <c r="Q31" s="408">
        <f>(O31*P31)+O31</f>
        <v>0</v>
      </c>
    </row>
    <row r="32" spans="1:17" ht="15" customHeight="1">
      <c r="A32" s="406" t="s">
        <v>71</v>
      </c>
      <c r="B32" s="406"/>
      <c r="C32" s="406"/>
      <c r="D32" s="419" t="e">
        <f>E32/$E$35</f>
        <v>#DIV/0!</v>
      </c>
      <c r="E32" s="439">
        <v>0</v>
      </c>
      <c r="G32" s="387" t="s">
        <v>1583</v>
      </c>
      <c r="H32" s="398"/>
      <c r="I32" s="414">
        <f>(E32*H32)+E32</f>
        <v>0</v>
      </c>
      <c r="J32" s="409"/>
      <c r="K32" s="408">
        <f>(I32*J32)+I32</f>
        <v>0</v>
      </c>
      <c r="L32" s="409"/>
      <c r="M32" s="408">
        <f>(K32*L32)+K32</f>
        <v>0</v>
      </c>
      <c r="N32" s="409"/>
      <c r="O32" s="408">
        <f>(M32*N32)+M32</f>
        <v>0</v>
      </c>
      <c r="P32" s="409"/>
      <c r="Q32" s="408">
        <f>(O32*P32)+O32</f>
        <v>0</v>
      </c>
    </row>
    <row r="33" spans="1:17" ht="15" customHeight="1">
      <c r="A33" s="395" t="s">
        <v>75</v>
      </c>
      <c r="B33" s="395"/>
      <c r="C33" s="395"/>
      <c r="D33" s="396"/>
      <c r="E33" s="420">
        <f>SUM(E29:E32)</f>
        <v>0</v>
      </c>
      <c r="G33" s="387"/>
      <c r="H33" s="398"/>
      <c r="I33" s="420">
        <f>SUM(I29:I32)</f>
        <v>0</v>
      </c>
      <c r="J33" s="398"/>
      <c r="K33" s="420">
        <f>SUM(K29:K32)</f>
        <v>0</v>
      </c>
      <c r="L33" s="398"/>
      <c r="M33" s="420">
        <f>SUM(M29:M32)</f>
        <v>0</v>
      </c>
      <c r="N33" s="398"/>
      <c r="O33" s="420">
        <f>SUM(O29:O32)</f>
        <v>0</v>
      </c>
      <c r="P33" s="398"/>
      <c r="Q33" s="420">
        <f>SUM(Q29:Q32)</f>
        <v>0</v>
      </c>
    </row>
    <row r="34" spans="1:17" ht="15" customHeight="1">
      <c r="A34" s="417"/>
      <c r="B34" s="417"/>
      <c r="C34" s="417"/>
      <c r="D34" s="411"/>
      <c r="E34" s="421"/>
      <c r="H34" s="387"/>
      <c r="I34" s="387"/>
      <c r="J34" s="387"/>
      <c r="K34" s="387"/>
      <c r="L34" s="387"/>
      <c r="M34" s="387"/>
      <c r="N34" s="387"/>
      <c r="O34" s="387"/>
      <c r="P34" s="387"/>
      <c r="Q34" s="387"/>
    </row>
    <row r="35" spans="1:17" ht="26.25" customHeight="1">
      <c r="A35" s="422" t="s">
        <v>92</v>
      </c>
      <c r="B35" s="423"/>
      <c r="C35" s="423"/>
      <c r="D35" s="424"/>
      <c r="E35" s="425">
        <f>E33+E26+E18+E10</f>
        <v>0</v>
      </c>
      <c r="G35" s="426"/>
      <c r="H35" s="387"/>
      <c r="I35" s="425">
        <f>I33+I26+I18+I10</f>
        <v>0</v>
      </c>
      <c r="J35" s="387"/>
      <c r="K35" s="425">
        <f>K33+K26+K18+K10</f>
        <v>0</v>
      </c>
      <c r="L35" s="387"/>
      <c r="M35" s="425">
        <f>M33+M26+M18+M10</f>
        <v>0</v>
      </c>
      <c r="N35" s="387"/>
      <c r="O35" s="425">
        <f>O33+O26+O18+O10</f>
        <v>0</v>
      </c>
      <c r="P35" s="387"/>
      <c r="Q35" s="425">
        <f>Q33+Q26+Q18+Q10</f>
        <v>0</v>
      </c>
    </row>
    <row r="36" spans="1:17" ht="15" customHeight="1">
      <c r="D36" s="411"/>
      <c r="E36" s="412"/>
    </row>
    <row r="37" spans="1:17" ht="26.25" customHeight="1">
      <c r="A37" s="427" t="s">
        <v>78</v>
      </c>
      <c r="B37" s="428"/>
      <c r="C37" s="403" t="s">
        <v>91</v>
      </c>
      <c r="D37" s="403" t="s">
        <v>1295</v>
      </c>
      <c r="E37" s="403" t="s">
        <v>1296</v>
      </c>
      <c r="H37" s="403" t="s">
        <v>1577</v>
      </c>
      <c r="I37" s="429" t="e">
        <f>(I35/E35)-100%</f>
        <v>#DIV/0!</v>
      </c>
      <c r="J37" s="403"/>
      <c r="K37" s="429" t="e">
        <f>(K35/I35)-100%</f>
        <v>#DIV/0!</v>
      </c>
      <c r="L37" s="403"/>
      <c r="M37" s="429" t="e">
        <f>(M35/K35)-100%</f>
        <v>#DIV/0!</v>
      </c>
      <c r="N37" s="403"/>
      <c r="O37" s="429" t="e">
        <f>(O35/M35)-100%</f>
        <v>#DIV/0!</v>
      </c>
      <c r="P37" s="403"/>
      <c r="Q37" s="429" t="e">
        <f>(Q35/O35)-100%</f>
        <v>#DIV/0!</v>
      </c>
    </row>
    <row r="38" spans="1:17" ht="15" customHeight="1">
      <c r="A38" s="387" t="s">
        <v>80</v>
      </c>
      <c r="B38" s="387" t="s">
        <v>86</v>
      </c>
      <c r="C38" s="430">
        <v>0</v>
      </c>
      <c r="D38" s="386">
        <f>+E35</f>
        <v>0</v>
      </c>
      <c r="E38" s="431">
        <f>D38*121%</f>
        <v>0</v>
      </c>
      <c r="F38" s="426"/>
      <c r="H38" s="387"/>
      <c r="I38" s="386" t="e">
        <f>(D38*$I$37)+D38</f>
        <v>#DIV/0!</v>
      </c>
      <c r="J38" s="387"/>
      <c r="K38" s="386" t="e">
        <f>(I38*$K$37)+I38</f>
        <v>#DIV/0!</v>
      </c>
      <c r="L38" s="387"/>
      <c r="M38" s="386" t="e">
        <f>(K38*$M$37)+K38</f>
        <v>#DIV/0!</v>
      </c>
      <c r="N38" s="387"/>
      <c r="O38" s="386" t="e">
        <f>(M38*$O$37)+M38</f>
        <v>#DIV/0!</v>
      </c>
      <c r="P38" s="387"/>
      <c r="Q38" s="386" t="e">
        <f>(O38*$Q$37)+O38</f>
        <v>#DIV/0!</v>
      </c>
    </row>
    <row r="39" spans="1:17" ht="15" customHeight="1">
      <c r="A39" s="387" t="s">
        <v>85</v>
      </c>
      <c r="B39" s="387" t="s">
        <v>87</v>
      </c>
      <c r="C39" s="430">
        <v>0.3</v>
      </c>
      <c r="D39" s="386">
        <f>SUM($E$10,$E$18,$E$26,$E$33)+(C39*($E$18+$E$10))</f>
        <v>0</v>
      </c>
      <c r="E39" s="431">
        <f>D39*121%</f>
        <v>0</v>
      </c>
      <c r="F39" s="426"/>
      <c r="H39" s="386"/>
      <c r="I39" s="386" t="e">
        <f t="shared" ref="I39:I41" si="0">(D39*$I$37)+D39</f>
        <v>#DIV/0!</v>
      </c>
      <c r="J39" s="387"/>
      <c r="K39" s="386" t="e">
        <f>(I39*$K$37)+I39</f>
        <v>#DIV/0!</v>
      </c>
      <c r="L39" s="387"/>
      <c r="M39" s="386" t="e">
        <f t="shared" ref="M39:M41" si="1">(K39*$M$37)+K39</f>
        <v>#DIV/0!</v>
      </c>
      <c r="N39" s="387"/>
      <c r="O39" s="386" t="e">
        <f t="shared" ref="O39:O41" si="2">(M39*$O$37)+M39</f>
        <v>#DIV/0!</v>
      </c>
      <c r="P39" s="387"/>
      <c r="Q39" s="386" t="e">
        <f t="shared" ref="Q39:Q41" si="3">(O39*$Q$37)+O39</f>
        <v>#DIV/0!</v>
      </c>
    </row>
    <row r="40" spans="1:17" ht="15" customHeight="1">
      <c r="A40" s="387" t="s">
        <v>24</v>
      </c>
      <c r="B40" s="387" t="s">
        <v>88</v>
      </c>
      <c r="C40" s="430">
        <v>0.5</v>
      </c>
      <c r="D40" s="386">
        <f>SUM($E$10,$E$18,$E$26,$E$33)+(C40*($E$18+$E$10))</f>
        <v>0</v>
      </c>
      <c r="E40" s="431">
        <f>D40*121%</f>
        <v>0</v>
      </c>
      <c r="F40" s="426"/>
      <c r="H40" s="387"/>
      <c r="I40" s="386" t="e">
        <f t="shared" si="0"/>
        <v>#DIV/0!</v>
      </c>
      <c r="J40" s="387"/>
      <c r="K40" s="386" t="e">
        <f>(I40*$K$37)+I40</f>
        <v>#DIV/0!</v>
      </c>
      <c r="L40" s="387"/>
      <c r="M40" s="386" t="e">
        <f t="shared" si="1"/>
        <v>#DIV/0!</v>
      </c>
      <c r="N40" s="387"/>
      <c r="O40" s="386" t="e">
        <f t="shared" si="2"/>
        <v>#DIV/0!</v>
      </c>
      <c r="P40" s="387"/>
      <c r="Q40" s="386" t="e">
        <f t="shared" si="3"/>
        <v>#DIV/0!</v>
      </c>
    </row>
    <row r="41" spans="1:17" ht="15" customHeight="1">
      <c r="A41" s="387" t="s">
        <v>89</v>
      </c>
      <c r="B41" s="432" t="s">
        <v>90</v>
      </c>
      <c r="C41" s="430">
        <v>1.5</v>
      </c>
      <c r="D41" s="386">
        <f>SUM($E$10,$E$18,$E$26,$E$33)+(C41*($E$18+$E$10))</f>
        <v>0</v>
      </c>
      <c r="E41" s="431">
        <f>D41*121%</f>
        <v>0</v>
      </c>
      <c r="F41" s="426"/>
      <c r="H41" s="387"/>
      <c r="I41" s="386" t="e">
        <f t="shared" si="0"/>
        <v>#DIV/0!</v>
      </c>
      <c r="J41" s="387"/>
      <c r="K41" s="386" t="e">
        <f>(I41*$K$37)+I41</f>
        <v>#DIV/0!</v>
      </c>
      <c r="L41" s="387"/>
      <c r="M41" s="386" t="e">
        <f t="shared" si="1"/>
        <v>#DIV/0!</v>
      </c>
      <c r="N41" s="387"/>
      <c r="O41" s="386" t="e">
        <f t="shared" si="2"/>
        <v>#DIV/0!</v>
      </c>
      <c r="P41" s="387"/>
      <c r="Q41" s="386" t="e">
        <f t="shared" si="3"/>
        <v>#DIV/0!</v>
      </c>
    </row>
    <row r="42" spans="1:17" ht="15" customHeight="1">
      <c r="E42" s="375"/>
    </row>
    <row r="43" spans="1:17" ht="15" customHeight="1">
      <c r="E43" s="375"/>
    </row>
    <row r="44" spans="1:17" ht="15" customHeight="1">
      <c r="E44" s="375"/>
    </row>
    <row r="45" spans="1:17" ht="15" customHeight="1">
      <c r="E45" s="375"/>
    </row>
    <row r="46" spans="1:17" ht="15" customHeight="1">
      <c r="E46" s="375"/>
    </row>
    <row r="47" spans="1:17" ht="15" customHeight="1">
      <c r="E47" s="375"/>
    </row>
    <row r="48" spans="1:17" ht="15" customHeight="1">
      <c r="E48" s="375"/>
    </row>
    <row r="49" s="375" customFormat="1" ht="15" customHeight="1"/>
    <row r="50" s="375" customFormat="1" ht="15" customHeight="1"/>
    <row r="51" s="375" customFormat="1" ht="15" customHeight="1"/>
    <row r="52" s="375" customFormat="1" ht="15" customHeight="1"/>
    <row r="53" s="375" customFormat="1" ht="15" customHeight="1"/>
    <row r="54" s="375" customFormat="1" ht="15" customHeight="1"/>
    <row r="55" s="375" customFormat="1" ht="15" customHeight="1"/>
    <row r="56" s="375" customFormat="1" ht="15" customHeight="1"/>
  </sheetData>
  <sheetProtection algorithmName="SHA-512" hashValue="5MFggXb6HOmxrubNpH5jCGmSONxFviVvxZZqrU8l5Y4elj8jwMXK1INXayxe/VXdZYz3MmRp+0++Dn2wdjrZQg==" saltValue="7XlHlVnwifbNdYlgFlXxcQ==" spinCount="100000" sheet="1" objects="1" scenarios="1" sort="0" autoFilter="0"/>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138"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3"/>
  <sheetViews>
    <sheetView tabSelected="1" view="pageBreakPreview" zoomScaleNormal="100" zoomScaleSheetLayoutView="100" workbookViewId="0">
      <selection activeCell="D25" sqref="D25"/>
    </sheetView>
  </sheetViews>
  <sheetFormatPr defaultColWidth="14.140625" defaultRowHeight="15" customHeight="1"/>
  <cols>
    <col min="1" max="1" width="14.140625" style="84"/>
    <col min="2" max="2" width="44.85546875" style="81" customWidth="1"/>
    <col min="3" max="3" width="14.140625" style="81"/>
    <col min="4" max="4" width="32.5703125" style="85" customWidth="1"/>
    <col min="5" max="5" width="16.28515625" style="81" customWidth="1"/>
    <col min="6" max="6" width="17.85546875" style="81" customWidth="1"/>
    <col min="7" max="7" width="16" style="86" bestFit="1" customWidth="1"/>
    <col min="8" max="8" width="16" style="81" bestFit="1" customWidth="1"/>
    <col min="9" max="9" width="14.140625" style="81"/>
    <col min="10" max="10" width="16" style="84" bestFit="1" customWidth="1"/>
    <col min="11" max="15" width="14.140625" style="87"/>
    <col min="16" max="16384" width="14.140625" style="81"/>
  </cols>
  <sheetData>
    <row r="1" spans="1:16" s="25" customFormat="1" ht="26.25" customHeight="1">
      <c r="A1" s="336" t="s">
        <v>110</v>
      </c>
      <c r="B1" s="336"/>
      <c r="C1" s="336"/>
      <c r="D1" s="336"/>
      <c r="E1" s="336"/>
      <c r="F1" s="336"/>
      <c r="G1" s="33"/>
      <c r="H1" s="33"/>
      <c r="I1" s="33"/>
      <c r="J1" s="33"/>
      <c r="K1" s="33"/>
      <c r="L1" s="33"/>
      <c r="M1" s="33"/>
    </row>
    <row r="2" spans="1:16" s="25" customFormat="1" ht="15" customHeight="1">
      <c r="A2" s="334" t="s">
        <v>1588</v>
      </c>
      <c r="B2" s="335"/>
      <c r="C2" s="335"/>
      <c r="D2" s="335"/>
      <c r="E2" s="335"/>
      <c r="F2" s="335"/>
      <c r="G2" s="34"/>
      <c r="H2" s="34"/>
      <c r="I2" s="34"/>
      <c r="J2" s="34"/>
      <c r="K2" s="34"/>
      <c r="L2" s="34"/>
      <c r="M2" s="34"/>
      <c r="N2" s="34"/>
    </row>
    <row r="3" spans="1:16" s="37" customFormat="1" ht="26.25" customHeight="1">
      <c r="A3" s="35" t="s">
        <v>216</v>
      </c>
      <c r="B3" s="35"/>
      <c r="C3" s="35"/>
      <c r="D3" s="35"/>
      <c r="E3" s="36"/>
      <c r="F3" s="36"/>
      <c r="H3" s="38"/>
      <c r="I3" s="38"/>
      <c r="K3" s="39"/>
      <c r="L3" s="40"/>
      <c r="M3" s="40"/>
      <c r="N3" s="40"/>
      <c r="O3" s="40"/>
      <c r="P3" s="40"/>
    </row>
    <row r="4" spans="1:16" s="37" customFormat="1" ht="26.25" customHeight="1" thickBot="1">
      <c r="A4" s="293" t="s">
        <v>33</v>
      </c>
      <c r="B4" s="294" t="s">
        <v>135</v>
      </c>
      <c r="C4" s="295" t="s">
        <v>98</v>
      </c>
      <c r="D4" s="296" t="s">
        <v>1283</v>
      </c>
      <c r="E4" s="297" t="s">
        <v>1284</v>
      </c>
      <c r="F4" s="298" t="s">
        <v>1286</v>
      </c>
      <c r="G4" s="38"/>
      <c r="H4" s="38"/>
      <c r="J4" s="39"/>
      <c r="K4" s="40"/>
      <c r="L4" s="40"/>
      <c r="M4" s="40"/>
      <c r="N4" s="40"/>
      <c r="O4" s="40"/>
    </row>
    <row r="5" spans="1:16" s="37" customFormat="1" ht="15" customHeight="1" thickTop="1">
      <c r="A5" s="41">
        <v>1</v>
      </c>
      <c r="B5" s="42" t="s">
        <v>1620</v>
      </c>
      <c r="C5" s="440">
        <v>1</v>
      </c>
      <c r="D5" s="43" t="s">
        <v>1627</v>
      </c>
      <c r="E5" s="44" t="s">
        <v>1637</v>
      </c>
      <c r="F5" s="28" t="s">
        <v>1634</v>
      </c>
      <c r="G5" s="38"/>
      <c r="H5" s="38"/>
      <c r="J5" s="39"/>
      <c r="K5" s="40"/>
      <c r="L5" s="40"/>
      <c r="M5" s="40"/>
      <c r="N5" s="40"/>
      <c r="O5" s="40"/>
    </row>
    <row r="6" spans="1:16" s="37" customFormat="1" ht="15" customHeight="1">
      <c r="A6" s="41">
        <v>2</v>
      </c>
      <c r="B6" s="45" t="s">
        <v>1621</v>
      </c>
      <c r="C6" s="440">
        <v>1</v>
      </c>
      <c r="D6" s="43" t="s">
        <v>1628</v>
      </c>
      <c r="E6" s="44" t="s">
        <v>1638</v>
      </c>
      <c r="F6" s="46" t="s">
        <v>1635</v>
      </c>
      <c r="G6" s="38"/>
      <c r="H6" s="38"/>
      <c r="J6" s="39"/>
      <c r="K6" s="40"/>
      <c r="L6" s="40"/>
      <c r="M6" s="40"/>
      <c r="N6" s="40"/>
      <c r="O6" s="40"/>
    </row>
    <row r="7" spans="1:16" s="37" customFormat="1" ht="15" customHeight="1">
      <c r="A7" s="41">
        <v>3</v>
      </c>
      <c r="B7" s="45" t="s">
        <v>1622</v>
      </c>
      <c r="C7" s="440">
        <v>1</v>
      </c>
      <c r="D7" s="43" t="s">
        <v>1629</v>
      </c>
      <c r="E7" s="44" t="s">
        <v>1639</v>
      </c>
      <c r="F7" s="46" t="s">
        <v>1635</v>
      </c>
      <c r="G7" s="38"/>
      <c r="H7" s="38"/>
      <c r="J7" s="39"/>
      <c r="K7" s="40"/>
      <c r="L7" s="40"/>
      <c r="M7" s="40"/>
      <c r="N7" s="40"/>
      <c r="O7" s="40"/>
    </row>
    <row r="8" spans="1:16" s="37" customFormat="1" ht="15" customHeight="1">
      <c r="A8" s="41">
        <v>4</v>
      </c>
      <c r="B8" s="45" t="s">
        <v>1623</v>
      </c>
      <c r="C8" s="440">
        <v>1</v>
      </c>
      <c r="D8" s="43" t="s">
        <v>1630</v>
      </c>
      <c r="E8" s="44" t="s">
        <v>1640</v>
      </c>
      <c r="F8" s="46" t="s">
        <v>1635</v>
      </c>
      <c r="G8" s="38"/>
      <c r="H8" s="38"/>
      <c r="J8" s="39"/>
      <c r="K8" s="40"/>
      <c r="L8" s="40"/>
      <c r="M8" s="40"/>
      <c r="N8" s="40"/>
      <c r="O8" s="40"/>
    </row>
    <row r="9" spans="1:16" s="37" customFormat="1" ht="15" customHeight="1">
      <c r="A9" s="41">
        <v>5</v>
      </c>
      <c r="B9" s="45" t="s">
        <v>1624</v>
      </c>
      <c r="C9" s="440">
        <v>1</v>
      </c>
      <c r="D9" s="43" t="s">
        <v>1631</v>
      </c>
      <c r="E9" s="44" t="s">
        <v>1641</v>
      </c>
      <c r="F9" s="46" t="s">
        <v>1634</v>
      </c>
      <c r="G9" s="38"/>
      <c r="H9" s="38"/>
      <c r="J9" s="39"/>
      <c r="K9" s="40"/>
      <c r="L9" s="40"/>
      <c r="M9" s="40"/>
      <c r="N9" s="40"/>
      <c r="O9" s="40"/>
    </row>
    <row r="10" spans="1:16" s="37" customFormat="1" ht="15" customHeight="1">
      <c r="A10" s="49">
        <v>6</v>
      </c>
      <c r="B10" s="269" t="s">
        <v>1625</v>
      </c>
      <c r="C10" s="440">
        <v>1</v>
      </c>
      <c r="D10" s="270" t="s">
        <v>1632</v>
      </c>
      <c r="E10" s="44" t="s">
        <v>1642</v>
      </c>
      <c r="F10" s="46" t="s">
        <v>1636</v>
      </c>
      <c r="G10" s="38"/>
      <c r="H10" s="38"/>
      <c r="J10" s="39"/>
      <c r="K10" s="40"/>
      <c r="L10" s="40"/>
      <c r="M10" s="40"/>
      <c r="N10" s="40"/>
      <c r="O10" s="40"/>
    </row>
    <row r="11" spans="1:16" s="37" customFormat="1" ht="15" customHeight="1">
      <c r="A11" s="49">
        <v>7</v>
      </c>
      <c r="B11" s="269" t="s">
        <v>1626</v>
      </c>
      <c r="C11" s="440">
        <v>1</v>
      </c>
      <c r="D11" s="270" t="s">
        <v>1633</v>
      </c>
      <c r="E11" s="44" t="s">
        <v>1643</v>
      </c>
      <c r="F11" s="46" t="s">
        <v>1634</v>
      </c>
      <c r="G11" s="38"/>
      <c r="H11" s="38"/>
      <c r="J11" s="39"/>
      <c r="K11" s="40"/>
      <c r="L11" s="40"/>
      <c r="M11" s="40"/>
      <c r="N11" s="40"/>
      <c r="O11" s="40"/>
    </row>
    <row r="12" spans="1:16" s="37" customFormat="1" ht="15" customHeight="1">
      <c r="A12" s="31"/>
      <c r="B12" s="28"/>
      <c r="C12" s="28"/>
      <c r="D12" s="28"/>
      <c r="E12" s="28"/>
      <c r="F12" s="28"/>
      <c r="H12" s="38"/>
      <c r="I12" s="38"/>
      <c r="K12" s="39"/>
      <c r="L12" s="40"/>
      <c r="M12" s="40"/>
      <c r="N12" s="40"/>
      <c r="O12" s="40"/>
      <c r="P12" s="40"/>
    </row>
    <row r="13" spans="1:16" s="37" customFormat="1" ht="15" customHeight="1">
      <c r="A13" s="47" t="s">
        <v>217</v>
      </c>
      <c r="B13" s="36"/>
      <c r="C13" s="36"/>
      <c r="D13" s="36"/>
      <c r="E13" s="48"/>
      <c r="F13" s="48"/>
      <c r="H13" s="38"/>
      <c r="I13" s="38"/>
      <c r="K13" s="39"/>
      <c r="L13" s="40"/>
      <c r="M13" s="40"/>
      <c r="N13" s="40"/>
      <c r="O13" s="40"/>
      <c r="P13" s="40"/>
    </row>
    <row r="14" spans="1:16" s="37" customFormat="1" ht="15" customHeight="1">
      <c r="A14" s="299" t="s">
        <v>33</v>
      </c>
      <c r="B14" s="300" t="s">
        <v>96</v>
      </c>
      <c r="C14" s="301" t="s">
        <v>95</v>
      </c>
      <c r="D14" s="299" t="s">
        <v>195</v>
      </c>
      <c r="E14" s="48"/>
      <c r="H14" s="38"/>
      <c r="J14" s="39"/>
      <c r="K14" s="40"/>
      <c r="L14" s="40"/>
      <c r="M14" s="40"/>
      <c r="N14" s="40"/>
      <c r="O14" s="40"/>
    </row>
    <row r="15" spans="1:16" s="37" customFormat="1" ht="15" customHeight="1">
      <c r="A15" s="49">
        <v>1</v>
      </c>
      <c r="B15" s="25" t="s">
        <v>57</v>
      </c>
      <c r="C15" s="441"/>
      <c r="D15" s="50" t="s">
        <v>1278</v>
      </c>
      <c r="E15" s="51"/>
      <c r="F15" s="52"/>
      <c r="G15" s="52"/>
      <c r="H15" s="38"/>
      <c r="I15" s="52"/>
      <c r="J15" s="39"/>
      <c r="K15" s="40"/>
      <c r="L15" s="40"/>
      <c r="M15" s="40"/>
      <c r="N15" s="40"/>
      <c r="O15" s="40"/>
    </row>
    <row r="16" spans="1:16" s="37" customFormat="1" ht="15" customHeight="1">
      <c r="A16" s="49">
        <v>2</v>
      </c>
      <c r="B16" s="25" t="s">
        <v>58</v>
      </c>
      <c r="C16" s="441"/>
      <c r="D16" s="50" t="s">
        <v>1279</v>
      </c>
      <c r="E16" s="53"/>
      <c r="F16" s="52"/>
      <c r="G16" s="52"/>
      <c r="H16" s="38"/>
      <c r="J16" s="39"/>
      <c r="K16" s="40"/>
      <c r="L16" s="40"/>
      <c r="M16" s="40"/>
      <c r="N16" s="40"/>
      <c r="O16" s="40"/>
    </row>
    <row r="17" spans="1:18" s="37" customFormat="1" ht="12">
      <c r="A17" s="49">
        <v>3</v>
      </c>
      <c r="B17" s="25" t="s">
        <v>59</v>
      </c>
      <c r="C17" s="441"/>
      <c r="D17" s="50" t="s">
        <v>1278</v>
      </c>
      <c r="E17" s="54"/>
      <c r="H17" s="38"/>
      <c r="J17" s="39"/>
      <c r="K17" s="40"/>
      <c r="L17" s="40"/>
      <c r="M17" s="40"/>
      <c r="N17" s="40"/>
      <c r="O17" s="40"/>
    </row>
    <row r="18" spans="1:18" s="37" customFormat="1" ht="14.25" customHeight="1">
      <c r="A18" s="49">
        <v>4</v>
      </c>
      <c r="B18" s="25" t="s">
        <v>243</v>
      </c>
      <c r="C18" s="441"/>
      <c r="D18" s="50" t="s">
        <v>1279</v>
      </c>
      <c r="E18" s="53"/>
      <c r="H18" s="38"/>
      <c r="J18" s="39"/>
      <c r="K18" s="40"/>
      <c r="L18" s="40"/>
      <c r="M18" s="40"/>
      <c r="N18" s="40"/>
      <c r="O18" s="40"/>
    </row>
    <row r="19" spans="1:18" s="37" customFormat="1" ht="15" customHeight="1">
      <c r="A19" s="49">
        <v>5</v>
      </c>
      <c r="B19" s="25" t="s">
        <v>22</v>
      </c>
      <c r="C19" s="441"/>
      <c r="D19" s="50" t="s">
        <v>1280</v>
      </c>
      <c r="E19" s="53"/>
      <c r="F19" s="52"/>
      <c r="G19" s="52"/>
      <c r="H19" s="38"/>
      <c r="I19" s="52"/>
      <c r="J19" s="39"/>
      <c r="K19" s="55"/>
      <c r="L19" s="55"/>
      <c r="M19" s="55"/>
      <c r="N19" s="40"/>
      <c r="O19" s="40"/>
      <c r="P19" s="56"/>
      <c r="Q19" s="56"/>
      <c r="R19" s="56"/>
    </row>
    <row r="20" spans="1:18" s="36" customFormat="1" ht="15" customHeight="1">
      <c r="A20" s="49">
        <v>6</v>
      </c>
      <c r="B20" s="25" t="s">
        <v>60</v>
      </c>
      <c r="C20" s="441"/>
      <c r="D20" s="50" t="s">
        <v>1278</v>
      </c>
      <c r="E20" s="53"/>
      <c r="H20" s="38"/>
      <c r="I20" s="57"/>
      <c r="N20" s="58"/>
      <c r="O20" s="58"/>
      <c r="P20" s="59"/>
      <c r="Q20" s="60"/>
      <c r="R20" s="60"/>
    </row>
    <row r="21" spans="1:18" s="66" customFormat="1" ht="15" customHeight="1">
      <c r="A21" s="49">
        <v>7</v>
      </c>
      <c r="B21" s="25" t="s">
        <v>38</v>
      </c>
      <c r="C21" s="441"/>
      <c r="D21" s="50" t="s">
        <v>1278</v>
      </c>
      <c r="E21" s="53"/>
      <c r="F21" s="61"/>
      <c r="G21" s="61"/>
      <c r="H21" s="38"/>
      <c r="I21" s="62"/>
      <c r="J21" s="61"/>
      <c r="K21" s="61"/>
      <c r="L21" s="61"/>
      <c r="M21" s="61"/>
      <c r="N21" s="63"/>
      <c r="O21" s="63"/>
      <c r="P21" s="64"/>
      <c r="Q21" s="64"/>
      <c r="R21" s="65"/>
    </row>
    <row r="22" spans="1:18" s="66" customFormat="1" ht="15" customHeight="1">
      <c r="A22" s="49">
        <v>8</v>
      </c>
      <c r="B22" s="25" t="s">
        <v>1282</v>
      </c>
      <c r="C22" s="441"/>
      <c r="D22" s="50" t="s">
        <v>1277</v>
      </c>
      <c r="E22" s="53"/>
      <c r="F22" s="61"/>
      <c r="G22" s="61"/>
      <c r="H22" s="38"/>
      <c r="I22" s="62"/>
      <c r="J22" s="61"/>
      <c r="K22" s="61"/>
      <c r="L22" s="61"/>
      <c r="M22" s="61"/>
      <c r="N22" s="63"/>
      <c r="O22" s="63"/>
      <c r="P22" s="64"/>
      <c r="Q22" s="64"/>
      <c r="R22" s="65"/>
    </row>
    <row r="23" spans="1:18" s="66" customFormat="1" ht="15" customHeight="1">
      <c r="A23" s="49">
        <v>9</v>
      </c>
      <c r="B23" s="25" t="s">
        <v>1269</v>
      </c>
      <c r="C23" s="441"/>
      <c r="D23" s="50" t="s">
        <v>1277</v>
      </c>
      <c r="E23" s="53"/>
      <c r="F23" s="67"/>
      <c r="G23" s="67"/>
      <c r="H23" s="38"/>
      <c r="I23" s="68"/>
      <c r="J23" s="61"/>
      <c r="K23" s="55"/>
      <c r="L23" s="55"/>
      <c r="M23" s="67"/>
      <c r="N23" s="63"/>
      <c r="O23" s="63"/>
      <c r="P23" s="64"/>
      <c r="Q23" s="64"/>
      <c r="R23" s="65"/>
    </row>
    <row r="24" spans="1:18" s="66" customFormat="1" ht="15" customHeight="1">
      <c r="A24" s="49">
        <v>10</v>
      </c>
      <c r="B24" s="25" t="s">
        <v>61</v>
      </c>
      <c r="C24" s="441"/>
      <c r="D24" s="50" t="s">
        <v>1278</v>
      </c>
      <c r="E24" s="53"/>
      <c r="F24" s="61"/>
      <c r="G24" s="61"/>
      <c r="H24" s="61"/>
      <c r="I24" s="62"/>
      <c r="J24" s="61"/>
      <c r="K24" s="61"/>
      <c r="L24" s="61"/>
      <c r="M24" s="61"/>
      <c r="N24" s="63"/>
      <c r="O24" s="63"/>
      <c r="P24" s="64"/>
      <c r="Q24" s="64"/>
      <c r="R24" s="65"/>
    </row>
    <row r="25" spans="1:18" s="66" customFormat="1" ht="15" customHeight="1">
      <c r="A25" s="49">
        <v>11</v>
      </c>
      <c r="B25" s="25" t="s">
        <v>1270</v>
      </c>
      <c r="C25" s="441"/>
      <c r="D25" s="50" t="s">
        <v>1278</v>
      </c>
      <c r="E25" s="53"/>
      <c r="F25" s="67"/>
      <c r="G25" s="61"/>
      <c r="H25" s="61"/>
      <c r="I25" s="68"/>
      <c r="J25" s="61"/>
      <c r="K25" s="61"/>
      <c r="L25" s="67"/>
      <c r="M25" s="61"/>
      <c r="N25" s="63"/>
      <c r="O25" s="63"/>
      <c r="P25" s="64"/>
      <c r="Q25" s="64"/>
      <c r="R25" s="65"/>
    </row>
    <row r="26" spans="1:18" s="66" customFormat="1" ht="15" customHeight="1">
      <c r="A26" s="49">
        <v>12</v>
      </c>
      <c r="B26" s="25" t="s">
        <v>1271</v>
      </c>
      <c r="C26" s="441"/>
      <c r="D26" s="50" t="s">
        <v>1278</v>
      </c>
      <c r="E26" s="53"/>
      <c r="F26" s="61"/>
      <c r="G26" s="61"/>
      <c r="H26" s="61"/>
      <c r="I26" s="62"/>
      <c r="J26" s="61"/>
      <c r="K26" s="61"/>
      <c r="L26" s="61"/>
      <c r="M26" s="61"/>
      <c r="N26" s="63"/>
      <c r="O26" s="63"/>
      <c r="P26" s="64"/>
      <c r="Q26" s="64"/>
      <c r="R26" s="65"/>
    </row>
    <row r="27" spans="1:18" s="66" customFormat="1" ht="15" customHeight="1">
      <c r="A27" s="49">
        <v>13</v>
      </c>
      <c r="B27" s="25" t="s">
        <v>1586</v>
      </c>
      <c r="C27" s="441"/>
      <c r="D27" s="50" t="s">
        <v>1278</v>
      </c>
      <c r="E27" s="53"/>
      <c r="F27" s="61"/>
      <c r="G27" s="61"/>
      <c r="H27" s="61"/>
      <c r="I27" s="62"/>
      <c r="J27" s="61"/>
      <c r="K27" s="67"/>
      <c r="L27" s="61"/>
      <c r="M27" s="67"/>
      <c r="N27" s="63"/>
      <c r="O27" s="63"/>
      <c r="P27" s="64"/>
      <c r="Q27" s="64"/>
      <c r="R27" s="65"/>
    </row>
    <row r="28" spans="1:18" s="66" customFormat="1" ht="15" customHeight="1">
      <c r="A28" s="49">
        <v>14</v>
      </c>
      <c r="B28" s="25" t="s">
        <v>1272</v>
      </c>
      <c r="C28" s="441"/>
      <c r="D28" s="50" t="s">
        <v>1277</v>
      </c>
      <c r="E28" s="53"/>
      <c r="F28" s="61"/>
      <c r="G28" s="61"/>
      <c r="H28" s="61"/>
      <c r="I28" s="62"/>
      <c r="J28" s="61"/>
      <c r="K28" s="61"/>
      <c r="L28" s="61"/>
      <c r="M28" s="61"/>
      <c r="N28" s="63"/>
      <c r="O28" s="63"/>
      <c r="P28" s="63"/>
      <c r="Q28" s="63"/>
    </row>
    <row r="29" spans="1:18" s="28" customFormat="1" ht="15" customHeight="1">
      <c r="A29" s="49">
        <v>15</v>
      </c>
      <c r="B29" s="25" t="s">
        <v>62</v>
      </c>
      <c r="C29" s="441"/>
      <c r="D29" s="50" t="s">
        <v>1278</v>
      </c>
      <c r="E29" s="53"/>
      <c r="F29" s="36"/>
      <c r="G29" s="36"/>
      <c r="H29" s="36"/>
      <c r="I29" s="57"/>
      <c r="J29" s="36"/>
      <c r="K29" s="36"/>
      <c r="L29" s="36"/>
      <c r="M29" s="36"/>
      <c r="N29" s="58"/>
      <c r="O29" s="58"/>
      <c r="P29" s="58"/>
      <c r="Q29" s="58"/>
    </row>
    <row r="30" spans="1:18" s="28" customFormat="1" ht="15" customHeight="1">
      <c r="A30" s="49">
        <v>16</v>
      </c>
      <c r="B30" s="25" t="s">
        <v>1273</v>
      </c>
      <c r="C30" s="441"/>
      <c r="D30" s="50" t="s">
        <v>1277</v>
      </c>
      <c r="E30" s="53"/>
      <c r="F30" s="36"/>
      <c r="G30" s="36"/>
      <c r="H30" s="36"/>
      <c r="I30" s="57"/>
      <c r="J30" s="36"/>
      <c r="K30" s="36"/>
      <c r="L30" s="36"/>
      <c r="M30" s="36"/>
      <c r="N30" s="58"/>
      <c r="O30" s="58"/>
      <c r="P30" s="58"/>
      <c r="Q30" s="58"/>
    </row>
    <row r="31" spans="1:18" s="28" customFormat="1" ht="15" customHeight="1">
      <c r="A31" s="49">
        <v>17</v>
      </c>
      <c r="B31" s="25" t="s">
        <v>1274</v>
      </c>
      <c r="C31" s="441"/>
      <c r="D31" s="50" t="s">
        <v>1278</v>
      </c>
      <c r="E31" s="53"/>
      <c r="F31" s="36"/>
      <c r="G31" s="36"/>
      <c r="H31" s="36"/>
      <c r="I31" s="57"/>
      <c r="J31" s="36"/>
      <c r="K31" s="36"/>
      <c r="L31" s="36"/>
      <c r="M31" s="36"/>
      <c r="N31" s="58"/>
      <c r="O31" s="58"/>
      <c r="P31" s="58"/>
      <c r="Q31" s="58"/>
    </row>
    <row r="32" spans="1:18" s="28" customFormat="1" ht="15" customHeight="1">
      <c r="A32" s="49">
        <v>18</v>
      </c>
      <c r="B32" s="25" t="s">
        <v>1275</v>
      </c>
      <c r="C32" s="441"/>
      <c r="D32" s="50" t="s">
        <v>1281</v>
      </c>
      <c r="E32" s="53"/>
      <c r="F32" s="36"/>
      <c r="G32" s="36"/>
      <c r="H32" s="36"/>
      <c r="I32" s="57"/>
      <c r="J32" s="36"/>
      <c r="K32" s="36"/>
      <c r="L32" s="36"/>
      <c r="M32" s="36"/>
      <c r="N32" s="58"/>
      <c r="O32" s="58"/>
      <c r="P32" s="58"/>
      <c r="Q32" s="58"/>
    </row>
    <row r="33" spans="1:20" s="28" customFormat="1" ht="15" customHeight="1">
      <c r="A33" s="49">
        <v>19</v>
      </c>
      <c r="B33" s="25" t="s">
        <v>1644</v>
      </c>
      <c r="C33" s="441"/>
      <c r="D33" s="50" t="s">
        <v>1278</v>
      </c>
      <c r="E33" s="53"/>
      <c r="F33" s="69"/>
      <c r="G33" s="36"/>
      <c r="H33" s="36"/>
      <c r="I33" s="57"/>
      <c r="J33" s="36"/>
      <c r="K33" s="70"/>
      <c r="L33" s="36"/>
      <c r="M33" s="36"/>
      <c r="N33" s="58"/>
      <c r="O33" s="58"/>
      <c r="P33" s="58"/>
      <c r="Q33" s="58"/>
    </row>
    <row r="34" spans="1:20" s="28" customFormat="1" ht="15" customHeight="1">
      <c r="A34" s="49">
        <v>20</v>
      </c>
      <c r="B34" s="25" t="s">
        <v>1276</v>
      </c>
      <c r="C34" s="441"/>
      <c r="D34" s="50"/>
      <c r="E34" s="53"/>
      <c r="F34" s="36"/>
      <c r="G34" s="36"/>
      <c r="H34" s="36"/>
      <c r="I34" s="57"/>
      <c r="J34" s="36"/>
      <c r="K34" s="36"/>
      <c r="L34" s="36"/>
      <c r="M34" s="36"/>
      <c r="N34" s="58"/>
      <c r="O34" s="58"/>
      <c r="P34" s="58"/>
      <c r="Q34" s="58"/>
    </row>
    <row r="35" spans="1:20" s="28" customFormat="1" ht="15" customHeight="1">
      <c r="A35" s="36"/>
      <c r="B35" s="36"/>
      <c r="C35" s="36"/>
      <c r="D35" s="36"/>
      <c r="E35" s="71"/>
      <c r="F35" s="36"/>
      <c r="G35" s="36"/>
      <c r="H35" s="71"/>
      <c r="I35" s="36"/>
      <c r="J35" s="36"/>
      <c r="K35" s="36"/>
      <c r="L35" s="58"/>
      <c r="M35" s="58"/>
      <c r="N35" s="58"/>
      <c r="O35" s="58"/>
      <c r="P35" s="58"/>
      <c r="Q35" s="36"/>
      <c r="R35" s="36"/>
    </row>
    <row r="36" spans="1:20" s="28" customFormat="1" ht="15" customHeight="1">
      <c r="A36" s="35" t="s">
        <v>218</v>
      </c>
      <c r="B36" s="35"/>
      <c r="C36" s="36"/>
      <c r="D36" s="36"/>
      <c r="E36" s="71"/>
      <c r="F36" s="36"/>
      <c r="G36" s="36"/>
      <c r="H36" s="36"/>
      <c r="I36" s="36"/>
      <c r="J36" s="36"/>
      <c r="K36" s="36"/>
      <c r="L36" s="58"/>
      <c r="M36" s="58"/>
      <c r="N36" s="58"/>
      <c r="O36" s="58"/>
      <c r="P36" s="58"/>
      <c r="Q36" s="36"/>
      <c r="R36" s="36"/>
    </row>
    <row r="37" spans="1:20" s="28" customFormat="1" ht="22.9" customHeight="1">
      <c r="A37" s="302" t="s">
        <v>33</v>
      </c>
      <c r="B37" s="303" t="s">
        <v>122</v>
      </c>
      <c r="C37" s="288" t="s">
        <v>98</v>
      </c>
      <c r="D37" s="301" t="s">
        <v>97</v>
      </c>
      <c r="E37" s="36"/>
      <c r="F37" s="36"/>
      <c r="G37" s="36"/>
      <c r="H37" s="36"/>
      <c r="I37" s="36"/>
      <c r="J37" s="58"/>
      <c r="K37" s="58"/>
      <c r="L37" s="58"/>
      <c r="M37" s="58"/>
      <c r="N37" s="58"/>
      <c r="O37" s="36"/>
      <c r="P37" s="36"/>
    </row>
    <row r="38" spans="1:20" s="28" customFormat="1" ht="15" customHeight="1">
      <c r="A38" s="74" t="s">
        <v>100</v>
      </c>
      <c r="B38" s="49" t="s">
        <v>123</v>
      </c>
      <c r="C38" s="442">
        <v>1</v>
      </c>
      <c r="D38" s="25" t="s">
        <v>103</v>
      </c>
      <c r="E38" s="36"/>
      <c r="F38" s="36"/>
      <c r="G38" s="36"/>
      <c r="H38" s="36"/>
      <c r="I38" s="36"/>
      <c r="J38" s="58"/>
      <c r="K38" s="58"/>
      <c r="L38" s="58"/>
      <c r="M38" s="58"/>
      <c r="N38" s="58"/>
      <c r="O38" s="36"/>
      <c r="P38" s="36"/>
    </row>
    <row r="39" spans="1:20" s="28" customFormat="1" ht="15" customHeight="1">
      <c r="A39" s="74" t="s">
        <v>99</v>
      </c>
      <c r="B39" s="49" t="s">
        <v>36</v>
      </c>
      <c r="C39" s="442">
        <v>1</v>
      </c>
      <c r="D39" s="25" t="s">
        <v>104</v>
      </c>
      <c r="E39" s="36"/>
      <c r="F39" s="36"/>
      <c r="G39" s="36"/>
      <c r="H39" s="36"/>
      <c r="I39" s="36"/>
      <c r="J39" s="58"/>
      <c r="K39" s="58"/>
      <c r="L39" s="58"/>
      <c r="M39" s="58"/>
      <c r="N39" s="58"/>
      <c r="O39" s="36"/>
      <c r="P39" s="36"/>
    </row>
    <row r="40" spans="1:20" s="28" customFormat="1" ht="12">
      <c r="A40" s="74" t="s">
        <v>101</v>
      </c>
      <c r="B40" s="49" t="s">
        <v>119</v>
      </c>
      <c r="C40" s="442">
        <v>1</v>
      </c>
      <c r="D40" s="25" t="s">
        <v>242</v>
      </c>
      <c r="E40" s="36"/>
      <c r="F40" s="36"/>
      <c r="G40" s="36"/>
      <c r="H40" s="36"/>
      <c r="I40" s="36"/>
      <c r="J40" s="58"/>
      <c r="K40" s="58"/>
      <c r="L40" s="58"/>
      <c r="M40" s="58"/>
      <c r="N40" s="58"/>
      <c r="O40" s="36"/>
      <c r="P40" s="36"/>
    </row>
    <row r="41" spans="1:20" s="28" customFormat="1" ht="15" customHeight="1">
      <c r="A41" s="74" t="s">
        <v>102</v>
      </c>
      <c r="B41" s="49" t="s">
        <v>120</v>
      </c>
      <c r="C41" s="442">
        <v>1</v>
      </c>
      <c r="D41" s="25" t="s">
        <v>105</v>
      </c>
      <c r="E41" s="36"/>
      <c r="F41" s="36"/>
      <c r="G41" s="36"/>
      <c r="H41" s="36"/>
      <c r="I41" s="36"/>
      <c r="J41" s="36"/>
      <c r="K41" s="36"/>
      <c r="L41" s="58"/>
      <c r="M41" s="58"/>
      <c r="N41" s="58"/>
      <c r="O41" s="58"/>
      <c r="P41" s="58"/>
      <c r="Q41" s="36"/>
      <c r="R41" s="36"/>
    </row>
    <row r="42" spans="1:20" s="28" customFormat="1" ht="15" customHeight="1">
      <c r="A42" s="74" t="s">
        <v>1312</v>
      </c>
      <c r="B42" s="49" t="s">
        <v>249</v>
      </c>
      <c r="C42" s="442">
        <v>1</v>
      </c>
      <c r="D42" s="25" t="s">
        <v>1496</v>
      </c>
      <c r="E42" s="71"/>
      <c r="F42" s="36"/>
      <c r="G42" s="36"/>
      <c r="H42" s="36"/>
      <c r="I42" s="36"/>
      <c r="J42" s="36"/>
      <c r="K42" s="36"/>
      <c r="L42" s="36"/>
      <c r="M42" s="36"/>
      <c r="N42" s="58"/>
      <c r="O42" s="58"/>
      <c r="P42" s="58"/>
      <c r="Q42" s="58"/>
      <c r="R42" s="58"/>
      <c r="S42" s="36"/>
      <c r="T42" s="36"/>
    </row>
    <row r="43" spans="1:20" s="28" customFormat="1" ht="15" customHeight="1">
      <c r="A43" s="36"/>
      <c r="B43" s="36"/>
      <c r="C43" s="36"/>
      <c r="D43" s="36"/>
      <c r="E43" s="37"/>
      <c r="F43" s="37"/>
      <c r="G43" s="36"/>
      <c r="H43" s="36"/>
      <c r="I43" s="36"/>
      <c r="J43" s="36"/>
      <c r="K43" s="36"/>
      <c r="L43" s="36"/>
      <c r="M43" s="36"/>
      <c r="N43" s="58"/>
      <c r="O43" s="58"/>
      <c r="P43" s="58"/>
      <c r="Q43" s="58"/>
      <c r="R43" s="58"/>
      <c r="S43" s="36"/>
      <c r="T43" s="36"/>
    </row>
    <row r="44" spans="1:20" s="28" customFormat="1" ht="12">
      <c r="A44" s="35" t="s">
        <v>106</v>
      </c>
      <c r="B44" s="36"/>
      <c r="C44" s="36"/>
      <c r="D44" s="58"/>
      <c r="E44" s="37"/>
      <c r="F44" s="71"/>
      <c r="G44" s="36"/>
      <c r="H44" s="36"/>
      <c r="I44" s="36"/>
      <c r="J44" s="36"/>
      <c r="K44" s="36"/>
      <c r="L44" s="36"/>
      <c r="M44" s="58"/>
      <c r="N44" s="58"/>
      <c r="O44" s="58"/>
      <c r="P44" s="58"/>
      <c r="Q44" s="58"/>
      <c r="R44" s="36"/>
      <c r="S44" s="36"/>
    </row>
    <row r="45" spans="1:20" s="28" customFormat="1" ht="24">
      <c r="A45" s="302" t="s">
        <v>33</v>
      </c>
      <c r="B45" s="301" t="s">
        <v>107</v>
      </c>
      <c r="C45" s="288" t="s">
        <v>98</v>
      </c>
      <c r="D45" s="61" t="s">
        <v>166</v>
      </c>
      <c r="E45" s="37"/>
      <c r="F45" s="71"/>
      <c r="G45" s="36"/>
      <c r="H45" s="36"/>
      <c r="I45" s="36"/>
      <c r="J45" s="36"/>
      <c r="K45" s="36"/>
      <c r="L45" s="36"/>
      <c r="M45" s="58"/>
      <c r="N45" s="58"/>
      <c r="O45" s="58"/>
      <c r="P45" s="58"/>
      <c r="Q45" s="58"/>
      <c r="R45" s="36"/>
      <c r="S45" s="36"/>
    </row>
    <row r="46" spans="1:20" s="28" customFormat="1" ht="15" customHeight="1">
      <c r="A46" s="75" t="s">
        <v>253</v>
      </c>
      <c r="B46" s="76" t="s">
        <v>252</v>
      </c>
      <c r="C46" s="443">
        <v>1</v>
      </c>
      <c r="D46" s="36"/>
      <c r="E46" s="37"/>
      <c r="F46" s="71"/>
      <c r="G46" s="36"/>
      <c r="H46" s="36"/>
      <c r="I46" s="36"/>
      <c r="J46" s="36"/>
      <c r="K46" s="36"/>
      <c r="L46" s="36"/>
      <c r="M46" s="58"/>
      <c r="N46" s="58"/>
      <c r="O46" s="58"/>
      <c r="P46" s="58"/>
      <c r="Q46" s="58"/>
      <c r="R46" s="36"/>
      <c r="S46" s="36"/>
    </row>
    <row r="47" spans="1:20" s="28" customFormat="1" ht="15" customHeight="1">
      <c r="A47" s="77" t="s">
        <v>19</v>
      </c>
      <c r="B47" s="78" t="s">
        <v>29</v>
      </c>
      <c r="C47" s="443">
        <v>1</v>
      </c>
      <c r="D47" s="36"/>
      <c r="E47" s="37"/>
      <c r="F47" s="36"/>
      <c r="G47" s="36"/>
      <c r="H47" s="36"/>
      <c r="I47" s="36"/>
      <c r="J47" s="36"/>
      <c r="K47" s="58"/>
      <c r="L47" s="58"/>
      <c r="M47" s="58"/>
      <c r="N47" s="58"/>
      <c r="O47" s="58"/>
      <c r="P47" s="36"/>
      <c r="Q47" s="36"/>
    </row>
    <row r="48" spans="1:20" s="37" customFormat="1" ht="12">
      <c r="A48" s="75" t="s">
        <v>2</v>
      </c>
      <c r="B48" s="76" t="s">
        <v>1</v>
      </c>
      <c r="C48" s="443">
        <v>1</v>
      </c>
      <c r="D48" s="36"/>
      <c r="H48" s="79"/>
      <c r="I48" s="79"/>
      <c r="J48" s="40"/>
      <c r="K48" s="40"/>
      <c r="L48" s="40"/>
      <c r="M48" s="40"/>
      <c r="N48" s="40"/>
    </row>
    <row r="49" spans="1:18" ht="12">
      <c r="A49" s="77" t="s">
        <v>20</v>
      </c>
      <c r="B49" s="78" t="s">
        <v>21</v>
      </c>
      <c r="C49" s="443">
        <v>1</v>
      </c>
      <c r="D49" s="36"/>
      <c r="E49" s="37"/>
      <c r="F49" s="38"/>
      <c r="G49" s="80"/>
      <c r="H49" s="40"/>
      <c r="I49" s="40"/>
      <c r="J49" s="40"/>
      <c r="K49" s="40"/>
      <c r="L49" s="40"/>
      <c r="M49" s="40"/>
      <c r="N49" s="37"/>
      <c r="O49" s="37"/>
      <c r="P49" s="37"/>
    </row>
    <row r="50" spans="1:18" ht="15" customHeight="1">
      <c r="A50" s="75" t="s">
        <v>18</v>
      </c>
      <c r="B50" s="76" t="s">
        <v>12</v>
      </c>
      <c r="C50" s="443">
        <v>1</v>
      </c>
      <c r="D50" s="36"/>
      <c r="E50" s="37"/>
      <c r="F50" s="38"/>
      <c r="G50" s="80"/>
      <c r="H50" s="40"/>
      <c r="I50" s="40"/>
      <c r="J50" s="40"/>
      <c r="K50" s="40"/>
      <c r="L50" s="40"/>
      <c r="M50" s="40"/>
      <c r="N50" s="37"/>
      <c r="O50" s="37"/>
      <c r="P50" s="37"/>
    </row>
    <row r="51" spans="1:18" ht="15" customHeight="1">
      <c r="A51" s="77" t="s">
        <v>108</v>
      </c>
      <c r="B51" s="78" t="s">
        <v>109</v>
      </c>
      <c r="C51" s="443">
        <v>1</v>
      </c>
      <c r="D51" s="36"/>
      <c r="E51" s="37"/>
      <c r="F51" s="38"/>
      <c r="G51" s="80"/>
      <c r="H51" s="40"/>
      <c r="I51" s="40"/>
      <c r="J51" s="40"/>
      <c r="K51" s="40"/>
      <c r="L51" s="40"/>
      <c r="M51" s="40"/>
      <c r="N51" s="37"/>
      <c r="O51" s="37"/>
      <c r="P51" s="37"/>
    </row>
    <row r="52" spans="1:18" ht="15" customHeight="1">
      <c r="A52" s="75" t="s">
        <v>17</v>
      </c>
      <c r="B52" s="76" t="s">
        <v>14</v>
      </c>
      <c r="C52" s="443">
        <v>1</v>
      </c>
      <c r="D52" s="36"/>
      <c r="E52" s="37"/>
      <c r="F52" s="38"/>
      <c r="G52" s="80"/>
      <c r="H52" s="40"/>
      <c r="I52" s="40"/>
      <c r="J52" s="40"/>
      <c r="K52" s="40"/>
      <c r="L52" s="40"/>
      <c r="M52" s="40"/>
      <c r="N52" s="37"/>
      <c r="O52" s="37"/>
      <c r="P52" s="37"/>
    </row>
    <row r="53" spans="1:18" ht="15" customHeight="1">
      <c r="A53" s="77" t="s">
        <v>15</v>
      </c>
      <c r="B53" s="78" t="s">
        <v>13</v>
      </c>
      <c r="C53" s="443">
        <v>1</v>
      </c>
      <c r="D53" s="36"/>
      <c r="E53" s="37"/>
      <c r="F53" s="38"/>
      <c r="G53" s="80"/>
      <c r="H53" s="40"/>
      <c r="I53" s="40"/>
      <c r="J53" s="40"/>
      <c r="K53" s="40"/>
      <c r="L53" s="40"/>
      <c r="M53" s="40"/>
      <c r="N53" s="37"/>
      <c r="O53" s="37"/>
      <c r="P53" s="37"/>
    </row>
    <row r="54" spans="1:18" ht="15" customHeight="1">
      <c r="A54" s="75" t="s">
        <v>25</v>
      </c>
      <c r="B54" s="76" t="s">
        <v>28</v>
      </c>
      <c r="C54" s="443">
        <v>1</v>
      </c>
      <c r="D54" s="36"/>
      <c r="E54" s="37"/>
      <c r="F54" s="38"/>
      <c r="G54" s="80"/>
      <c r="H54" s="40"/>
      <c r="I54" s="40"/>
      <c r="J54" s="40"/>
      <c r="K54" s="40"/>
      <c r="L54" s="40"/>
      <c r="M54" s="40"/>
      <c r="N54" s="37"/>
      <c r="O54" s="37"/>
      <c r="P54" s="37"/>
    </row>
    <row r="55" spans="1:18" ht="15" customHeight="1">
      <c r="A55" s="77" t="s">
        <v>26</v>
      </c>
      <c r="B55" s="78" t="s">
        <v>27</v>
      </c>
      <c r="C55" s="443">
        <v>1</v>
      </c>
      <c r="D55" s="36"/>
      <c r="E55" s="37"/>
      <c r="F55" s="38"/>
      <c r="G55" s="80"/>
      <c r="H55" s="40"/>
      <c r="I55" s="40"/>
      <c r="J55" s="40"/>
      <c r="K55" s="40"/>
      <c r="L55" s="40"/>
      <c r="M55" s="40"/>
      <c r="N55" s="37"/>
      <c r="O55" s="37"/>
      <c r="P55" s="37"/>
    </row>
    <row r="56" spans="1:18" ht="15" customHeight="1">
      <c r="A56" s="75" t="s">
        <v>16</v>
      </c>
      <c r="B56" s="76" t="s">
        <v>0</v>
      </c>
      <c r="C56" s="443">
        <v>1</v>
      </c>
      <c r="D56" s="36"/>
      <c r="E56" s="37"/>
      <c r="F56" s="38"/>
      <c r="G56" s="80"/>
      <c r="H56" s="40"/>
      <c r="I56" s="40"/>
      <c r="J56" s="40"/>
      <c r="K56" s="40"/>
      <c r="L56" s="40"/>
      <c r="M56" s="40"/>
      <c r="N56" s="37"/>
      <c r="O56" s="37"/>
      <c r="P56" s="37"/>
    </row>
    <row r="57" spans="1:18" ht="15" customHeight="1">
      <c r="A57" s="75" t="s">
        <v>250</v>
      </c>
      <c r="B57" s="76" t="s">
        <v>251</v>
      </c>
      <c r="C57" s="443">
        <v>1</v>
      </c>
      <c r="D57" s="36"/>
      <c r="E57" s="37"/>
      <c r="F57" s="38"/>
      <c r="G57" s="37"/>
      <c r="H57" s="80"/>
      <c r="I57" s="80"/>
      <c r="J57" s="40"/>
      <c r="K57" s="40"/>
      <c r="L57" s="40"/>
      <c r="M57" s="40"/>
      <c r="N57" s="40"/>
      <c r="O57" s="37"/>
      <c r="P57" s="37"/>
      <c r="Q57" s="37"/>
    </row>
    <row r="58" spans="1:18" ht="15" customHeight="1">
      <c r="A58" s="82"/>
      <c r="B58" s="58"/>
      <c r="C58" s="58"/>
      <c r="D58" s="58"/>
      <c r="E58" s="37"/>
      <c r="F58" s="37"/>
      <c r="G58" s="37"/>
      <c r="H58" s="80"/>
      <c r="I58" s="80"/>
      <c r="J58" s="40"/>
      <c r="K58" s="40"/>
      <c r="L58" s="40"/>
      <c r="M58" s="40"/>
      <c r="N58" s="40"/>
      <c r="O58" s="37"/>
      <c r="P58" s="37"/>
      <c r="Q58" s="37"/>
    </row>
    <row r="59" spans="1:18" ht="15" customHeight="1">
      <c r="A59" s="80"/>
      <c r="B59" s="37"/>
      <c r="C59" s="37"/>
      <c r="D59" s="48"/>
      <c r="E59" s="37"/>
      <c r="F59" s="37"/>
      <c r="G59" s="37"/>
      <c r="H59" s="80"/>
      <c r="I59" s="80"/>
      <c r="J59" s="40"/>
      <c r="K59" s="40"/>
      <c r="L59" s="40"/>
      <c r="M59" s="40"/>
      <c r="N59" s="40"/>
      <c r="O59" s="37"/>
      <c r="P59" s="37"/>
      <c r="Q59" s="37"/>
    </row>
    <row r="60" spans="1:18" ht="15" customHeight="1">
      <c r="A60" s="80"/>
      <c r="B60" s="37"/>
      <c r="C60" s="83"/>
      <c r="D60" s="48"/>
      <c r="E60" s="37"/>
      <c r="F60" s="37"/>
      <c r="G60" s="37"/>
      <c r="H60" s="80"/>
      <c r="I60" s="80"/>
      <c r="J60" s="40"/>
      <c r="K60" s="40"/>
      <c r="L60" s="40"/>
      <c r="M60" s="40"/>
      <c r="N60" s="40"/>
      <c r="O60" s="37"/>
      <c r="P60" s="37"/>
      <c r="Q60" s="37"/>
    </row>
    <row r="61" spans="1:18" ht="15" customHeight="1">
      <c r="A61" s="80"/>
      <c r="B61" s="37"/>
      <c r="C61" s="37"/>
      <c r="D61" s="48"/>
      <c r="E61" s="37"/>
      <c r="F61" s="37"/>
      <c r="G61" s="38"/>
      <c r="H61" s="37"/>
      <c r="I61" s="37"/>
      <c r="J61" s="80"/>
      <c r="K61" s="40"/>
      <c r="L61" s="40"/>
      <c r="M61" s="40"/>
      <c r="N61" s="40"/>
      <c r="O61" s="40"/>
      <c r="P61" s="37"/>
      <c r="Q61" s="37"/>
      <c r="R61" s="37"/>
    </row>
    <row r="62" spans="1:18" ht="15" customHeight="1">
      <c r="A62" s="80"/>
      <c r="B62" s="37"/>
      <c r="C62" s="37"/>
      <c r="D62" s="48"/>
      <c r="F62" s="37"/>
      <c r="G62" s="38"/>
      <c r="H62" s="37"/>
      <c r="I62" s="37"/>
      <c r="J62" s="80"/>
      <c r="K62" s="40"/>
      <c r="L62" s="40"/>
      <c r="M62" s="40"/>
      <c r="N62" s="40"/>
      <c r="O62" s="40"/>
      <c r="P62" s="37"/>
      <c r="Q62" s="37"/>
      <c r="R62" s="37"/>
    </row>
    <row r="63" spans="1:18" ht="15" customHeight="1">
      <c r="F63" s="37"/>
      <c r="G63" s="38"/>
      <c r="H63" s="37"/>
      <c r="I63" s="37"/>
      <c r="J63" s="80"/>
      <c r="K63" s="40"/>
      <c r="L63" s="40"/>
      <c r="M63" s="40"/>
      <c r="N63" s="40"/>
      <c r="O63" s="40"/>
      <c r="P63" s="37"/>
      <c r="Q63" s="37"/>
      <c r="R63" s="37"/>
    </row>
    <row r="64" spans="1:18" ht="15" customHeight="1">
      <c r="F64" s="37"/>
      <c r="G64" s="38"/>
      <c r="H64" s="37"/>
      <c r="I64" s="37"/>
      <c r="J64" s="80"/>
      <c r="K64" s="40"/>
      <c r="L64" s="40"/>
      <c r="M64" s="40"/>
      <c r="N64" s="40"/>
      <c r="O64" s="40"/>
      <c r="P64" s="37"/>
      <c r="Q64" s="37"/>
      <c r="R64" s="37"/>
    </row>
    <row r="65" spans="6:18" ht="15" customHeight="1">
      <c r="F65" s="37"/>
      <c r="G65" s="38"/>
      <c r="H65" s="37"/>
      <c r="I65" s="37"/>
      <c r="J65" s="80"/>
      <c r="K65" s="40"/>
      <c r="L65" s="40"/>
      <c r="M65" s="40"/>
      <c r="N65" s="40"/>
      <c r="O65" s="40"/>
      <c r="P65" s="37"/>
      <c r="Q65" s="37"/>
      <c r="R65" s="37"/>
    </row>
    <row r="66" spans="6:18" ht="15" customHeight="1">
      <c r="F66" s="37"/>
      <c r="G66" s="38"/>
      <c r="H66" s="37"/>
      <c r="I66" s="37"/>
      <c r="J66" s="80"/>
      <c r="K66" s="40"/>
      <c r="L66" s="40"/>
      <c r="M66" s="40"/>
      <c r="N66" s="40"/>
      <c r="O66" s="40"/>
      <c r="P66" s="37"/>
      <c r="Q66" s="37"/>
      <c r="R66" s="37"/>
    </row>
    <row r="67" spans="6:18" ht="15" customHeight="1">
      <c r="F67" s="37"/>
      <c r="G67" s="38"/>
      <c r="H67" s="37"/>
      <c r="I67" s="37"/>
      <c r="J67" s="80"/>
      <c r="K67" s="40"/>
      <c r="L67" s="40"/>
      <c r="M67" s="40"/>
      <c r="N67" s="40"/>
      <c r="O67" s="40"/>
      <c r="P67" s="37"/>
      <c r="Q67" s="37"/>
      <c r="R67" s="37"/>
    </row>
    <row r="68" spans="6:18" ht="15" customHeight="1">
      <c r="F68" s="37"/>
      <c r="G68" s="38"/>
      <c r="H68" s="37"/>
      <c r="I68" s="37"/>
      <c r="J68" s="80"/>
      <c r="K68" s="40"/>
      <c r="L68" s="40"/>
      <c r="M68" s="40"/>
      <c r="N68" s="40"/>
      <c r="O68" s="40"/>
      <c r="P68" s="37"/>
      <c r="Q68" s="37"/>
      <c r="R68" s="37"/>
    </row>
    <row r="69" spans="6:18" ht="15" customHeight="1">
      <c r="F69" s="37"/>
      <c r="G69" s="38"/>
      <c r="H69" s="37"/>
      <c r="I69" s="37"/>
      <c r="J69" s="80"/>
      <c r="K69" s="40"/>
      <c r="L69" s="40"/>
      <c r="M69" s="40"/>
      <c r="N69" s="40"/>
      <c r="O69" s="40"/>
      <c r="P69" s="37"/>
      <c r="Q69" s="37"/>
      <c r="R69" s="37"/>
    </row>
    <row r="70" spans="6:18" ht="15" customHeight="1">
      <c r="F70" s="37"/>
      <c r="G70" s="38"/>
      <c r="H70" s="37"/>
      <c r="I70" s="37"/>
      <c r="J70" s="80"/>
      <c r="K70" s="40"/>
      <c r="L70" s="40"/>
      <c r="M70" s="40"/>
      <c r="N70" s="40"/>
      <c r="O70" s="40"/>
      <c r="P70" s="37"/>
      <c r="Q70" s="37"/>
      <c r="R70" s="37"/>
    </row>
    <row r="71" spans="6:18" ht="15" customHeight="1">
      <c r="F71" s="37"/>
      <c r="G71" s="38"/>
      <c r="H71" s="37"/>
      <c r="I71" s="37"/>
      <c r="J71" s="80"/>
      <c r="K71" s="40"/>
      <c r="L71" s="40"/>
      <c r="M71" s="40"/>
      <c r="N71" s="40"/>
      <c r="O71" s="40"/>
      <c r="P71" s="37"/>
      <c r="Q71" s="37"/>
      <c r="R71" s="37"/>
    </row>
    <row r="72" spans="6:18" ht="15" customHeight="1">
      <c r="F72" s="37"/>
      <c r="G72" s="38"/>
      <c r="H72" s="37"/>
      <c r="I72" s="37"/>
      <c r="J72" s="80"/>
      <c r="K72" s="40"/>
      <c r="L72" s="40"/>
      <c r="M72" s="40"/>
      <c r="N72" s="40"/>
      <c r="O72" s="40"/>
      <c r="P72" s="37"/>
      <c r="Q72" s="37"/>
      <c r="R72" s="37"/>
    </row>
    <row r="73" spans="6:18" ht="15" customHeight="1">
      <c r="F73" s="37"/>
      <c r="G73" s="38"/>
      <c r="H73" s="37"/>
      <c r="I73" s="37"/>
      <c r="J73" s="80"/>
      <c r="K73" s="40"/>
      <c r="L73" s="40"/>
      <c r="M73" s="40"/>
      <c r="N73" s="40"/>
      <c r="O73" s="40"/>
      <c r="P73" s="37"/>
      <c r="Q73" s="37"/>
      <c r="R73" s="37"/>
    </row>
    <row r="74" spans="6:18" ht="15" customHeight="1">
      <c r="F74" s="37"/>
      <c r="G74" s="38"/>
      <c r="H74" s="37"/>
      <c r="I74" s="37"/>
      <c r="J74" s="80"/>
      <c r="K74" s="40"/>
      <c r="L74" s="40"/>
      <c r="M74" s="40"/>
      <c r="N74" s="40"/>
      <c r="O74" s="40"/>
      <c r="P74" s="37"/>
      <c r="Q74" s="37"/>
      <c r="R74" s="37"/>
    </row>
    <row r="75" spans="6:18" ht="15" customHeight="1">
      <c r="F75" s="37"/>
      <c r="G75" s="38"/>
      <c r="H75" s="37"/>
      <c r="I75" s="37"/>
      <c r="J75" s="80"/>
      <c r="K75" s="40"/>
      <c r="L75" s="40"/>
      <c r="M75" s="40"/>
      <c r="N75" s="40"/>
      <c r="O75" s="40"/>
      <c r="P75" s="37"/>
      <c r="Q75" s="37"/>
      <c r="R75" s="37"/>
    </row>
    <row r="76" spans="6:18" ht="15" customHeight="1">
      <c r="F76" s="37"/>
      <c r="G76" s="38"/>
      <c r="H76" s="37"/>
      <c r="I76" s="37"/>
      <c r="J76" s="80"/>
      <c r="K76" s="40"/>
      <c r="L76" s="40"/>
      <c r="M76" s="40"/>
      <c r="N76" s="40"/>
      <c r="O76" s="40"/>
      <c r="P76" s="37"/>
      <c r="Q76" s="37"/>
      <c r="R76" s="37"/>
    </row>
    <row r="77" spans="6:18" ht="15" customHeight="1">
      <c r="F77" s="37"/>
      <c r="G77" s="38"/>
      <c r="H77" s="37"/>
      <c r="I77" s="37"/>
      <c r="J77" s="80"/>
      <c r="K77" s="40"/>
      <c r="L77" s="40"/>
      <c r="M77" s="40"/>
      <c r="N77" s="40"/>
      <c r="O77" s="40"/>
      <c r="P77" s="37"/>
      <c r="Q77" s="37"/>
      <c r="R77" s="37"/>
    </row>
    <row r="78" spans="6:18" ht="15" customHeight="1">
      <c r="F78" s="37"/>
      <c r="G78" s="38"/>
      <c r="H78" s="37"/>
      <c r="I78" s="37"/>
      <c r="J78" s="80"/>
      <c r="K78" s="40"/>
      <c r="L78" s="40"/>
      <c r="M78" s="40"/>
      <c r="N78" s="40"/>
      <c r="O78" s="40"/>
      <c r="P78" s="37"/>
      <c r="Q78" s="37"/>
      <c r="R78" s="37"/>
    </row>
    <row r="79" spans="6:18" ht="15" customHeight="1">
      <c r="F79" s="37"/>
      <c r="G79" s="38"/>
      <c r="H79" s="37"/>
      <c r="I79" s="37"/>
      <c r="J79" s="80"/>
      <c r="K79" s="40"/>
      <c r="L79" s="40"/>
      <c r="M79" s="40"/>
      <c r="N79" s="40"/>
      <c r="O79" s="40"/>
      <c r="P79" s="37"/>
      <c r="Q79" s="37"/>
      <c r="R79" s="37"/>
    </row>
    <row r="80" spans="6:18" ht="15" customHeight="1">
      <c r="F80" s="37"/>
      <c r="G80" s="38"/>
      <c r="H80" s="37"/>
      <c r="I80" s="37"/>
      <c r="J80" s="80"/>
      <c r="K80" s="40"/>
      <c r="L80" s="40"/>
      <c r="M80" s="40"/>
      <c r="N80" s="40"/>
      <c r="O80" s="40"/>
      <c r="P80" s="37"/>
      <c r="Q80" s="37"/>
      <c r="R80" s="37"/>
    </row>
    <row r="81" spans="6:18" ht="15" customHeight="1">
      <c r="F81" s="37"/>
      <c r="G81" s="38"/>
      <c r="H81" s="37"/>
      <c r="I81" s="37"/>
      <c r="J81" s="80"/>
      <c r="K81" s="40"/>
      <c r="L81" s="40"/>
      <c r="M81" s="40"/>
      <c r="N81" s="40"/>
      <c r="O81" s="40"/>
      <c r="P81" s="37"/>
      <c r="Q81" s="37"/>
      <c r="R81" s="37"/>
    </row>
    <row r="82" spans="6:18" ht="15" customHeight="1">
      <c r="F82" s="37"/>
      <c r="G82" s="38"/>
      <c r="H82" s="37"/>
      <c r="I82" s="37"/>
      <c r="J82" s="80"/>
      <c r="K82" s="40"/>
      <c r="L82" s="40"/>
      <c r="M82" s="40"/>
      <c r="N82" s="40"/>
      <c r="O82" s="40"/>
      <c r="P82" s="37"/>
      <c r="Q82" s="37"/>
      <c r="R82" s="37"/>
    </row>
    <row r="83" spans="6:18" ht="15" customHeight="1">
      <c r="F83" s="37"/>
      <c r="G83" s="38"/>
      <c r="H83" s="37"/>
      <c r="I83" s="37"/>
      <c r="J83" s="80"/>
      <c r="K83" s="40"/>
      <c r="L83" s="40"/>
      <c r="M83" s="40"/>
      <c r="N83" s="40"/>
      <c r="O83" s="40"/>
      <c r="P83" s="37"/>
      <c r="Q83" s="37"/>
      <c r="R83" s="37"/>
    </row>
    <row r="84" spans="6:18" ht="15" customHeight="1">
      <c r="F84" s="37"/>
      <c r="G84" s="38"/>
      <c r="H84" s="37"/>
      <c r="I84" s="37"/>
      <c r="J84" s="80"/>
      <c r="K84" s="40"/>
      <c r="L84" s="40"/>
      <c r="M84" s="40"/>
      <c r="N84" s="40"/>
      <c r="O84" s="40"/>
      <c r="P84" s="37"/>
      <c r="Q84" s="37"/>
      <c r="R84" s="37"/>
    </row>
    <row r="85" spans="6:18" ht="15" customHeight="1">
      <c r="F85" s="37"/>
      <c r="G85" s="38"/>
      <c r="H85" s="37"/>
      <c r="I85" s="37"/>
      <c r="J85" s="80"/>
      <c r="K85" s="40"/>
      <c r="L85" s="40"/>
      <c r="M85" s="40"/>
      <c r="N85" s="40"/>
      <c r="O85" s="40"/>
      <c r="P85" s="37"/>
      <c r="Q85" s="37"/>
      <c r="R85" s="37"/>
    </row>
    <row r="86" spans="6:18" ht="15" customHeight="1">
      <c r="F86" s="37"/>
      <c r="G86" s="38"/>
      <c r="H86" s="37"/>
      <c r="I86" s="37"/>
      <c r="J86" s="80"/>
      <c r="K86" s="40"/>
      <c r="L86" s="40"/>
      <c r="M86" s="40"/>
      <c r="N86" s="40"/>
      <c r="O86" s="40"/>
      <c r="P86" s="37"/>
      <c r="Q86" s="37"/>
      <c r="R86" s="37"/>
    </row>
    <row r="87" spans="6:18" ht="15" customHeight="1">
      <c r="F87" s="37"/>
      <c r="G87" s="38"/>
      <c r="H87" s="37"/>
      <c r="I87" s="37"/>
      <c r="J87" s="80"/>
      <c r="K87" s="40"/>
      <c r="L87" s="40"/>
      <c r="M87" s="40"/>
      <c r="N87" s="40"/>
      <c r="O87" s="40"/>
      <c r="P87" s="37"/>
      <c r="Q87" s="37"/>
      <c r="R87" s="37"/>
    </row>
    <row r="88" spans="6:18" ht="15" customHeight="1">
      <c r="F88" s="37"/>
      <c r="G88" s="38"/>
      <c r="H88" s="37"/>
      <c r="I88" s="37"/>
      <c r="J88" s="80"/>
      <c r="K88" s="40"/>
      <c r="L88" s="40"/>
      <c r="M88" s="40"/>
      <c r="N88" s="40"/>
      <c r="O88" s="40"/>
      <c r="P88" s="37"/>
      <c r="Q88" s="37"/>
      <c r="R88" s="37"/>
    </row>
    <row r="89" spans="6:18" ht="15" customHeight="1">
      <c r="F89" s="37"/>
      <c r="G89" s="38"/>
      <c r="H89" s="37"/>
      <c r="I89" s="37"/>
      <c r="J89" s="80"/>
      <c r="K89" s="40"/>
      <c r="L89" s="40"/>
      <c r="M89" s="40"/>
      <c r="N89" s="40"/>
      <c r="O89" s="40"/>
      <c r="P89" s="37"/>
      <c r="Q89" s="37"/>
      <c r="R89" s="37"/>
    </row>
    <row r="90" spans="6:18" ht="15" customHeight="1">
      <c r="F90" s="37"/>
      <c r="G90" s="38"/>
      <c r="H90" s="37"/>
      <c r="I90" s="37"/>
      <c r="J90" s="80"/>
      <c r="K90" s="40"/>
      <c r="L90" s="40"/>
      <c r="M90" s="40"/>
      <c r="N90" s="40"/>
      <c r="O90" s="40"/>
      <c r="P90" s="37"/>
      <c r="Q90" s="37"/>
      <c r="R90" s="37"/>
    </row>
    <row r="91" spans="6:18" ht="15" customHeight="1">
      <c r="F91" s="37"/>
      <c r="G91" s="38"/>
      <c r="H91" s="37"/>
      <c r="I91" s="37"/>
      <c r="J91" s="80"/>
      <c r="K91" s="40"/>
      <c r="L91" s="40"/>
      <c r="M91" s="40"/>
      <c r="N91" s="40"/>
      <c r="O91" s="40"/>
      <c r="P91" s="37"/>
      <c r="Q91" s="37"/>
      <c r="R91" s="37"/>
    </row>
    <row r="92" spans="6:18" ht="15" customHeight="1">
      <c r="F92" s="37"/>
      <c r="G92" s="38"/>
      <c r="H92" s="37"/>
      <c r="I92" s="37"/>
      <c r="J92" s="80"/>
      <c r="K92" s="40"/>
      <c r="L92" s="40"/>
      <c r="M92" s="40"/>
      <c r="N92" s="40"/>
      <c r="O92" s="40"/>
      <c r="P92" s="37"/>
      <c r="Q92" s="37"/>
      <c r="R92" s="37"/>
    </row>
    <row r="93" spans="6:18" ht="15" customHeight="1">
      <c r="F93" s="37"/>
      <c r="G93" s="38"/>
      <c r="H93" s="37"/>
      <c r="I93" s="37"/>
      <c r="J93" s="80"/>
      <c r="K93" s="40"/>
      <c r="L93" s="40"/>
      <c r="M93" s="40"/>
      <c r="N93" s="40"/>
      <c r="O93" s="40"/>
      <c r="P93" s="37"/>
      <c r="Q93" s="37"/>
      <c r="R93" s="37"/>
    </row>
    <row r="94" spans="6:18" ht="15" customHeight="1">
      <c r="F94" s="37"/>
      <c r="G94" s="38"/>
      <c r="H94" s="37"/>
      <c r="I94" s="37"/>
      <c r="J94" s="80"/>
      <c r="K94" s="40"/>
      <c r="L94" s="40"/>
      <c r="M94" s="40"/>
      <c r="N94" s="40"/>
      <c r="O94" s="40"/>
      <c r="P94" s="37"/>
      <c r="Q94" s="37"/>
      <c r="R94" s="37"/>
    </row>
    <row r="95" spans="6:18" ht="15" customHeight="1">
      <c r="F95" s="37"/>
      <c r="G95" s="38"/>
      <c r="H95" s="37"/>
      <c r="I95" s="37"/>
      <c r="J95" s="80"/>
      <c r="K95" s="40"/>
      <c r="L95" s="40"/>
      <c r="M95" s="40"/>
      <c r="N95" s="40"/>
      <c r="O95" s="40"/>
      <c r="P95" s="37"/>
      <c r="Q95" s="37"/>
      <c r="R95" s="37"/>
    </row>
    <row r="96" spans="6:18" ht="15" customHeight="1">
      <c r="F96" s="37"/>
      <c r="G96" s="38"/>
      <c r="H96" s="37"/>
      <c r="I96" s="37"/>
      <c r="J96" s="80"/>
      <c r="K96" s="40"/>
      <c r="L96" s="40"/>
      <c r="M96" s="40"/>
      <c r="N96" s="40"/>
      <c r="O96" s="40"/>
      <c r="P96" s="37"/>
      <c r="Q96" s="37"/>
      <c r="R96" s="37"/>
    </row>
    <row r="97" spans="6:18" ht="15" customHeight="1">
      <c r="F97" s="37"/>
      <c r="G97" s="38"/>
      <c r="H97" s="37"/>
      <c r="I97" s="37"/>
      <c r="J97" s="80"/>
      <c r="K97" s="40"/>
      <c r="L97" s="40"/>
      <c r="M97" s="40"/>
      <c r="N97" s="40"/>
      <c r="O97" s="40"/>
      <c r="P97" s="37"/>
      <c r="Q97" s="37"/>
      <c r="R97" s="37"/>
    </row>
    <row r="98" spans="6:18" ht="15" customHeight="1">
      <c r="F98" s="37"/>
      <c r="G98" s="38"/>
      <c r="H98" s="37"/>
      <c r="I98" s="37"/>
      <c r="J98" s="80"/>
      <c r="K98" s="40"/>
      <c r="L98" s="40"/>
      <c r="M98" s="40"/>
      <c r="N98" s="40"/>
      <c r="O98" s="40"/>
      <c r="P98" s="37"/>
      <c r="Q98" s="37"/>
      <c r="R98" s="37"/>
    </row>
    <row r="99" spans="6:18" ht="15" customHeight="1">
      <c r="F99" s="37"/>
      <c r="G99" s="38"/>
      <c r="H99" s="37"/>
      <c r="I99" s="37"/>
      <c r="J99" s="80"/>
      <c r="K99" s="40"/>
      <c r="L99" s="40"/>
      <c r="M99" s="40"/>
      <c r="N99" s="40"/>
      <c r="O99" s="40"/>
      <c r="P99" s="37"/>
      <c r="Q99" s="37"/>
      <c r="R99" s="37"/>
    </row>
    <row r="100" spans="6:18" ht="15" customHeight="1">
      <c r="F100" s="37"/>
      <c r="G100" s="38"/>
      <c r="H100" s="37"/>
      <c r="I100" s="37"/>
      <c r="J100" s="80"/>
      <c r="K100" s="40"/>
      <c r="L100" s="40"/>
      <c r="M100" s="40"/>
      <c r="N100" s="40"/>
      <c r="O100" s="40"/>
      <c r="P100" s="37"/>
      <c r="Q100" s="37"/>
      <c r="R100" s="37"/>
    </row>
    <row r="101" spans="6:18" ht="15" customHeight="1">
      <c r="F101" s="37"/>
      <c r="G101" s="38"/>
      <c r="H101" s="37"/>
      <c r="I101" s="37"/>
      <c r="J101" s="80"/>
      <c r="K101" s="40"/>
      <c r="L101" s="40"/>
      <c r="M101" s="40"/>
      <c r="N101" s="40"/>
      <c r="O101" s="40"/>
      <c r="P101" s="37"/>
      <c r="Q101" s="37"/>
      <c r="R101" s="37"/>
    </row>
    <row r="102" spans="6:18" ht="15" customHeight="1">
      <c r="F102" s="37"/>
      <c r="G102" s="38"/>
      <c r="H102" s="37"/>
      <c r="I102" s="37"/>
      <c r="J102" s="80"/>
      <c r="K102" s="40"/>
      <c r="L102" s="40"/>
      <c r="M102" s="40"/>
      <c r="N102" s="40"/>
      <c r="O102" s="40"/>
      <c r="P102" s="37"/>
      <c r="Q102" s="37"/>
      <c r="R102" s="37"/>
    </row>
    <row r="103" spans="6:18" ht="15" customHeight="1">
      <c r="F103" s="37"/>
      <c r="G103" s="38"/>
      <c r="H103" s="37"/>
      <c r="I103" s="37"/>
      <c r="J103" s="80"/>
      <c r="K103" s="40"/>
      <c r="L103" s="40"/>
      <c r="M103" s="40"/>
      <c r="N103" s="40"/>
      <c r="O103" s="40"/>
      <c r="P103" s="37"/>
      <c r="Q103" s="37"/>
      <c r="R103" s="37"/>
    </row>
    <row r="104" spans="6:18" ht="15" customHeight="1">
      <c r="F104" s="37"/>
      <c r="G104" s="38"/>
      <c r="H104" s="37"/>
      <c r="I104" s="37"/>
      <c r="J104" s="80"/>
      <c r="K104" s="40"/>
      <c r="L104" s="40"/>
      <c r="M104" s="40"/>
      <c r="N104" s="40"/>
      <c r="O104" s="40"/>
      <c r="P104" s="37"/>
      <c r="Q104" s="37"/>
      <c r="R104" s="37"/>
    </row>
    <row r="105" spans="6:18" ht="15" customHeight="1">
      <c r="F105" s="37"/>
      <c r="G105" s="38"/>
      <c r="H105" s="37"/>
      <c r="I105" s="37"/>
      <c r="J105" s="80"/>
      <c r="K105" s="40"/>
      <c r="L105" s="40"/>
      <c r="M105" s="40"/>
      <c r="N105" s="40"/>
      <c r="O105" s="40"/>
      <c r="P105" s="37"/>
      <c r="Q105" s="37"/>
      <c r="R105" s="37"/>
    </row>
    <row r="106" spans="6:18" ht="15" customHeight="1">
      <c r="F106" s="37"/>
      <c r="G106" s="38"/>
      <c r="H106" s="37"/>
      <c r="I106" s="37"/>
      <c r="J106" s="80"/>
      <c r="K106" s="40"/>
      <c r="L106" s="40"/>
      <c r="M106" s="40"/>
      <c r="N106" s="40"/>
      <c r="O106" s="40"/>
      <c r="P106" s="37"/>
      <c r="Q106" s="37"/>
      <c r="R106" s="37"/>
    </row>
    <row r="107" spans="6:18" ht="15" customHeight="1">
      <c r="F107" s="37"/>
      <c r="G107" s="38"/>
      <c r="H107" s="37"/>
      <c r="I107" s="37"/>
      <c r="J107" s="80"/>
      <c r="K107" s="40"/>
      <c r="L107" s="40"/>
      <c r="M107" s="40"/>
      <c r="N107" s="40"/>
      <c r="O107" s="40"/>
      <c r="P107" s="37"/>
      <c r="Q107" s="37"/>
      <c r="R107" s="37"/>
    </row>
    <row r="108" spans="6:18" ht="15" customHeight="1">
      <c r="F108" s="37"/>
      <c r="G108" s="38"/>
      <c r="H108" s="37"/>
      <c r="I108" s="37"/>
      <c r="J108" s="80"/>
      <c r="K108" s="40"/>
      <c r="L108" s="40"/>
      <c r="M108" s="40"/>
      <c r="N108" s="40"/>
      <c r="O108" s="40"/>
      <c r="P108" s="37"/>
      <c r="Q108" s="37"/>
      <c r="R108" s="37"/>
    </row>
    <row r="109" spans="6:18" ht="15" customHeight="1">
      <c r="F109" s="37"/>
      <c r="G109" s="38"/>
      <c r="H109" s="37"/>
      <c r="I109" s="37"/>
      <c r="J109" s="80"/>
      <c r="K109" s="40"/>
      <c r="L109" s="40"/>
      <c r="M109" s="40"/>
      <c r="N109" s="40"/>
      <c r="O109" s="40"/>
      <c r="P109" s="37"/>
      <c r="Q109" s="37"/>
      <c r="R109" s="37"/>
    </row>
    <row r="110" spans="6:18" ht="15" customHeight="1">
      <c r="F110" s="37"/>
      <c r="G110" s="38"/>
      <c r="H110" s="37"/>
      <c r="I110" s="37"/>
      <c r="J110" s="80"/>
      <c r="K110" s="40"/>
      <c r="L110" s="40"/>
      <c r="M110" s="40"/>
      <c r="N110" s="40"/>
      <c r="O110" s="40"/>
      <c r="P110" s="37"/>
      <c r="Q110" s="37"/>
      <c r="R110" s="37"/>
    </row>
    <row r="111" spans="6:18" ht="15" customHeight="1">
      <c r="F111" s="37"/>
      <c r="G111" s="38"/>
      <c r="H111" s="37"/>
      <c r="I111" s="37"/>
      <c r="J111" s="80"/>
      <c r="K111" s="40"/>
      <c r="L111" s="40"/>
      <c r="M111" s="40"/>
      <c r="N111" s="40"/>
      <c r="O111" s="40"/>
      <c r="P111" s="37"/>
      <c r="Q111" s="37"/>
      <c r="R111" s="37"/>
    </row>
    <row r="112" spans="6:18" ht="15" customHeight="1">
      <c r="F112" s="37"/>
      <c r="G112" s="38"/>
      <c r="H112" s="37"/>
      <c r="I112" s="37"/>
      <c r="J112" s="80"/>
      <c r="K112" s="40"/>
      <c r="L112" s="40"/>
      <c r="M112" s="40"/>
      <c r="N112" s="40"/>
      <c r="O112" s="40"/>
      <c r="P112" s="37"/>
      <c r="Q112" s="37"/>
      <c r="R112" s="37"/>
    </row>
    <row r="113" spans="6:18" ht="15" customHeight="1">
      <c r="F113" s="37"/>
      <c r="G113" s="38"/>
      <c r="H113" s="37"/>
      <c r="I113" s="37"/>
      <c r="J113" s="80"/>
      <c r="K113" s="40"/>
      <c r="L113" s="40"/>
      <c r="M113" s="40"/>
      <c r="N113" s="40"/>
      <c r="O113" s="40"/>
      <c r="P113" s="37"/>
      <c r="Q113" s="37"/>
      <c r="R113" s="37"/>
    </row>
    <row r="114" spans="6:18" ht="15" customHeight="1">
      <c r="F114" s="37"/>
      <c r="G114" s="38"/>
      <c r="H114" s="37"/>
      <c r="I114" s="37"/>
      <c r="J114" s="80"/>
      <c r="K114" s="40"/>
      <c r="L114" s="40"/>
      <c r="M114" s="40"/>
      <c r="N114" s="40"/>
      <c r="O114" s="40"/>
      <c r="P114" s="37"/>
      <c r="Q114" s="37"/>
      <c r="R114" s="37"/>
    </row>
    <row r="115" spans="6:18" ht="15" customHeight="1">
      <c r="F115" s="37"/>
      <c r="G115" s="38"/>
      <c r="H115" s="37"/>
      <c r="I115" s="37"/>
      <c r="J115" s="80"/>
      <c r="K115" s="40"/>
      <c r="L115" s="40"/>
      <c r="M115" s="40"/>
      <c r="N115" s="40"/>
      <c r="O115" s="40"/>
      <c r="P115" s="37"/>
      <c r="Q115" s="37"/>
      <c r="R115" s="37"/>
    </row>
    <row r="116" spans="6:18" ht="15" customHeight="1">
      <c r="F116" s="37"/>
      <c r="G116" s="38"/>
      <c r="H116" s="37"/>
      <c r="I116" s="37"/>
      <c r="J116" s="80"/>
      <c r="K116" s="40"/>
      <c r="L116" s="40"/>
      <c r="M116" s="40"/>
      <c r="N116" s="40"/>
      <c r="O116" s="40"/>
      <c r="P116" s="37"/>
      <c r="Q116" s="37"/>
      <c r="R116" s="37"/>
    </row>
    <row r="117" spans="6:18" ht="15" customHeight="1">
      <c r="F117" s="37"/>
      <c r="G117" s="38"/>
      <c r="H117" s="37"/>
      <c r="I117" s="37"/>
      <c r="J117" s="80"/>
      <c r="K117" s="40"/>
      <c r="L117" s="40"/>
      <c r="M117" s="40"/>
      <c r="N117" s="40"/>
      <c r="O117" s="40"/>
      <c r="P117" s="37"/>
      <c r="Q117" s="37"/>
      <c r="R117" s="37"/>
    </row>
    <row r="118" spans="6:18" ht="15" customHeight="1">
      <c r="F118" s="37"/>
      <c r="G118" s="38"/>
      <c r="H118" s="37"/>
      <c r="I118" s="37"/>
      <c r="J118" s="80"/>
      <c r="K118" s="40"/>
      <c r="L118" s="40"/>
      <c r="M118" s="40"/>
      <c r="N118" s="40"/>
      <c r="O118" s="40"/>
      <c r="P118" s="37"/>
      <c r="Q118" s="37"/>
      <c r="R118" s="37"/>
    </row>
    <row r="119" spans="6:18" ht="15" customHeight="1">
      <c r="F119" s="37"/>
      <c r="G119" s="38"/>
      <c r="H119" s="37"/>
      <c r="I119" s="37"/>
      <c r="J119" s="80"/>
      <c r="K119" s="40"/>
      <c r="L119" s="40"/>
      <c r="M119" s="40"/>
      <c r="N119" s="40"/>
      <c r="O119" s="40"/>
      <c r="P119" s="37"/>
      <c r="Q119" s="37"/>
      <c r="R119" s="37"/>
    </row>
    <row r="120" spans="6:18" ht="15" customHeight="1">
      <c r="F120" s="37"/>
      <c r="G120" s="38"/>
      <c r="H120" s="37"/>
      <c r="I120" s="37"/>
      <c r="J120" s="80"/>
      <c r="K120" s="40"/>
      <c r="L120" s="40"/>
      <c r="M120" s="40"/>
      <c r="N120" s="40"/>
      <c r="O120" s="40"/>
      <c r="P120" s="37"/>
      <c r="Q120" s="37"/>
      <c r="R120" s="37"/>
    </row>
    <row r="121" spans="6:18" ht="15" customHeight="1">
      <c r="F121" s="37"/>
      <c r="G121" s="38"/>
      <c r="H121" s="37"/>
      <c r="I121" s="37"/>
      <c r="J121" s="80"/>
      <c r="K121" s="40"/>
      <c r="L121" s="40"/>
      <c r="M121" s="40"/>
      <c r="N121" s="40"/>
      <c r="O121" s="40"/>
      <c r="P121" s="37"/>
      <c r="Q121" s="37"/>
      <c r="R121" s="37"/>
    </row>
    <row r="122" spans="6:18" ht="15" customHeight="1">
      <c r="F122" s="37"/>
      <c r="G122" s="38"/>
      <c r="H122" s="37"/>
      <c r="I122" s="37"/>
      <c r="J122" s="80"/>
      <c r="K122" s="40"/>
      <c r="L122" s="40"/>
      <c r="M122" s="40"/>
      <c r="N122" s="40"/>
      <c r="O122" s="40"/>
      <c r="P122" s="37"/>
      <c r="Q122" s="37"/>
      <c r="R122" s="37"/>
    </row>
    <row r="123" spans="6:18" ht="15" customHeight="1">
      <c r="F123" s="37"/>
      <c r="G123" s="38"/>
      <c r="H123" s="37"/>
      <c r="I123" s="37"/>
      <c r="J123" s="80"/>
      <c r="K123" s="40"/>
      <c r="L123" s="40"/>
      <c r="M123" s="40"/>
      <c r="N123" s="40"/>
      <c r="O123" s="40"/>
      <c r="P123" s="37"/>
      <c r="Q123" s="37"/>
      <c r="R123" s="37"/>
    </row>
    <row r="124" spans="6:18" ht="15" customHeight="1">
      <c r="F124" s="37"/>
      <c r="G124" s="38"/>
      <c r="H124" s="37"/>
      <c r="I124" s="37"/>
      <c r="J124" s="80"/>
      <c r="K124" s="40"/>
      <c r="L124" s="40"/>
      <c r="M124" s="40"/>
      <c r="N124" s="40"/>
      <c r="O124" s="40"/>
      <c r="P124" s="37"/>
      <c r="Q124" s="37"/>
      <c r="R124" s="37"/>
    </row>
    <row r="125" spans="6:18" ht="15" customHeight="1">
      <c r="F125" s="37"/>
      <c r="G125" s="38"/>
      <c r="H125" s="37"/>
      <c r="I125" s="37"/>
      <c r="J125" s="80"/>
      <c r="K125" s="40"/>
      <c r="L125" s="40"/>
      <c r="M125" s="40"/>
      <c r="N125" s="40"/>
      <c r="O125" s="40"/>
      <c r="P125" s="37"/>
      <c r="Q125" s="37"/>
      <c r="R125" s="37"/>
    </row>
    <row r="126" spans="6:18" ht="15" customHeight="1">
      <c r="F126" s="37"/>
      <c r="G126" s="38"/>
      <c r="H126" s="37"/>
      <c r="I126" s="37"/>
      <c r="J126" s="80"/>
      <c r="K126" s="40"/>
      <c r="L126" s="40"/>
      <c r="M126" s="40"/>
      <c r="N126" s="40"/>
      <c r="O126" s="40"/>
      <c r="P126" s="37"/>
      <c r="Q126" s="37"/>
      <c r="R126" s="37"/>
    </row>
    <row r="127" spans="6:18" ht="15" customHeight="1">
      <c r="F127" s="37"/>
      <c r="G127" s="38"/>
      <c r="H127" s="37"/>
      <c r="I127" s="37"/>
      <c r="J127" s="80"/>
      <c r="K127" s="40"/>
      <c r="L127" s="40"/>
      <c r="M127" s="40"/>
      <c r="N127" s="40"/>
      <c r="O127" s="40"/>
      <c r="P127" s="37"/>
      <c r="Q127" s="37"/>
      <c r="R127" s="37"/>
    </row>
    <row r="128" spans="6:18" ht="15" customHeight="1">
      <c r="F128" s="37"/>
      <c r="G128" s="38"/>
      <c r="H128" s="37"/>
      <c r="I128" s="37"/>
      <c r="J128" s="80"/>
      <c r="K128" s="40"/>
      <c r="L128" s="40"/>
      <c r="M128" s="40"/>
      <c r="N128" s="40"/>
      <c r="O128" s="40"/>
      <c r="P128" s="37"/>
      <c r="Q128" s="37"/>
      <c r="R128" s="37"/>
    </row>
    <row r="129" spans="6:18" ht="15" customHeight="1">
      <c r="F129" s="37"/>
      <c r="G129" s="38"/>
      <c r="H129" s="37"/>
      <c r="I129" s="37"/>
      <c r="J129" s="80"/>
      <c r="K129" s="40"/>
      <c r="L129" s="40"/>
      <c r="M129" s="40"/>
      <c r="N129" s="40"/>
      <c r="O129" s="40"/>
      <c r="P129" s="37"/>
      <c r="Q129" s="37"/>
      <c r="R129" s="37"/>
    </row>
    <row r="130" spans="6:18" ht="15" customHeight="1">
      <c r="F130" s="37"/>
      <c r="G130" s="38"/>
      <c r="H130" s="37"/>
      <c r="I130" s="37"/>
      <c r="J130" s="80"/>
      <c r="K130" s="40"/>
      <c r="L130" s="40"/>
      <c r="M130" s="40"/>
      <c r="N130" s="40"/>
      <c r="O130" s="40"/>
      <c r="P130" s="37"/>
      <c r="Q130" s="37"/>
      <c r="R130" s="37"/>
    </row>
    <row r="131" spans="6:18" ht="15" customHeight="1">
      <c r="F131" s="37"/>
      <c r="G131" s="38"/>
      <c r="H131" s="37"/>
      <c r="I131" s="37"/>
      <c r="J131" s="80"/>
      <c r="K131" s="40"/>
      <c r="L131" s="40"/>
      <c r="M131" s="40"/>
      <c r="N131" s="40"/>
      <c r="O131" s="40"/>
      <c r="P131" s="37"/>
      <c r="Q131" s="37"/>
      <c r="R131" s="37"/>
    </row>
    <row r="132" spans="6:18" ht="15" customHeight="1">
      <c r="F132" s="37"/>
      <c r="G132" s="38"/>
      <c r="H132" s="37"/>
      <c r="I132" s="37"/>
      <c r="J132" s="80"/>
      <c r="K132" s="40"/>
      <c r="L132" s="40"/>
      <c r="M132" s="40"/>
      <c r="N132" s="40"/>
      <c r="O132" s="40"/>
      <c r="P132" s="37"/>
      <c r="Q132" s="37"/>
      <c r="R132" s="37"/>
    </row>
    <row r="133" spans="6:18" ht="15" customHeight="1">
      <c r="F133" s="37"/>
      <c r="G133" s="38"/>
      <c r="H133" s="37"/>
      <c r="I133" s="37"/>
      <c r="J133" s="80"/>
      <c r="K133" s="40"/>
      <c r="L133" s="40"/>
      <c r="M133" s="40"/>
      <c r="N133" s="40"/>
      <c r="O133" s="40"/>
      <c r="P133" s="37"/>
      <c r="Q133" s="37"/>
      <c r="R133" s="37"/>
    </row>
    <row r="134" spans="6:18" ht="15" customHeight="1">
      <c r="F134" s="37"/>
      <c r="G134" s="38"/>
      <c r="H134" s="37"/>
      <c r="I134" s="37"/>
      <c r="J134" s="80"/>
      <c r="K134" s="40"/>
      <c r="L134" s="40"/>
      <c r="M134" s="40"/>
      <c r="N134" s="40"/>
      <c r="O134" s="40"/>
      <c r="P134" s="37"/>
      <c r="Q134" s="37"/>
      <c r="R134" s="37"/>
    </row>
    <row r="135" spans="6:18" ht="15" customHeight="1">
      <c r="F135" s="37"/>
      <c r="G135" s="38"/>
      <c r="H135" s="37"/>
      <c r="I135" s="37"/>
      <c r="J135" s="80"/>
      <c r="K135" s="40"/>
      <c r="L135" s="40"/>
      <c r="M135" s="40"/>
      <c r="N135" s="40"/>
      <c r="O135" s="40"/>
      <c r="P135" s="37"/>
      <c r="Q135" s="37"/>
      <c r="R135" s="37"/>
    </row>
    <row r="136" spans="6:18" ht="15" customHeight="1">
      <c r="F136" s="37"/>
      <c r="G136" s="38"/>
      <c r="H136" s="37"/>
      <c r="I136" s="37"/>
      <c r="J136" s="80"/>
      <c r="K136" s="40"/>
      <c r="L136" s="40"/>
      <c r="M136" s="40"/>
      <c r="N136" s="40"/>
      <c r="O136" s="40"/>
      <c r="P136" s="37"/>
      <c r="Q136" s="37"/>
      <c r="R136" s="37"/>
    </row>
    <row r="137" spans="6:18" ht="15" customHeight="1">
      <c r="F137" s="37"/>
      <c r="G137" s="38"/>
      <c r="H137" s="37"/>
      <c r="I137" s="37"/>
      <c r="J137" s="80"/>
      <c r="K137" s="40"/>
      <c r="L137" s="40"/>
      <c r="M137" s="40"/>
      <c r="N137" s="40"/>
      <c r="O137" s="40"/>
      <c r="P137" s="37"/>
      <c r="Q137" s="37"/>
      <c r="R137" s="37"/>
    </row>
    <row r="138" spans="6:18" ht="15" customHeight="1">
      <c r="F138" s="37"/>
      <c r="G138" s="38"/>
      <c r="H138" s="37"/>
      <c r="I138" s="37"/>
      <c r="J138" s="80"/>
      <c r="K138" s="40"/>
      <c r="L138" s="40"/>
      <c r="M138" s="40"/>
      <c r="N138" s="40"/>
      <c r="O138" s="40"/>
      <c r="P138" s="37"/>
      <c r="Q138" s="37"/>
      <c r="R138" s="37"/>
    </row>
    <row r="139" spans="6:18" ht="15" customHeight="1">
      <c r="F139" s="37"/>
      <c r="G139" s="38"/>
      <c r="H139" s="37"/>
      <c r="I139" s="37"/>
      <c r="J139" s="80"/>
      <c r="K139" s="40"/>
      <c r="L139" s="40"/>
      <c r="M139" s="40"/>
      <c r="N139" s="40"/>
      <c r="O139" s="40"/>
      <c r="P139" s="37"/>
      <c r="Q139" s="37"/>
      <c r="R139" s="37"/>
    </row>
    <row r="140" spans="6:18" ht="15" customHeight="1">
      <c r="F140" s="37"/>
      <c r="G140" s="38"/>
      <c r="H140" s="37"/>
      <c r="I140" s="37"/>
      <c r="J140" s="80"/>
      <c r="K140" s="40"/>
      <c r="L140" s="40"/>
      <c r="M140" s="40"/>
      <c r="N140" s="40"/>
      <c r="O140" s="40"/>
      <c r="P140" s="37"/>
      <c r="Q140" s="37"/>
      <c r="R140" s="37"/>
    </row>
    <row r="141" spans="6:18" ht="15" customHeight="1">
      <c r="F141" s="37"/>
      <c r="G141" s="38"/>
      <c r="H141" s="37"/>
      <c r="I141" s="37"/>
      <c r="J141" s="80"/>
      <c r="K141" s="40"/>
      <c r="L141" s="40"/>
      <c r="M141" s="40"/>
      <c r="N141" s="40"/>
      <c r="O141" s="40"/>
      <c r="P141" s="37"/>
      <c r="Q141" s="37"/>
      <c r="R141" s="37"/>
    </row>
    <row r="142" spans="6:18" ht="15" customHeight="1">
      <c r="F142" s="37"/>
      <c r="G142" s="38"/>
      <c r="H142" s="37"/>
      <c r="I142" s="37"/>
      <c r="J142" s="80"/>
      <c r="K142" s="40"/>
      <c r="L142" s="40"/>
      <c r="M142" s="40"/>
      <c r="N142" s="40"/>
      <c r="O142" s="40"/>
      <c r="P142" s="37"/>
      <c r="Q142" s="37"/>
      <c r="R142" s="37"/>
    </row>
    <row r="143" spans="6:18" ht="15" customHeight="1">
      <c r="F143" s="37"/>
      <c r="G143" s="38"/>
      <c r="H143" s="37"/>
      <c r="I143" s="37"/>
      <c r="J143" s="80"/>
      <c r="K143" s="40"/>
      <c r="L143" s="40"/>
      <c r="M143" s="40"/>
      <c r="N143" s="40"/>
      <c r="O143" s="40"/>
      <c r="P143" s="37"/>
      <c r="Q143" s="37"/>
      <c r="R143" s="37"/>
    </row>
    <row r="144" spans="6:18" ht="15" customHeight="1">
      <c r="F144" s="37"/>
      <c r="G144" s="38"/>
      <c r="H144" s="37"/>
      <c r="I144" s="37"/>
      <c r="J144" s="80"/>
      <c r="K144" s="40"/>
      <c r="L144" s="40"/>
      <c r="M144" s="40"/>
      <c r="N144" s="40"/>
      <c r="O144" s="40"/>
      <c r="P144" s="37"/>
      <c r="Q144" s="37"/>
      <c r="R144" s="37"/>
    </row>
    <row r="145" spans="6:18" ht="15" customHeight="1">
      <c r="F145" s="37"/>
      <c r="G145" s="38"/>
      <c r="H145" s="37"/>
      <c r="I145" s="37"/>
      <c r="J145" s="80"/>
      <c r="K145" s="40"/>
      <c r="L145" s="40"/>
      <c r="M145" s="40"/>
      <c r="N145" s="40"/>
      <c r="O145" s="40"/>
      <c r="P145" s="37"/>
      <c r="Q145" s="37"/>
      <c r="R145" s="37"/>
    </row>
    <row r="146" spans="6:18" ht="15" customHeight="1">
      <c r="F146" s="37"/>
      <c r="G146" s="38"/>
      <c r="H146" s="37"/>
      <c r="I146" s="37"/>
      <c r="J146" s="80"/>
      <c r="K146" s="40"/>
      <c r="L146" s="40"/>
      <c r="M146" s="40"/>
      <c r="N146" s="40"/>
      <c r="O146" s="40"/>
      <c r="P146" s="37"/>
      <c r="Q146" s="37"/>
      <c r="R146" s="37"/>
    </row>
    <row r="147" spans="6:18" ht="15" customHeight="1">
      <c r="F147" s="37"/>
      <c r="G147" s="38"/>
      <c r="H147" s="37"/>
      <c r="I147" s="37"/>
      <c r="J147" s="80"/>
      <c r="K147" s="40"/>
      <c r="L147" s="40"/>
      <c r="M147" s="40"/>
      <c r="N147" s="40"/>
      <c r="O147" s="40"/>
      <c r="P147" s="37"/>
      <c r="Q147" s="37"/>
      <c r="R147" s="37"/>
    </row>
    <row r="148" spans="6:18" ht="15" customHeight="1">
      <c r="F148" s="37"/>
      <c r="G148" s="38"/>
      <c r="H148" s="37"/>
      <c r="I148" s="37"/>
      <c r="J148" s="80"/>
      <c r="K148" s="40"/>
      <c r="L148" s="40"/>
      <c r="M148" s="40"/>
      <c r="N148" s="40"/>
      <c r="O148" s="40"/>
      <c r="P148" s="37"/>
      <c r="Q148" s="37"/>
      <c r="R148" s="37"/>
    </row>
    <row r="149" spans="6:18" ht="15" customHeight="1">
      <c r="F149" s="37"/>
      <c r="G149" s="38"/>
      <c r="H149" s="37"/>
      <c r="I149" s="37"/>
      <c r="J149" s="80"/>
      <c r="K149" s="40"/>
      <c r="L149" s="40"/>
      <c r="M149" s="40"/>
      <c r="N149" s="40"/>
      <c r="O149" s="40"/>
      <c r="P149" s="37"/>
      <c r="Q149" s="37"/>
      <c r="R149" s="37"/>
    </row>
    <row r="150" spans="6:18" ht="15" customHeight="1">
      <c r="F150" s="37"/>
      <c r="G150" s="38"/>
      <c r="H150" s="37"/>
      <c r="I150" s="37"/>
      <c r="J150" s="80"/>
      <c r="K150" s="40"/>
      <c r="L150" s="40"/>
      <c r="M150" s="40"/>
      <c r="N150" s="40"/>
      <c r="O150" s="40"/>
      <c r="P150" s="37"/>
      <c r="Q150" s="37"/>
      <c r="R150" s="37"/>
    </row>
    <row r="151" spans="6:18" ht="15" customHeight="1">
      <c r="F151" s="37"/>
      <c r="G151" s="38"/>
      <c r="H151" s="37"/>
      <c r="I151" s="37"/>
      <c r="J151" s="80"/>
      <c r="K151" s="40"/>
      <c r="L151" s="40"/>
      <c r="M151" s="40"/>
      <c r="N151" s="40"/>
      <c r="O151" s="40"/>
      <c r="P151" s="37"/>
      <c r="Q151" s="37"/>
      <c r="R151" s="37"/>
    </row>
    <row r="152" spans="6:18" ht="15" customHeight="1">
      <c r="F152" s="37"/>
      <c r="G152" s="38"/>
      <c r="H152" s="37"/>
      <c r="I152" s="37"/>
      <c r="J152" s="80"/>
      <c r="K152" s="40"/>
      <c r="L152" s="40"/>
      <c r="M152" s="40"/>
      <c r="N152" s="40"/>
      <c r="O152" s="40"/>
      <c r="P152" s="37"/>
      <c r="Q152" s="37"/>
      <c r="R152" s="37"/>
    </row>
    <row r="153" spans="6:18" ht="15" customHeight="1">
      <c r="F153" s="37"/>
      <c r="G153" s="38"/>
      <c r="H153" s="37"/>
      <c r="I153" s="37"/>
      <c r="J153" s="80"/>
      <c r="K153" s="40"/>
      <c r="L153" s="40"/>
      <c r="M153" s="40"/>
      <c r="N153" s="40"/>
      <c r="O153" s="40"/>
      <c r="P153" s="37"/>
      <c r="Q153" s="37"/>
      <c r="R153" s="37"/>
    </row>
    <row r="154" spans="6:18" ht="15" customHeight="1">
      <c r="F154" s="37"/>
      <c r="G154" s="38"/>
      <c r="H154" s="37"/>
      <c r="I154" s="37"/>
      <c r="J154" s="80"/>
      <c r="K154" s="40"/>
      <c r="L154" s="40"/>
      <c r="M154" s="40"/>
      <c r="N154" s="40"/>
      <c r="O154" s="40"/>
      <c r="P154" s="37"/>
      <c r="Q154" s="37"/>
      <c r="R154" s="37"/>
    </row>
    <row r="155" spans="6:18" ht="15" customHeight="1">
      <c r="F155" s="37"/>
      <c r="G155" s="38"/>
      <c r="H155" s="37"/>
      <c r="I155" s="37"/>
      <c r="J155" s="80"/>
      <c r="K155" s="40"/>
      <c r="L155" s="40"/>
      <c r="M155" s="40"/>
      <c r="N155" s="40"/>
      <c r="O155" s="40"/>
      <c r="P155" s="37"/>
      <c r="Q155" s="37"/>
      <c r="R155" s="37"/>
    </row>
    <row r="156" spans="6:18" ht="15" customHeight="1">
      <c r="F156" s="37"/>
      <c r="G156" s="38"/>
      <c r="H156" s="37"/>
      <c r="I156" s="37"/>
      <c r="J156" s="80"/>
      <c r="K156" s="40"/>
      <c r="L156" s="40"/>
      <c r="M156" s="40"/>
      <c r="N156" s="40"/>
      <c r="O156" s="40"/>
      <c r="P156" s="37"/>
      <c r="Q156" s="37"/>
      <c r="R156" s="37"/>
    </row>
    <row r="157" spans="6:18" ht="15" customHeight="1">
      <c r="F157" s="37"/>
      <c r="G157" s="38"/>
      <c r="H157" s="37"/>
      <c r="I157" s="37"/>
      <c r="J157" s="80"/>
      <c r="K157" s="40"/>
      <c r="L157" s="40"/>
      <c r="M157" s="40"/>
      <c r="N157" s="40"/>
      <c r="O157" s="40"/>
      <c r="P157" s="37"/>
      <c r="Q157" s="37"/>
      <c r="R157" s="37"/>
    </row>
    <row r="158" spans="6:18" ht="15" customHeight="1">
      <c r="F158" s="37"/>
      <c r="G158" s="38"/>
      <c r="H158" s="37"/>
      <c r="I158" s="37"/>
      <c r="J158" s="80"/>
      <c r="K158" s="40"/>
      <c r="L158" s="40"/>
      <c r="M158" s="40"/>
      <c r="N158" s="40"/>
      <c r="O158" s="40"/>
      <c r="P158" s="37"/>
      <c r="Q158" s="37"/>
      <c r="R158" s="37"/>
    </row>
    <row r="159" spans="6:18" ht="15" customHeight="1">
      <c r="F159" s="37"/>
      <c r="G159" s="38"/>
      <c r="H159" s="37"/>
      <c r="I159" s="37"/>
      <c r="J159" s="80"/>
      <c r="K159" s="40"/>
      <c r="L159" s="40"/>
      <c r="M159" s="40"/>
      <c r="N159" s="40"/>
      <c r="O159" s="40"/>
      <c r="P159" s="37"/>
      <c r="Q159" s="37"/>
      <c r="R159" s="37"/>
    </row>
    <row r="160" spans="6:18" ht="15" customHeight="1">
      <c r="G160" s="38"/>
      <c r="H160" s="37"/>
      <c r="I160" s="37"/>
      <c r="J160" s="80"/>
      <c r="K160" s="40"/>
      <c r="L160" s="40"/>
      <c r="M160" s="40"/>
      <c r="N160" s="40"/>
      <c r="O160" s="40"/>
      <c r="P160" s="37"/>
      <c r="Q160" s="37"/>
      <c r="R160" s="37"/>
    </row>
    <row r="161" spans="7:18" ht="15" customHeight="1">
      <c r="G161" s="38"/>
      <c r="H161" s="37"/>
      <c r="I161" s="37"/>
      <c r="J161" s="80"/>
      <c r="K161" s="40"/>
      <c r="L161" s="40"/>
      <c r="M161" s="40"/>
      <c r="N161" s="40"/>
      <c r="O161" s="40"/>
      <c r="P161" s="37"/>
      <c r="Q161" s="37"/>
      <c r="R161" s="37"/>
    </row>
    <row r="162" spans="7:18" ht="15" customHeight="1">
      <c r="G162" s="38"/>
      <c r="H162" s="37"/>
      <c r="I162" s="37"/>
      <c r="J162" s="80"/>
      <c r="K162" s="40"/>
      <c r="L162" s="40"/>
      <c r="M162" s="40"/>
      <c r="N162" s="40"/>
      <c r="O162" s="40"/>
      <c r="P162" s="37"/>
      <c r="Q162" s="37"/>
      <c r="R162" s="37"/>
    </row>
    <row r="163" spans="7:18" ht="15" customHeight="1">
      <c r="G163" s="38"/>
      <c r="H163" s="37"/>
      <c r="I163" s="37"/>
      <c r="J163" s="80"/>
      <c r="K163" s="40"/>
      <c r="L163" s="40"/>
      <c r="M163" s="40"/>
      <c r="N163" s="40"/>
      <c r="O163" s="40"/>
      <c r="P163" s="37"/>
      <c r="Q163" s="37"/>
      <c r="R163" s="37"/>
    </row>
  </sheetData>
  <sheetProtection algorithmName="SHA-512" hashValue="KjuY36MPg83aqfsSE1eKkIRgNLcMYDemlCSEZBlRatmxRM2ebpJJZT/YEFtlTXPE31uKLek0b7vjGDjRx5bUHg==" saltValue="29GUH7NZLjgZH+Zk5xSsaA==" spinCount="100000" sheet="1" objects="1" scenarios="1" sort="0"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11"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M363"/>
  <sheetViews>
    <sheetView view="pageBreakPreview" zoomScaleNormal="40" zoomScaleSheetLayoutView="100" workbookViewId="0">
      <pane ySplit="4" topLeftCell="A5" activePane="bottomLeft" state="frozen"/>
      <selection activeCell="T6105" sqref="T6105"/>
      <selection pane="bottomLeft" activeCell="F285" sqref="F285:F294"/>
    </sheetView>
  </sheetViews>
  <sheetFormatPr defaultColWidth="10.28515625" defaultRowHeight="15" customHeight="1"/>
  <cols>
    <col min="1" max="1" width="7.85546875" style="31" customWidth="1"/>
    <col min="2" max="2" width="25" style="105" customWidth="1"/>
    <col min="3" max="3" width="12.28515625" style="105" bestFit="1" customWidth="1"/>
    <col min="4" max="4" width="10.140625" style="105" customWidth="1"/>
    <col min="5" max="5" width="14.28515625" style="105" customWidth="1"/>
    <col min="6" max="6" width="10.28515625" style="28" customWidth="1"/>
    <col min="7" max="7" width="13.42578125" style="31" bestFit="1" customWidth="1"/>
    <col min="8" max="8" width="11.140625" style="31" customWidth="1"/>
    <col min="9" max="9" width="32.140625" style="113" bestFit="1" customWidth="1"/>
    <col min="10" max="10" width="10" style="31" customWidth="1"/>
    <col min="11" max="11" width="23.140625" style="113" bestFit="1" customWidth="1"/>
    <col min="12" max="12" width="10" style="31" customWidth="1"/>
    <col min="13" max="13" width="19.140625" style="115" customWidth="1"/>
    <col min="14" max="14" width="14.5703125" style="115" bestFit="1" customWidth="1"/>
    <col min="15" max="16" width="13.85546875" style="116" customWidth="1"/>
    <col min="17" max="17" width="18.7109375" style="107" bestFit="1" customWidth="1"/>
    <col min="18" max="18" width="12" style="28" customWidth="1"/>
    <col min="19" max="19" width="12.42578125" style="30" customWidth="1"/>
    <col min="20" max="20" width="16.42578125" style="30" customWidth="1"/>
    <col min="21" max="21" width="16.42578125" style="117" customWidth="1"/>
    <col min="22" max="22" width="16.7109375" style="118" customWidth="1"/>
    <col min="23" max="23" width="17" style="119" bestFit="1" customWidth="1"/>
    <col min="24" max="24" width="16.42578125" style="120" customWidth="1"/>
    <col min="25" max="25" width="16.42578125" style="117" customWidth="1"/>
    <col min="26" max="26" width="16.42578125" style="118" customWidth="1"/>
    <col min="27" max="27" width="16.42578125" style="121" customWidth="1"/>
    <col min="28" max="29" width="16.42578125" style="28" customWidth="1"/>
    <col min="30" max="31" width="16.42578125" style="122" customWidth="1"/>
    <col min="32" max="32" width="16.42578125" style="32" customWidth="1"/>
    <col min="33" max="33" width="16.42578125" style="36" customWidth="1"/>
    <col min="34" max="34" width="2.5703125" style="36" customWidth="1"/>
    <col min="35" max="35" width="22.7109375" style="36" hidden="1" customWidth="1"/>
    <col min="36" max="36" width="4.42578125" style="88" customWidth="1"/>
    <col min="37" max="37" width="4.140625" style="88" customWidth="1"/>
    <col min="38" max="38" width="4.7109375" style="88" customWidth="1"/>
    <col min="39" max="39" width="4.140625" style="88" customWidth="1"/>
    <col min="40" max="40" width="4.28515625" style="88" customWidth="1"/>
    <col min="41" max="41" width="4.42578125" style="88" customWidth="1"/>
    <col min="42" max="42" width="3.5703125" style="88" customWidth="1"/>
    <col min="43" max="43" width="4.140625" style="88" customWidth="1"/>
    <col min="44" max="44" width="3.85546875" style="88" customWidth="1"/>
    <col min="45" max="46" width="4.140625" style="88" customWidth="1"/>
    <col min="47" max="47" width="4" style="88" customWidth="1"/>
    <col min="48" max="49" width="4.42578125" style="88" customWidth="1"/>
    <col min="50" max="50" width="4.140625" style="88" customWidth="1"/>
    <col min="51" max="51" width="3.85546875" style="88" customWidth="1"/>
    <col min="52" max="52" width="4" style="88" customWidth="1"/>
    <col min="53" max="53" width="3.42578125" style="88" customWidth="1"/>
    <col min="54" max="54" width="4" style="88" customWidth="1"/>
    <col min="55" max="55" width="2.28515625" style="89" customWidth="1"/>
    <col min="56" max="56" width="10.85546875" style="36" hidden="1" customWidth="1"/>
    <col min="57" max="57" width="3.7109375" style="88" customWidth="1"/>
    <col min="58" max="58" width="3.28515625" style="88" customWidth="1"/>
    <col min="59" max="59" width="3.42578125" style="88" customWidth="1"/>
    <col min="60" max="60" width="3.85546875" style="88" customWidth="1"/>
    <col min="61" max="61" width="3.42578125" style="88" customWidth="1"/>
    <col min="62" max="62" width="3.28515625" style="88" customWidth="1"/>
    <col min="63" max="63" width="3.140625" style="88" customWidth="1"/>
    <col min="64" max="64" width="4.140625" style="88" customWidth="1"/>
    <col min="65" max="65" width="3.5703125" style="88" customWidth="1"/>
    <col min="66" max="66" width="3.85546875" style="88" customWidth="1"/>
    <col min="67" max="67" width="3.28515625" style="88" customWidth="1"/>
    <col min="68" max="68" width="3.7109375" style="88" customWidth="1"/>
    <col min="69" max="69" width="3.5703125" style="88" customWidth="1"/>
    <col min="70" max="70" width="3.42578125" style="88" customWidth="1"/>
    <col min="71" max="73" width="3.28515625" style="88" customWidth="1"/>
    <col min="74" max="74" width="3.42578125" style="88" customWidth="1"/>
    <col min="75" max="75" width="3.85546875" style="88" customWidth="1"/>
    <col min="76" max="220" width="10.28515625" style="36"/>
    <col min="221" max="16384" width="10.28515625" style="28"/>
  </cols>
  <sheetData>
    <row r="1" spans="1:221" ht="15" customHeight="1">
      <c r="A1" s="337" t="s">
        <v>161</v>
      </c>
      <c r="B1" s="337"/>
      <c r="C1" s="337"/>
      <c r="D1" s="337"/>
      <c r="E1" s="337"/>
      <c r="F1" s="337"/>
      <c r="G1" s="337"/>
      <c r="H1" s="337"/>
      <c r="I1" s="337"/>
      <c r="J1" s="337"/>
      <c r="K1" s="337"/>
      <c r="L1" s="337"/>
      <c r="M1" s="337"/>
      <c r="N1" s="337"/>
      <c r="O1" s="337"/>
      <c r="P1" s="337"/>
      <c r="Q1" s="337"/>
      <c r="R1" s="332"/>
      <c r="S1" s="332"/>
      <c r="T1" s="332"/>
      <c r="U1" s="332"/>
      <c r="V1" s="332"/>
      <c r="W1" s="332"/>
      <c r="X1" s="332"/>
      <c r="Y1" s="332"/>
      <c r="Z1" s="332"/>
      <c r="AA1" s="332"/>
      <c r="AB1" s="332"/>
      <c r="AC1" s="332"/>
      <c r="AD1" s="332"/>
      <c r="AE1" s="332"/>
      <c r="AF1" s="332"/>
      <c r="AG1" s="332"/>
      <c r="AH1" s="27"/>
      <c r="AI1" s="27"/>
      <c r="BD1" s="27"/>
    </row>
    <row r="2" spans="1:221" ht="15" customHeight="1">
      <c r="A2" s="58"/>
      <c r="B2" s="90"/>
      <c r="C2" s="90"/>
      <c r="D2" s="90"/>
      <c r="E2" s="90"/>
      <c r="F2" s="36"/>
      <c r="G2" s="58"/>
      <c r="H2" s="58"/>
      <c r="I2" s="91"/>
      <c r="J2" s="92"/>
      <c r="K2" s="93"/>
      <c r="L2" s="58"/>
      <c r="M2" s="94"/>
      <c r="N2" s="94"/>
      <c r="O2" s="95"/>
      <c r="P2" s="95"/>
      <c r="Q2" s="96"/>
      <c r="R2" s="36"/>
      <c r="S2" s="97"/>
      <c r="T2" s="36"/>
      <c r="U2" s="36"/>
      <c r="V2" s="36"/>
      <c r="W2" s="98"/>
      <c r="X2" s="60"/>
      <c r="Y2" s="36"/>
      <c r="Z2" s="36"/>
      <c r="AA2" s="36"/>
      <c r="AB2" s="36"/>
      <c r="AC2" s="36"/>
      <c r="AD2" s="36"/>
      <c r="AE2" s="36"/>
      <c r="AF2" s="36"/>
      <c r="AJ2" s="347" t="s">
        <v>254</v>
      </c>
      <c r="AK2" s="347"/>
      <c r="AL2" s="347"/>
      <c r="AM2" s="347"/>
      <c r="AN2" s="347"/>
      <c r="AO2" s="347"/>
      <c r="AP2" s="347"/>
      <c r="AQ2" s="347"/>
      <c r="AR2" s="347"/>
      <c r="AS2" s="347"/>
      <c r="AT2" s="347"/>
      <c r="AU2" s="347"/>
      <c r="AV2" s="347"/>
      <c r="AW2" s="347"/>
      <c r="AX2" s="347"/>
      <c r="AY2" s="347"/>
      <c r="AZ2" s="347"/>
      <c r="BA2" s="347"/>
      <c r="BB2" s="347"/>
      <c r="BE2" s="348" t="s">
        <v>255</v>
      </c>
      <c r="BF2" s="348"/>
      <c r="BG2" s="348"/>
      <c r="BH2" s="348"/>
      <c r="BI2" s="348"/>
      <c r="BJ2" s="348"/>
      <c r="BK2" s="348"/>
      <c r="BL2" s="348"/>
      <c r="BM2" s="348"/>
      <c r="BN2" s="348"/>
      <c r="BO2" s="348"/>
      <c r="BP2" s="348"/>
      <c r="BQ2" s="348"/>
      <c r="BR2" s="348"/>
      <c r="BS2" s="348"/>
      <c r="BT2" s="348"/>
      <c r="BU2" s="348"/>
      <c r="BV2" s="348"/>
      <c r="BW2" s="348"/>
    </row>
    <row r="3" spans="1:221" s="36" customFormat="1" ht="15" customHeight="1">
      <c r="A3" s="58"/>
      <c r="B3" s="90"/>
      <c r="C3" s="90"/>
      <c r="D3" s="90"/>
      <c r="E3" s="90"/>
      <c r="G3" s="58"/>
      <c r="H3" s="58"/>
      <c r="I3" s="99"/>
      <c r="J3" s="58"/>
      <c r="K3" s="99"/>
      <c r="L3" s="58"/>
      <c r="M3" s="94"/>
      <c r="N3" s="94"/>
      <c r="O3" s="95"/>
      <c r="P3" s="95"/>
      <c r="Q3" s="96"/>
      <c r="S3" s="338" t="s">
        <v>223</v>
      </c>
      <c r="T3" s="339"/>
      <c r="U3" s="339"/>
      <c r="V3" s="339"/>
      <c r="W3" s="339"/>
      <c r="X3" s="340"/>
      <c r="Y3" s="341" t="s">
        <v>224</v>
      </c>
      <c r="Z3" s="342"/>
      <c r="AA3" s="342"/>
      <c r="AB3" s="342"/>
      <c r="AC3" s="342"/>
      <c r="AD3" s="343"/>
      <c r="AE3" s="344" t="s">
        <v>225</v>
      </c>
      <c r="AF3" s="345"/>
      <c r="AG3" s="346"/>
      <c r="AH3" s="100"/>
      <c r="AI3" s="100"/>
      <c r="AJ3" s="329" t="s">
        <v>256</v>
      </c>
      <c r="AK3" s="329"/>
      <c r="AL3" s="329"/>
      <c r="AM3" s="329"/>
      <c r="AN3" s="329"/>
      <c r="AO3" s="329"/>
      <c r="AP3" s="329"/>
      <c r="AQ3" s="329"/>
      <c r="AR3" s="330" t="s">
        <v>257</v>
      </c>
      <c r="AS3" s="330"/>
      <c r="AT3" s="330"/>
      <c r="AU3" s="330"/>
      <c r="AV3" s="330"/>
      <c r="AW3" s="330"/>
      <c r="AX3" s="330"/>
      <c r="AY3" s="330"/>
      <c r="AZ3" s="349" t="s">
        <v>258</v>
      </c>
      <c r="BA3" s="349"/>
      <c r="BB3" s="349"/>
      <c r="BC3" s="101"/>
      <c r="BD3" s="100"/>
      <c r="BE3" s="329" t="s">
        <v>256</v>
      </c>
      <c r="BF3" s="329"/>
      <c r="BG3" s="329"/>
      <c r="BH3" s="329"/>
      <c r="BI3" s="329"/>
      <c r="BJ3" s="329"/>
      <c r="BK3" s="329"/>
      <c r="BL3" s="329"/>
      <c r="BM3" s="330" t="s">
        <v>257</v>
      </c>
      <c r="BN3" s="330"/>
      <c r="BO3" s="330"/>
      <c r="BP3" s="330"/>
      <c r="BQ3" s="330"/>
      <c r="BR3" s="330"/>
      <c r="BS3" s="330"/>
      <c r="BT3" s="330"/>
      <c r="BU3" s="349" t="s">
        <v>258</v>
      </c>
      <c r="BV3" s="349"/>
      <c r="BW3" s="349"/>
    </row>
    <row r="4" spans="1:221" s="29" customFormat="1" ht="46.5" customHeight="1">
      <c r="A4" s="210" t="s">
        <v>33</v>
      </c>
      <c r="B4" s="210" t="s">
        <v>122</v>
      </c>
      <c r="C4" s="210" t="s">
        <v>1283</v>
      </c>
      <c r="D4" s="210" t="s">
        <v>1284</v>
      </c>
      <c r="E4" s="210" t="s">
        <v>1285</v>
      </c>
      <c r="F4" s="210" t="s">
        <v>30</v>
      </c>
      <c r="G4" s="210" t="s">
        <v>111</v>
      </c>
      <c r="H4" s="210" t="s">
        <v>248</v>
      </c>
      <c r="I4" s="210" t="s">
        <v>96</v>
      </c>
      <c r="J4" s="210" t="s">
        <v>23</v>
      </c>
      <c r="K4" s="210" t="s">
        <v>112</v>
      </c>
      <c r="L4" s="210" t="s">
        <v>113</v>
      </c>
      <c r="M4" s="210" t="s">
        <v>37</v>
      </c>
      <c r="N4" s="210" t="s">
        <v>31</v>
      </c>
      <c r="O4" s="210" t="s">
        <v>124</v>
      </c>
      <c r="P4" s="210" t="s">
        <v>1973</v>
      </c>
      <c r="Q4" s="210" t="s">
        <v>63</v>
      </c>
      <c r="R4" s="210" t="s">
        <v>116</v>
      </c>
      <c r="S4" s="210" t="s">
        <v>114</v>
      </c>
      <c r="T4" s="210" t="s">
        <v>127</v>
      </c>
      <c r="U4" s="210" t="s">
        <v>128</v>
      </c>
      <c r="V4" s="210" t="s">
        <v>129</v>
      </c>
      <c r="W4" s="210" t="s">
        <v>125</v>
      </c>
      <c r="X4" s="210" t="s">
        <v>126</v>
      </c>
      <c r="Y4" s="210" t="s">
        <v>115</v>
      </c>
      <c r="Z4" s="210" t="s">
        <v>134</v>
      </c>
      <c r="AA4" s="210" t="s">
        <v>130</v>
      </c>
      <c r="AB4" s="210" t="s">
        <v>131</v>
      </c>
      <c r="AC4" s="210" t="s">
        <v>132</v>
      </c>
      <c r="AD4" s="210" t="s">
        <v>133</v>
      </c>
      <c r="AE4" s="210" t="s">
        <v>118</v>
      </c>
      <c r="AF4" s="210" t="s">
        <v>35</v>
      </c>
      <c r="AG4" s="210" t="s">
        <v>1261</v>
      </c>
      <c r="AH4" s="210" t="s">
        <v>194</v>
      </c>
      <c r="AI4" s="210" t="s">
        <v>1244</v>
      </c>
      <c r="AJ4" s="210" t="s">
        <v>259</v>
      </c>
      <c r="AK4" s="210" t="s">
        <v>260</v>
      </c>
      <c r="AL4" s="210" t="s">
        <v>261</v>
      </c>
      <c r="AM4" s="210" t="s">
        <v>262</v>
      </c>
      <c r="AN4" s="210" t="s">
        <v>263</v>
      </c>
      <c r="AO4" s="210" t="s">
        <v>264</v>
      </c>
      <c r="AP4" s="210" t="s">
        <v>265</v>
      </c>
      <c r="AQ4" s="210" t="s">
        <v>266</v>
      </c>
      <c r="AR4" s="210" t="s">
        <v>267</v>
      </c>
      <c r="AS4" s="210" t="s">
        <v>268</v>
      </c>
      <c r="AT4" s="210" t="s">
        <v>269</v>
      </c>
      <c r="AU4" s="210" t="s">
        <v>270</v>
      </c>
      <c r="AV4" s="210" t="s">
        <v>271</v>
      </c>
      <c r="AW4" s="210" t="s">
        <v>272</v>
      </c>
      <c r="AX4" s="210" t="s">
        <v>273</v>
      </c>
      <c r="AY4" s="210" t="s">
        <v>274</v>
      </c>
      <c r="AZ4" s="210" t="s">
        <v>275</v>
      </c>
      <c r="BA4" s="210" t="s">
        <v>276</v>
      </c>
      <c r="BB4" s="210" t="s">
        <v>277</v>
      </c>
      <c r="BC4" s="210" t="s">
        <v>166</v>
      </c>
      <c r="BD4" s="210" t="s">
        <v>278</v>
      </c>
      <c r="BE4" s="210" t="s">
        <v>1589</v>
      </c>
      <c r="BF4" s="210" t="s">
        <v>1590</v>
      </c>
      <c r="BG4" s="210" t="s">
        <v>1591</v>
      </c>
      <c r="BH4" s="210" t="s">
        <v>1592</v>
      </c>
      <c r="BI4" s="210" t="s">
        <v>1593</v>
      </c>
      <c r="BJ4" s="210" t="s">
        <v>1594</v>
      </c>
      <c r="BK4" s="210" t="s">
        <v>1595</v>
      </c>
      <c r="BL4" s="210" t="s">
        <v>1596</v>
      </c>
      <c r="BM4" s="210" t="s">
        <v>1597</v>
      </c>
      <c r="BN4" s="210" t="s">
        <v>1598</v>
      </c>
      <c r="BO4" s="210" t="s">
        <v>1599</v>
      </c>
      <c r="BP4" s="210" t="s">
        <v>1600</v>
      </c>
      <c r="BQ4" s="210" t="s">
        <v>1601</v>
      </c>
      <c r="BR4" s="210" t="s">
        <v>1602</v>
      </c>
      <c r="BS4" s="210" t="s">
        <v>1603</v>
      </c>
      <c r="BT4" s="210" t="s">
        <v>1604</v>
      </c>
      <c r="BU4" s="210" t="s">
        <v>1605</v>
      </c>
      <c r="BV4" s="210" t="s">
        <v>1606</v>
      </c>
      <c r="BW4" s="210" t="s">
        <v>1607</v>
      </c>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row>
    <row r="5" spans="1:221" s="29" customFormat="1" ht="15" customHeight="1">
      <c r="A5" s="73">
        <v>1</v>
      </c>
      <c r="B5" s="105" t="str">
        <f>VLOOKUP(Ruimtestaat[[#This Row],[Code]],Locaties[[Code]:[Locatie]],2,FALSE)</f>
        <v>IKC Kameleon</v>
      </c>
      <c r="C5" s="105" t="str">
        <f>VLOOKUP(Ruimtestaat[[#This Row],[Code]],Locaties[[#All],[Code]:[Adres]],4,FALSE)</f>
        <v>Mondriaanstraat 15</v>
      </c>
      <c r="D5" s="105" t="str">
        <f>VLOOKUP(Ruimtestaat[[#This Row],[Code]],Locaties[[#All],[Code]:[Postcode]],5,FALSE)</f>
        <v>6921 MJ</v>
      </c>
      <c r="E5" s="105" t="str">
        <f>VLOOKUP(Ruimtestaat[[#This Row],[Code]],Locaties[#All],6,FALSE)</f>
        <v>Duiven</v>
      </c>
      <c r="F5" s="73"/>
      <c r="G5" s="73" t="s">
        <v>1645</v>
      </c>
      <c r="H5" s="272"/>
      <c r="I5" s="273" t="s">
        <v>1646</v>
      </c>
      <c r="J5" s="73">
        <v>7</v>
      </c>
      <c r="K5" s="102" t="str">
        <f>VLOOKUP(Ruimtestaat[[#This Row],[Ruimte code]],Ruimtegroepen[[#All],[Code]:[Ruimte omschrijving]],2,FALSE)</f>
        <v>Entree</v>
      </c>
      <c r="L5" s="73" t="s">
        <v>99</v>
      </c>
      <c r="M5" s="273" t="s">
        <v>1978</v>
      </c>
      <c r="N5" s="106">
        <v>6.4</v>
      </c>
      <c r="O5" s="73"/>
      <c r="P5" s="73"/>
      <c r="Q5" s="107" t="str">
        <f>VLOOKUP(Ruimtestaat[[#This Row],[Ruimte code]],Ruimtegroepen[],4,FALSE)</f>
        <v>Ve</v>
      </c>
      <c r="R5" s="73">
        <v>40</v>
      </c>
      <c r="S5" s="73" t="s">
        <v>2</v>
      </c>
      <c r="T5" s="73">
        <f>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 s="73">
        <f>IF(T5&gt;0,VLOOKUP($J5,Ruimtegroepen[],3,FALSE)*VLOOKUP($L5,Vloersoorten[],3,FALSE)*VLOOKUP($S5,Frequenties[],3,FALSE)*VLOOKUP($A5,Locaties[],3,FALSE),0)</f>
        <v>0</v>
      </c>
      <c r="V5" s="73">
        <f>Ruimtestaat[[#This Row],[Uitvoeringen werkdagen]]*Ruimtestaat[[#This Row],[Oppervlak (netto)]]</f>
        <v>1280</v>
      </c>
      <c r="W5" s="108">
        <f>IF(U5&gt;0,Ruimtestaat[[#This Row],[Prest. (m2 /jaar) werkdagen]]/Ruimtestaat[[#This Row],[Norm (m2/uur) werkdagen]],0)</f>
        <v>0</v>
      </c>
      <c r="X5" s="109">
        <f>Ruimtestaat[[#This Row],[uren / jaar werkdagen]]*Tariefsopbouw!$E$35</f>
        <v>0</v>
      </c>
      <c r="Y5" s="73"/>
      <c r="Z5" s="73">
        <f>IF(Ruimtestaat[[#This Row],[Frequentie weekend]]&gt;0,VALUE(LEFT(Y5,1))*R5,0)</f>
        <v>0</v>
      </c>
      <c r="AA5" s="72">
        <f>IF($Z5&gt;0,VLOOKUP($J5,Ruimtegroepen[],3,FALSE)*VLOOKUP($L5,Vloersoorten[],3,FALSE)*VLOOKUP($Y5,Frequenties[],3,FALSE)*VLOOKUP(Ruimtestaat[[#This Row],[Code]],Locaties[],3,FALSE),0)</f>
        <v>0</v>
      </c>
      <c r="AB5" s="72">
        <f>Ruimtestaat[[#This Row],[Uitvoeringen weekend]]*Ruimtestaat[[#This Row],[Oppervlak (netto)]]</f>
        <v>0</v>
      </c>
      <c r="AC5" s="72">
        <f>IF(AA5&gt;0,Ruimtestaat[[#This Row],[Prest. (m2 /jaar) weekend]]/Ruimtestaat[[#This Row],[Norm (m2/uur) weekend]],0)</f>
        <v>0</v>
      </c>
      <c r="AD5" s="109">
        <f>Ruimtestaat[[#This Row],[uren / jaar weekend]]*Tariefsopbouw!$D$40</f>
        <v>0</v>
      </c>
      <c r="AE5" s="108">
        <f>Ruimtestaat[[#This Row],[Prest. (m2 /jaar) weekend]]+Ruimtestaat[[#This Row],[Prest. (m2 /jaar) werkdagen]]</f>
        <v>1280</v>
      </c>
      <c r="AF5" s="108">
        <f>Ruimtestaat[[#This Row],[uren / jaar weekend]]+Ruimtestaat[[#This Row],[uren / jaar werkdagen]]</f>
        <v>0</v>
      </c>
      <c r="AG5" s="103">
        <f>Ruimtestaat[[#This Row],[kosten / jaar weekend]]+Ruimtestaat[[#This Row],[kosten / jaar werkdagen]]</f>
        <v>0</v>
      </c>
      <c r="AH5" s="103"/>
      <c r="AI5" s="110" t="str">
        <f>IF(Ruimtestaat[[#This Row],[Frequentie werkdagen]]="","",_xlfn.CONCAT(Ruimtestaat[[#This Row],[Ruimte code]],"-",Ruimtestaat[[#This Row],[Frequentie werkdagen]]," ",Ruimtestaat[[#This Row],[Vloer code]]))</f>
        <v>7-5w T</v>
      </c>
      <c r="AJ5" s="114" t="str">
        <f>_xlfn.IFNA(VLOOKUP($AI5,Programma!$F$3:$G$1101,2,0),"")</f>
        <v>_</v>
      </c>
      <c r="AK5" s="114" t="str">
        <f>_xlfn.IFNA(VLOOKUP($AI5,Programma!$F$3:$H$1101,3,0),"")</f>
        <v>5w</v>
      </c>
      <c r="AL5" s="114" t="str">
        <f>_xlfn.IFNA(VLOOKUP($AI5,Programma!$F$3:$I$1101,4,0),"")</f>
        <v>_</v>
      </c>
      <c r="AM5" s="114" t="str">
        <f>_xlfn.IFNA(VLOOKUP($AI5,Programma!$F$3:$J$1101,5,0),"")</f>
        <v>_</v>
      </c>
      <c r="AN5" s="114" t="str">
        <f>_xlfn.IFNA(VLOOKUP($AI5,Programma!$F$3:$K$1101,6,0),"")</f>
        <v>_</v>
      </c>
      <c r="AO5" s="114" t="str">
        <f>_xlfn.IFNA(VLOOKUP($AI5,Programma!$F$3:$L$1101,7,0),"")</f>
        <v>_</v>
      </c>
      <c r="AP5" s="114" t="str">
        <f>_xlfn.IFNA(VLOOKUP($AI5,Programma!$F$3:$M$1101,8,0),"")</f>
        <v>_</v>
      </c>
      <c r="AQ5" s="114" t="str">
        <f>_xlfn.IFNA(VLOOKUP($AI5,Programma!$F$3:$N$1101,9,0),"")</f>
        <v>_</v>
      </c>
      <c r="AR5" s="114" t="str">
        <f>_xlfn.IFNA(VLOOKUP($AI5,Programma!$F$3:$O$1101,10,0),"")</f>
        <v>5w</v>
      </c>
      <c r="AS5" s="114" t="str">
        <f>_xlfn.IFNA(VLOOKUP($AI5,Programma!$F$3:$P$1101,11,0),"")</f>
        <v>5w</v>
      </c>
      <c r="AT5" s="114" t="str">
        <f>_xlfn.IFNA(VLOOKUP($AI5,Programma!$F$3:$Q$1101,12,0),"")</f>
        <v>1w</v>
      </c>
      <c r="AU5" s="114" t="str">
        <f>_xlfn.IFNA(VLOOKUP($AI5,Programma!$F$3:$R$1101,13,0),"")</f>
        <v>1w</v>
      </c>
      <c r="AV5" s="114" t="str">
        <f>_xlfn.IFNA(VLOOKUP($AI5,Programma!$F$3:$S$1101,14,0),"")</f>
        <v>1m</v>
      </c>
      <c r="AW5" s="114" t="str">
        <f>_xlfn.IFNA(VLOOKUP($AI5,Programma!$F$3:$T$1101,15,0),"")</f>
        <v>2j</v>
      </c>
      <c r="AX5" s="114" t="str">
        <f>_xlfn.IFNA(VLOOKUP($AI5,Programma!$F$3:$U$1101,16,0),"")</f>
        <v>1j</v>
      </c>
      <c r="AY5" s="114" t="str">
        <f>_xlfn.IFNA(VLOOKUP($AI5,Programma!$F$3:$V$1101,17,0),"")</f>
        <v>_</v>
      </c>
      <c r="AZ5" s="114" t="str">
        <f>_xlfn.IFNA(VLOOKUP($AI5,Programma!$F$3:$W$1101,18,0),"")</f>
        <v>_</v>
      </c>
      <c r="BA5" s="114" t="str">
        <f>_xlfn.IFNA(VLOOKUP($AI5,Programma!$F$3:$X$1101,19,0),"")</f>
        <v>_</v>
      </c>
      <c r="BB5" s="114" t="str">
        <f>_xlfn.IFNA(VLOOKUP($AI5,Programma!$F$3:$Y$1101,20,0),"")</f>
        <v>_</v>
      </c>
      <c r="BC5" s="111"/>
      <c r="BD5" s="110" t="str">
        <f>IF(Ruimtestaat[[#This Row],[Frequentie weekend]]="","",_xlfn.CONCAT(Ruimtestaat[[#This Row],[Ruimte code]],"-",Ruimtestaat[[#This Row],[Frequentie weekend]]," ",Ruimtestaat[[#This Row],[Vloer code]]))</f>
        <v/>
      </c>
      <c r="BE5" s="114" t="str">
        <f>_xlfn.IFNA(VLOOKUP($BD5,Programma!$F$3:$G$1101,2,0),"")</f>
        <v/>
      </c>
      <c r="BF5" s="114" t="str">
        <f>_xlfn.IFNA(VLOOKUP($BD5,Programma!$F$3:$H$1101,3,0),"")</f>
        <v/>
      </c>
      <c r="BG5" s="114" t="str">
        <f>_xlfn.IFNA(VLOOKUP($BD5,Programma!$F$3:$I$1101,4,0),"")</f>
        <v/>
      </c>
      <c r="BH5" s="114" t="str">
        <f>_xlfn.IFNA(VLOOKUP($BD5,Programma!$F$3:$J$1101,5,0),"")</f>
        <v/>
      </c>
      <c r="BI5" s="114" t="str">
        <f>_xlfn.IFNA(VLOOKUP($BD5,Programma!$F$3:$K$1101,6,0),"")</f>
        <v/>
      </c>
      <c r="BJ5" s="114" t="str">
        <f>_xlfn.IFNA(VLOOKUP($BD5,Programma!$F$3:$L$1101,7,0),"")</f>
        <v/>
      </c>
      <c r="BK5" s="114" t="str">
        <f>_xlfn.IFNA(VLOOKUP($BD5,Programma!$F$3:$M$1101,8,0),"")</f>
        <v/>
      </c>
      <c r="BL5" s="114" t="str">
        <f>_xlfn.IFNA(VLOOKUP($BD5,Programma!$F$3:$N$1101,9,0),"")</f>
        <v/>
      </c>
      <c r="BM5" s="114" t="str">
        <f>_xlfn.IFNA(VLOOKUP($BD5,Programma!$F$3:$O$1101,10,0),"")</f>
        <v/>
      </c>
      <c r="BN5" s="114" t="str">
        <f>_xlfn.IFNA(VLOOKUP($BD5,Programma!$F$3:$P$1101,11,0),"")</f>
        <v/>
      </c>
      <c r="BO5" s="114" t="str">
        <f>_xlfn.IFNA(VLOOKUP($BD5,Programma!$F$3:$Q$1101,12,0),"")</f>
        <v/>
      </c>
      <c r="BP5" s="114" t="str">
        <f>_xlfn.IFNA(VLOOKUP($BD5,Programma!$F$3:$R$1101,13,0),"")</f>
        <v/>
      </c>
      <c r="BQ5" s="114" t="str">
        <f>_xlfn.IFNA(VLOOKUP($BD5,Programma!$F$3:$S$1101,14,0),"")</f>
        <v/>
      </c>
      <c r="BR5" s="114" t="str">
        <f>_xlfn.IFNA(VLOOKUP($BD5,Programma!$F$3:$T$1101,15,0),"")</f>
        <v/>
      </c>
      <c r="BS5" s="114" t="str">
        <f>_xlfn.IFNA(VLOOKUP($BD5,Programma!$F$3:$U$1101,16,0),"")</f>
        <v/>
      </c>
      <c r="BT5" s="114" t="str">
        <f>_xlfn.IFNA(VLOOKUP($BD5,Programma!$F$3:$V$1101,17,0),"")</f>
        <v/>
      </c>
      <c r="BU5" s="114" t="str">
        <f>_xlfn.IFNA(VLOOKUP($BD5,Programma!$F$3:$W$1101,18,0),"")</f>
        <v/>
      </c>
      <c r="BV5" s="114" t="str">
        <f>_xlfn.IFNA(VLOOKUP($BD5,Programma!$F$3:$X$1101,19,0),"")</f>
        <v/>
      </c>
      <c r="BW5" s="114" t="str">
        <f>_xlfn.IFNA(VLOOKUP($BD5,Programma!$F$3:$Y$1101,20,0),"")</f>
        <v/>
      </c>
    </row>
    <row r="6" spans="1:221" s="29" customFormat="1" ht="15" customHeight="1">
      <c r="A6" s="73">
        <v>1</v>
      </c>
      <c r="B6" s="105" t="str">
        <f>VLOOKUP(Ruimtestaat[[#This Row],[Code]],Locaties[[Code]:[Locatie]],2,FALSE)</f>
        <v>IKC Kameleon</v>
      </c>
      <c r="C6" s="105" t="str">
        <f>VLOOKUP(Ruimtestaat[[#This Row],[Code]],Locaties[[#All],[Code]:[Adres]],4,FALSE)</f>
        <v>Mondriaanstraat 15</v>
      </c>
      <c r="D6" s="105" t="str">
        <f>VLOOKUP(Ruimtestaat[[#This Row],[Code]],Locaties[[#All],[Code]:[Postcode]],5,FALSE)</f>
        <v>6921 MJ</v>
      </c>
      <c r="E6" s="105" t="str">
        <f>VLOOKUP(Ruimtestaat[[#This Row],[Code]],Locaties[#All],6,FALSE)</f>
        <v>Duiven</v>
      </c>
      <c r="F6" s="73"/>
      <c r="G6" s="73" t="s">
        <v>1645</v>
      </c>
      <c r="H6" s="272"/>
      <c r="I6" s="273" t="s">
        <v>1738</v>
      </c>
      <c r="J6" s="73">
        <v>6</v>
      </c>
      <c r="K6" s="102" t="str">
        <f>VLOOKUP(Ruimtestaat[[#This Row],[Ruimte code]],Ruimtegroepen[[#All],[Code]:[Ruimte omschrijving]],2,FALSE)</f>
        <v>Gangen/hallen</v>
      </c>
      <c r="L6" s="73" t="s">
        <v>99</v>
      </c>
      <c r="M6" s="273" t="s">
        <v>36</v>
      </c>
      <c r="N6" s="106">
        <v>120</v>
      </c>
      <c r="O6" s="112"/>
      <c r="P6" s="112"/>
      <c r="Q6" s="107" t="str">
        <f>VLOOKUP(Ruimtestaat[[#This Row],[Ruimte code]],Ruimtegroepen[],4,FALSE)</f>
        <v>Ve</v>
      </c>
      <c r="R6" s="73">
        <v>40</v>
      </c>
      <c r="S6" s="73" t="s">
        <v>2</v>
      </c>
      <c r="T6" s="73">
        <f>IF(R6&gt;0,IF(RIGHT(Ruimtestaat[[#This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 s="73">
        <f>IF(T6&gt;0,VLOOKUP($J6,Ruimtegroepen[],3,FALSE)*VLOOKUP($L6,Vloersoorten[],3,FALSE)*VLOOKUP($S6,Frequenties[],3,FALSE)*VLOOKUP($A6,Locaties[],3,FALSE),0)</f>
        <v>0</v>
      </c>
      <c r="V6" s="73">
        <f>Ruimtestaat[[#This Row],[Uitvoeringen werkdagen]]*Ruimtestaat[[#This Row],[Oppervlak (netto)]]</f>
        <v>24000</v>
      </c>
      <c r="W6" s="108">
        <f>IF(U6&gt;0,Ruimtestaat[[#This Row],[Prest. (m2 /jaar) werkdagen]]/Ruimtestaat[[#This Row],[Norm (m2/uur) werkdagen]],0)</f>
        <v>0</v>
      </c>
      <c r="X6" s="109">
        <f>Ruimtestaat[[#This Row],[uren / jaar werkdagen]]*Tariefsopbouw!$E$35</f>
        <v>0</v>
      </c>
      <c r="Y6" s="73"/>
      <c r="Z6" s="73">
        <f>IF(Ruimtestaat[[#This Row],[Frequentie weekend]]&gt;0,VALUE(LEFT(Y6,1))*R6,0)</f>
        <v>0</v>
      </c>
      <c r="AA6" s="72">
        <f>IF($Z6&gt;0,VLOOKUP($J6,Ruimtegroepen[],3,FALSE)*VLOOKUP($L6,Vloersoorten[],3,FALSE)*VLOOKUP($Y6,Frequenties[],3,FALSE)*VLOOKUP(Ruimtestaat[[#This Row],[Code]],Locaties[],3,FALSE),0)</f>
        <v>0</v>
      </c>
      <c r="AB6" s="72">
        <f>Ruimtestaat[[#This Row],[Uitvoeringen weekend]]*Ruimtestaat[[#This Row],[Oppervlak (netto)]]</f>
        <v>0</v>
      </c>
      <c r="AC6" s="72">
        <f>IF(AA6&gt;0,Ruimtestaat[[#This Row],[Prest. (m2 /jaar) weekend]]/Ruimtestaat[[#This Row],[Norm (m2/uur) weekend]],0)</f>
        <v>0</v>
      </c>
      <c r="AD6" s="109">
        <f>Ruimtestaat[[#This Row],[uren / jaar weekend]]*Tariefsopbouw!$D$40</f>
        <v>0</v>
      </c>
      <c r="AE6" s="108">
        <f>Ruimtestaat[[#This Row],[Prest. (m2 /jaar) weekend]]+Ruimtestaat[[#This Row],[Prest. (m2 /jaar) werkdagen]]</f>
        <v>24000</v>
      </c>
      <c r="AF6" s="108">
        <f>Ruimtestaat[[#This Row],[uren / jaar weekend]]+Ruimtestaat[[#This Row],[uren / jaar werkdagen]]</f>
        <v>0</v>
      </c>
      <c r="AG6" s="103">
        <f>Ruimtestaat[[#This Row],[kosten / jaar weekend]]+Ruimtestaat[[#This Row],[kosten / jaar werkdagen]]</f>
        <v>0</v>
      </c>
      <c r="AH6" s="103"/>
      <c r="AI6" s="110" t="str">
        <f>IF(Ruimtestaat[[#This Row],[Frequentie werkdagen]]="","",_xlfn.CONCAT(Ruimtestaat[[#This Row],[Ruimte code]],"-",Ruimtestaat[[#This Row],[Frequentie werkdagen]]," ",Ruimtestaat[[#This Row],[Vloer code]]))</f>
        <v>6-5w T</v>
      </c>
      <c r="AJ6" s="114" t="str">
        <f>_xlfn.IFNA(VLOOKUP($AI6,Programma!$F$3:$G$1101,2,0),"")</f>
        <v>_</v>
      </c>
      <c r="AK6" s="114" t="str">
        <f>_xlfn.IFNA(VLOOKUP($AI6,Programma!$F$3:$H$1101,3,0),"")</f>
        <v>5w</v>
      </c>
      <c r="AL6" s="114" t="str">
        <f>_xlfn.IFNA(VLOOKUP($AI6,Programma!$F$3:$I$1101,4,0),"")</f>
        <v>_</v>
      </c>
      <c r="AM6" s="114" t="str">
        <f>_xlfn.IFNA(VLOOKUP($AI6,Programma!$F$3:$J$1101,5,0),"")</f>
        <v>_</v>
      </c>
      <c r="AN6" s="114" t="str">
        <f>_xlfn.IFNA(VLOOKUP($AI6,Programma!$F$3:$K$1101,6,0),"")</f>
        <v>_</v>
      </c>
      <c r="AO6" s="114" t="str">
        <f>_xlfn.IFNA(VLOOKUP($AI6,Programma!$F$3:$L$1101,7,0),"")</f>
        <v>_</v>
      </c>
      <c r="AP6" s="114" t="str">
        <f>_xlfn.IFNA(VLOOKUP($AI6,Programma!$F$3:$M$1101,8,0),"")</f>
        <v>_</v>
      </c>
      <c r="AQ6" s="114" t="str">
        <f>_xlfn.IFNA(VLOOKUP($AI6,Programma!$F$3:$N$1101,9,0),"")</f>
        <v>_</v>
      </c>
      <c r="AR6" s="114" t="str">
        <f>_xlfn.IFNA(VLOOKUP($AI6,Programma!$F$3:$O$1101,10,0),"")</f>
        <v>5w</v>
      </c>
      <c r="AS6" s="114" t="str">
        <f>_xlfn.IFNA(VLOOKUP($AI6,Programma!$F$3:$P$1101,11,0),"")</f>
        <v>5w</v>
      </c>
      <c r="AT6" s="114" t="str">
        <f>_xlfn.IFNA(VLOOKUP($AI6,Programma!$F$3:$Q$1101,12,0),"")</f>
        <v>1w</v>
      </c>
      <c r="AU6" s="114" t="str">
        <f>_xlfn.IFNA(VLOOKUP($AI6,Programma!$F$3:$R$1101,13,0),"")</f>
        <v>1w</v>
      </c>
      <c r="AV6" s="114" t="str">
        <f>_xlfn.IFNA(VLOOKUP($AI6,Programma!$F$3:$S$1101,14,0),"")</f>
        <v>1m</v>
      </c>
      <c r="AW6" s="114" t="str">
        <f>_xlfn.IFNA(VLOOKUP($AI6,Programma!$F$3:$T$1101,15,0),"")</f>
        <v>2j</v>
      </c>
      <c r="AX6" s="114" t="str">
        <f>_xlfn.IFNA(VLOOKUP($AI6,Programma!$F$3:$U$1101,16,0),"")</f>
        <v>1j</v>
      </c>
      <c r="AY6" s="114" t="str">
        <f>_xlfn.IFNA(VLOOKUP($AI6,Programma!$F$3:$V$1101,17,0),"")</f>
        <v>_</v>
      </c>
      <c r="AZ6" s="114" t="str">
        <f>_xlfn.IFNA(VLOOKUP($AI6,Programma!$F$3:$W$1101,18,0),"")</f>
        <v>_</v>
      </c>
      <c r="BA6" s="114" t="str">
        <f>_xlfn.IFNA(VLOOKUP($AI6,Programma!$F$3:$X$1101,19,0),"")</f>
        <v>_</v>
      </c>
      <c r="BB6" s="114" t="str">
        <f>_xlfn.IFNA(VLOOKUP($AI6,Programma!$F$3:$Y$1101,20,0),"")</f>
        <v>_</v>
      </c>
      <c r="BC6" s="111"/>
      <c r="BD6" s="110" t="str">
        <f>IF(Ruimtestaat[[#This Row],[Frequentie weekend]]="","",_xlfn.CONCAT(Ruimtestaat[[#This Row],[Ruimte code]],"-",Ruimtestaat[[#This Row],[Frequentie weekend]]," ",Ruimtestaat[[#This Row],[Vloer code]]))</f>
        <v/>
      </c>
      <c r="BE6" s="114" t="str">
        <f>_xlfn.IFNA(VLOOKUP($BD6,Programma!$F$3:$G$1101,2,0),"")</f>
        <v/>
      </c>
      <c r="BF6" s="114" t="str">
        <f>_xlfn.IFNA(VLOOKUP($BD6,Programma!$F$3:$H$1101,3,0),"")</f>
        <v/>
      </c>
      <c r="BG6" s="114" t="str">
        <f>_xlfn.IFNA(VLOOKUP($BD6,Programma!$F$3:$I$1101,4,0),"")</f>
        <v/>
      </c>
      <c r="BH6" s="114" t="str">
        <f>_xlfn.IFNA(VLOOKUP($BD6,Programma!$F$3:$J$1101,5,0),"")</f>
        <v/>
      </c>
      <c r="BI6" s="114" t="str">
        <f>_xlfn.IFNA(VLOOKUP($BD6,Programma!$F$3:$K$1101,6,0),"")</f>
        <v/>
      </c>
      <c r="BJ6" s="114" t="str">
        <f>_xlfn.IFNA(VLOOKUP($BD6,Programma!$F$3:$L$1101,7,0),"")</f>
        <v/>
      </c>
      <c r="BK6" s="114" t="str">
        <f>_xlfn.IFNA(VLOOKUP($BD6,Programma!$F$3:$M$1101,8,0),"")</f>
        <v/>
      </c>
      <c r="BL6" s="114" t="str">
        <f>_xlfn.IFNA(VLOOKUP($BD6,Programma!$F$3:$N$1101,9,0),"")</f>
        <v/>
      </c>
      <c r="BM6" s="114" t="str">
        <f>_xlfn.IFNA(VLOOKUP($BD6,Programma!$F$3:$O$1101,10,0),"")</f>
        <v/>
      </c>
      <c r="BN6" s="114" t="str">
        <f>_xlfn.IFNA(VLOOKUP($BD6,Programma!$F$3:$P$1101,11,0),"")</f>
        <v/>
      </c>
      <c r="BO6" s="114" t="str">
        <f>_xlfn.IFNA(VLOOKUP($BD6,Programma!$F$3:$Q$1101,12,0),"")</f>
        <v/>
      </c>
      <c r="BP6" s="114" t="str">
        <f>_xlfn.IFNA(VLOOKUP($BD6,Programma!$F$3:$R$1101,13,0),"")</f>
        <v/>
      </c>
      <c r="BQ6" s="114" t="str">
        <f>_xlfn.IFNA(VLOOKUP($BD6,Programma!$F$3:$S$1101,14,0),"")</f>
        <v/>
      </c>
      <c r="BR6" s="114" t="str">
        <f>_xlfn.IFNA(VLOOKUP($BD6,Programma!$F$3:$T$1101,15,0),"")</f>
        <v/>
      </c>
      <c r="BS6" s="114" t="str">
        <f>_xlfn.IFNA(VLOOKUP($BD6,Programma!$F$3:$U$1101,16,0),"")</f>
        <v/>
      </c>
      <c r="BT6" s="114" t="str">
        <f>_xlfn.IFNA(VLOOKUP($BD6,Programma!$F$3:$V$1101,17,0),"")</f>
        <v/>
      </c>
      <c r="BU6" s="114" t="str">
        <f>_xlfn.IFNA(VLOOKUP($BD6,Programma!$F$3:$W$1101,18,0),"")</f>
        <v/>
      </c>
      <c r="BV6" s="114" t="str">
        <f>_xlfn.IFNA(VLOOKUP($BD6,Programma!$F$3:$X$1101,19,0),"")</f>
        <v/>
      </c>
      <c r="BW6" s="114" t="str">
        <f>_xlfn.IFNA(VLOOKUP($BD6,Programma!$F$3:$Y$1101,20,0),"")</f>
        <v/>
      </c>
    </row>
    <row r="7" spans="1:221" ht="15" customHeight="1">
      <c r="A7" s="73">
        <v>1</v>
      </c>
      <c r="B7" s="105" t="str">
        <f>VLOOKUP(Ruimtestaat[[#This Row],[Code]],Locaties[[Code]:[Locatie]],2,FALSE)</f>
        <v>IKC Kameleon</v>
      </c>
      <c r="C7" s="105" t="str">
        <f>VLOOKUP(Ruimtestaat[[#This Row],[Code]],Locaties[[#All],[Code]:[Adres]],4,FALSE)</f>
        <v>Mondriaanstraat 15</v>
      </c>
      <c r="D7" s="105" t="str">
        <f>VLOOKUP(Ruimtestaat[[#This Row],[Code]],Locaties[[#All],[Code]:[Postcode]],5,FALSE)</f>
        <v>6921 MJ</v>
      </c>
      <c r="E7" s="105" t="str">
        <f>VLOOKUP(Ruimtestaat[[#This Row],[Code]],Locaties[#All],6,FALSE)</f>
        <v>Duiven</v>
      </c>
      <c r="F7" s="73"/>
      <c r="G7" s="73" t="s">
        <v>1645</v>
      </c>
      <c r="H7" s="272"/>
      <c r="I7" s="273" t="s">
        <v>1648</v>
      </c>
      <c r="J7" s="31">
        <v>13</v>
      </c>
      <c r="K7" s="113" t="str">
        <f>VLOOKUP(Ruimtestaat[[#This Row],[Ruimte code]],Ruimtegroepen[[#All],[Code]:[Ruimte omschrijving]],2,FALSE)</f>
        <v>Personeelskamer</v>
      </c>
      <c r="L7" s="73" t="s">
        <v>99</v>
      </c>
      <c r="M7" s="273" t="s">
        <v>36</v>
      </c>
      <c r="N7" s="106">
        <v>42.25</v>
      </c>
      <c r="O7" s="112"/>
      <c r="P7" s="112"/>
      <c r="Q7" s="107" t="str">
        <f>VLOOKUP(Ruimtestaat[[#This Row],[Ruimte code]],Ruimtegroepen[],4,FALSE)</f>
        <v>Ve</v>
      </c>
      <c r="R7" s="73">
        <v>40</v>
      </c>
      <c r="S7" s="73" t="s">
        <v>18</v>
      </c>
      <c r="T7" s="73">
        <f>IF(R7&gt;0,IF(RIGHT(Ruimtestaat[[#This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7" s="73">
        <f>IF(T7&gt;0,VLOOKUP($J7,Ruimtegroepen[],3,FALSE)*VLOOKUP($L7,Vloersoorten[],3,FALSE)*VLOOKUP($S7,Frequenties[],3,FALSE)*VLOOKUP($A7,Locaties[],3,FALSE),0)</f>
        <v>0</v>
      </c>
      <c r="V7" s="73">
        <f>Ruimtestaat[[#This Row],[Uitvoeringen werkdagen]]*Ruimtestaat[[#This Row],[Oppervlak (netto)]]</f>
        <v>5070</v>
      </c>
      <c r="W7" s="108">
        <f>IF(U7&gt;0,Ruimtestaat[[#This Row],[Prest. (m2 /jaar) werkdagen]]/Ruimtestaat[[#This Row],[Norm (m2/uur) werkdagen]],0)</f>
        <v>0</v>
      </c>
      <c r="X7" s="109">
        <f>Ruimtestaat[[#This Row],[uren / jaar werkdagen]]*Tariefsopbouw!$E$35</f>
        <v>0</v>
      </c>
      <c r="Y7" s="73"/>
      <c r="Z7" s="73">
        <f>IF(Ruimtestaat[[#This Row],[Frequentie weekend]]&gt;0,VALUE(LEFT(Y7,1))*R7,0)</f>
        <v>0</v>
      </c>
      <c r="AA7" s="72">
        <f>IF($Z7&gt;0,VLOOKUP($J7,Ruimtegroepen[],3,FALSE)*VLOOKUP($L7,Vloersoorten[],3,FALSE)*VLOOKUP($Y7,Frequenties[],3,FALSE)*VLOOKUP(Ruimtestaat[[#This Row],[Code]],Locaties[],3,FALSE),0)</f>
        <v>0</v>
      </c>
      <c r="AB7" s="72">
        <f>Ruimtestaat[[#This Row],[Uitvoeringen weekend]]*Ruimtestaat[[#This Row],[Oppervlak (netto)]]</f>
        <v>0</v>
      </c>
      <c r="AC7" s="72">
        <f>IF(AA7&gt;0,Ruimtestaat[[#This Row],[Prest. (m2 /jaar) weekend]]/Ruimtestaat[[#This Row],[Norm (m2/uur) weekend]],0)</f>
        <v>0</v>
      </c>
      <c r="AD7" s="109">
        <f>Ruimtestaat[[#This Row],[uren / jaar weekend]]*Tariefsopbouw!$D$40</f>
        <v>0</v>
      </c>
      <c r="AE7" s="108">
        <f>Ruimtestaat[[#This Row],[Prest. (m2 /jaar) weekend]]+Ruimtestaat[[#This Row],[Prest. (m2 /jaar) werkdagen]]</f>
        <v>5070</v>
      </c>
      <c r="AF7" s="108">
        <f>Ruimtestaat[[#This Row],[uren / jaar weekend]]+Ruimtestaat[[#This Row],[uren / jaar werkdagen]]</f>
        <v>0</v>
      </c>
      <c r="AG7" s="103">
        <f>Ruimtestaat[[#This Row],[kosten / jaar weekend]]+Ruimtestaat[[#This Row],[kosten / jaar werkdagen]]</f>
        <v>0</v>
      </c>
      <c r="AH7" s="103"/>
      <c r="AI7" s="110" t="str">
        <f>IF(Ruimtestaat[[#This Row],[Frequentie werkdagen]]="","",_xlfn.CONCAT(Ruimtestaat[[#This Row],[Ruimte code]],"-",Ruimtestaat[[#This Row],[Frequentie werkdagen]]," ",Ruimtestaat[[#This Row],[Vloer code]]))</f>
        <v>13-3w T</v>
      </c>
      <c r="AJ7" s="114" t="str">
        <f>_xlfn.IFNA(VLOOKUP($AI7,Programma!$F$3:$G$1101,2,0),"")</f>
        <v>2w</v>
      </c>
      <c r="AK7" s="114" t="str">
        <f>_xlfn.IFNA(VLOOKUP($AI7,Programma!$F$3:$H$1101,3,0),"")</f>
        <v>1w</v>
      </c>
      <c r="AL7" s="114" t="str">
        <f>_xlfn.IFNA(VLOOKUP($AI7,Programma!$F$3:$I$1101,4,0),"")</f>
        <v>_</v>
      </c>
      <c r="AM7" s="114" t="str">
        <f>_xlfn.IFNA(VLOOKUP($AI7,Programma!$F$3:$J$1101,5,0),"")</f>
        <v>_</v>
      </c>
      <c r="AN7" s="114" t="str">
        <f>_xlfn.IFNA(VLOOKUP($AI7,Programma!$F$3:$K$1101,6,0),"")</f>
        <v>_</v>
      </c>
      <c r="AO7" s="114" t="str">
        <f>_xlfn.IFNA(VLOOKUP($AI7,Programma!$F$3:$L$1101,7,0),"")</f>
        <v>_</v>
      </c>
      <c r="AP7" s="114" t="str">
        <f>_xlfn.IFNA(VLOOKUP($AI7,Programma!$F$3:$M$1101,8,0),"")</f>
        <v>_</v>
      </c>
      <c r="AQ7" s="114" t="str">
        <f>_xlfn.IFNA(VLOOKUP($AI7,Programma!$F$3:$N$1101,9,0),"")</f>
        <v>_</v>
      </c>
      <c r="AR7" s="114" t="str">
        <f>_xlfn.IFNA(VLOOKUP($AI7,Programma!$F$3:$O$1101,10,0),"")</f>
        <v>3w</v>
      </c>
      <c r="AS7" s="114" t="str">
        <f>_xlfn.IFNA(VLOOKUP($AI7,Programma!$F$3:$P$1101,11,0),"")</f>
        <v>3w</v>
      </c>
      <c r="AT7" s="114" t="str">
        <f>_xlfn.IFNA(VLOOKUP($AI7,Programma!$F$3:$Q$1101,12,0),"")</f>
        <v>1w</v>
      </c>
      <c r="AU7" s="114" t="str">
        <f>_xlfn.IFNA(VLOOKUP($AI7,Programma!$F$3:$R$1101,13,0),"")</f>
        <v>1w</v>
      </c>
      <c r="AV7" s="114" t="str">
        <f>_xlfn.IFNA(VLOOKUP($AI7,Programma!$F$3:$S$1101,14,0),"")</f>
        <v>1m</v>
      </c>
      <c r="AW7" s="114" t="str">
        <f>_xlfn.IFNA(VLOOKUP($AI7,Programma!$F$3:$T$1101,15,0),"")</f>
        <v>2j</v>
      </c>
      <c r="AX7" s="114" t="str">
        <f>_xlfn.IFNA(VLOOKUP($AI7,Programma!$F$3:$U$1101,16,0),"")</f>
        <v>1j</v>
      </c>
      <c r="AY7" s="114" t="str">
        <f>_xlfn.IFNA(VLOOKUP($AI7,Programma!$F$3:$V$1101,17,0),"")</f>
        <v>_</v>
      </c>
      <c r="AZ7" s="114" t="str">
        <f>_xlfn.IFNA(VLOOKUP($AI7,Programma!$F$3:$W$1101,18,0),"")</f>
        <v>_</v>
      </c>
      <c r="BA7" s="114" t="str">
        <f>_xlfn.IFNA(VLOOKUP($AI7,Programma!$F$3:$X$1101,19,0),"")</f>
        <v>_</v>
      </c>
      <c r="BB7" s="114" t="str">
        <f>_xlfn.IFNA(VLOOKUP($AI7,Programma!$F$3:$Y$1101,20,0),"")</f>
        <v>_</v>
      </c>
      <c r="BC7" s="111"/>
      <c r="BD7" s="110" t="str">
        <f>IF(Ruimtestaat[[#This Row],[Frequentie weekend]]="","",_xlfn.CONCAT(Ruimtestaat[[#This Row],[Ruimte code]],"-",Ruimtestaat[[#This Row],[Frequentie weekend]]," ",Ruimtestaat[[#This Row],[Vloer code]]))</f>
        <v/>
      </c>
      <c r="BE7" s="114" t="str">
        <f>_xlfn.IFNA(VLOOKUP($BD7,Programma!$F$3:$G$1101,2,0),"")</f>
        <v/>
      </c>
      <c r="BF7" s="114" t="str">
        <f>_xlfn.IFNA(VLOOKUP($BD7,Programma!$F$3:$H$1101,3,0),"")</f>
        <v/>
      </c>
      <c r="BG7" s="114" t="str">
        <f>_xlfn.IFNA(VLOOKUP($BD7,Programma!$F$3:$I$1101,4,0),"")</f>
        <v/>
      </c>
      <c r="BH7" s="114" t="str">
        <f>_xlfn.IFNA(VLOOKUP($BD7,Programma!$F$3:$J$1101,5,0),"")</f>
        <v/>
      </c>
      <c r="BI7" s="114" t="str">
        <f>_xlfn.IFNA(VLOOKUP($BD7,Programma!$F$3:$K$1101,6,0),"")</f>
        <v/>
      </c>
      <c r="BJ7" s="114" t="str">
        <f>_xlfn.IFNA(VLOOKUP($BD7,Programma!$F$3:$L$1101,7,0),"")</f>
        <v/>
      </c>
      <c r="BK7" s="114" t="str">
        <f>_xlfn.IFNA(VLOOKUP($BD7,Programma!$F$3:$M$1101,8,0),"")</f>
        <v/>
      </c>
      <c r="BL7" s="114" t="str">
        <f>_xlfn.IFNA(VLOOKUP($BD7,Programma!$F$3:$N$1101,9,0),"")</f>
        <v/>
      </c>
      <c r="BM7" s="114" t="str">
        <f>_xlfn.IFNA(VLOOKUP($BD7,Programma!$F$3:$O$1101,10,0),"")</f>
        <v/>
      </c>
      <c r="BN7" s="114" t="str">
        <f>_xlfn.IFNA(VLOOKUP($BD7,Programma!$F$3:$P$1101,11,0),"")</f>
        <v/>
      </c>
      <c r="BO7" s="114" t="str">
        <f>_xlfn.IFNA(VLOOKUP($BD7,Programma!$F$3:$Q$1101,12,0),"")</f>
        <v/>
      </c>
      <c r="BP7" s="114" t="str">
        <f>_xlfn.IFNA(VLOOKUP($BD7,Programma!$F$3:$R$1101,13,0),"")</f>
        <v/>
      </c>
      <c r="BQ7" s="114" t="str">
        <f>_xlfn.IFNA(VLOOKUP($BD7,Programma!$F$3:$S$1101,14,0),"")</f>
        <v/>
      </c>
      <c r="BR7" s="114" t="str">
        <f>_xlfn.IFNA(VLOOKUP($BD7,Programma!$F$3:$T$1101,15,0),"")</f>
        <v/>
      </c>
      <c r="BS7" s="114" t="str">
        <f>_xlfn.IFNA(VLOOKUP($BD7,Programma!$F$3:$U$1101,16,0),"")</f>
        <v/>
      </c>
      <c r="BT7" s="114" t="str">
        <f>_xlfn.IFNA(VLOOKUP($BD7,Programma!$F$3:$V$1101,17,0),"")</f>
        <v/>
      </c>
      <c r="BU7" s="114" t="str">
        <f>_xlfn.IFNA(VLOOKUP($BD7,Programma!$F$3:$W$1101,18,0),"")</f>
        <v/>
      </c>
      <c r="BV7" s="114" t="str">
        <f>_xlfn.IFNA(VLOOKUP($BD7,Programma!$F$3:$X$1101,19,0),"")</f>
        <v/>
      </c>
      <c r="BW7" s="114" t="str">
        <f>_xlfn.IFNA(VLOOKUP($BD7,Programma!$F$3:$Y$1101,20,0),"")</f>
        <v/>
      </c>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row>
    <row r="8" spans="1:221" ht="15" customHeight="1">
      <c r="A8" s="73">
        <v>1</v>
      </c>
      <c r="B8" s="105" t="str">
        <f>VLOOKUP(Ruimtestaat[[#This Row],[Code]],Locaties[[Code]:[Locatie]],2,FALSE)</f>
        <v>IKC Kameleon</v>
      </c>
      <c r="C8" s="105" t="str">
        <f>VLOOKUP(Ruimtestaat[[#This Row],[Code]],Locaties[[#All],[Code]:[Adres]],4,FALSE)</f>
        <v>Mondriaanstraat 15</v>
      </c>
      <c r="D8" s="105" t="str">
        <f>VLOOKUP(Ruimtestaat[[#This Row],[Code]],Locaties[[#All],[Code]:[Postcode]],5,FALSE)</f>
        <v>6921 MJ</v>
      </c>
      <c r="E8" s="105" t="str">
        <f>VLOOKUP(Ruimtestaat[[#This Row],[Code]],Locaties[#All],6,FALSE)</f>
        <v>Duiven</v>
      </c>
      <c r="F8" s="73"/>
      <c r="G8" s="73" t="s">
        <v>1645</v>
      </c>
      <c r="H8" s="272"/>
      <c r="I8" s="273" t="s">
        <v>1649</v>
      </c>
      <c r="J8" s="73">
        <v>2</v>
      </c>
      <c r="K8" s="113" t="str">
        <f>VLOOKUP(Ruimtestaat[[#This Row],[Ruimte code]],Ruimtegroepen[[#All],[Code]:[Ruimte omschrijving]],2,FALSE)</f>
        <v>Kantoren</v>
      </c>
      <c r="L8" s="73" t="s">
        <v>100</v>
      </c>
      <c r="M8" s="273" t="s">
        <v>1975</v>
      </c>
      <c r="N8" s="106">
        <v>10.5</v>
      </c>
      <c r="O8" s="112"/>
      <c r="P8" s="112"/>
      <c r="Q8" s="107" t="str">
        <f>VLOOKUP(Ruimtestaat[[#This Row],[Ruimte code]],Ruimtegroepen[],4,FALSE)</f>
        <v>Bu</v>
      </c>
      <c r="R8" s="73">
        <v>40</v>
      </c>
      <c r="S8" s="73" t="s">
        <v>15</v>
      </c>
      <c r="T8" s="73">
        <f>IF(R8&gt;0,IF(RIGHT(Ruimtestaat[[#This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8" s="73">
        <f>IF(T8&gt;0,VLOOKUP($J8,Ruimtegroepen[],3,FALSE)*VLOOKUP($L8,Vloersoorten[],3,FALSE)*VLOOKUP($S8,Frequenties[],3,FALSE)*VLOOKUP($A8,Locaties[],3,FALSE),0)</f>
        <v>0</v>
      </c>
      <c r="V8" s="73">
        <f>Ruimtestaat[[#This Row],[Uitvoeringen werkdagen]]*Ruimtestaat[[#This Row],[Oppervlak (netto)]]</f>
        <v>420</v>
      </c>
      <c r="W8" s="108">
        <f>IF(U8&gt;0,Ruimtestaat[[#This Row],[Prest. (m2 /jaar) werkdagen]]/Ruimtestaat[[#This Row],[Norm (m2/uur) werkdagen]],0)</f>
        <v>0</v>
      </c>
      <c r="X8" s="109">
        <f>Ruimtestaat[[#This Row],[uren / jaar werkdagen]]*Tariefsopbouw!$E$35</f>
        <v>0</v>
      </c>
      <c r="Y8" s="73"/>
      <c r="Z8" s="73">
        <f>IF(Ruimtestaat[[#This Row],[Frequentie weekend]]&gt;0,VALUE(LEFT(Y8,1))*R8,0)</f>
        <v>0</v>
      </c>
      <c r="AA8" s="72">
        <f>IF($Z8&gt;0,VLOOKUP($J8,Ruimtegroepen[],3,FALSE)*VLOOKUP($L8,Vloersoorten[],3,FALSE)*VLOOKUP($Y8,Frequenties[],3,FALSE)*VLOOKUP(Ruimtestaat[[#This Row],[Code]],Locaties[],3,FALSE),0)</f>
        <v>0</v>
      </c>
      <c r="AB8" s="72">
        <f>Ruimtestaat[[#This Row],[Uitvoeringen weekend]]*Ruimtestaat[[#This Row],[Oppervlak (netto)]]</f>
        <v>0</v>
      </c>
      <c r="AC8" s="72">
        <f>IF(AA8&gt;0,Ruimtestaat[[#This Row],[Prest. (m2 /jaar) weekend]]/Ruimtestaat[[#This Row],[Norm (m2/uur) weekend]],0)</f>
        <v>0</v>
      </c>
      <c r="AD8" s="109">
        <f>Ruimtestaat[[#This Row],[uren / jaar weekend]]*Tariefsopbouw!$D$40</f>
        <v>0</v>
      </c>
      <c r="AE8" s="108">
        <f>Ruimtestaat[[#This Row],[Prest. (m2 /jaar) weekend]]+Ruimtestaat[[#This Row],[Prest. (m2 /jaar) werkdagen]]</f>
        <v>420</v>
      </c>
      <c r="AF8" s="108">
        <f>Ruimtestaat[[#This Row],[uren / jaar weekend]]+Ruimtestaat[[#This Row],[uren / jaar werkdagen]]</f>
        <v>0</v>
      </c>
      <c r="AG8" s="103">
        <f>Ruimtestaat[[#This Row],[kosten / jaar weekend]]+Ruimtestaat[[#This Row],[kosten / jaar werkdagen]]</f>
        <v>0</v>
      </c>
      <c r="AH8" s="103"/>
      <c r="AI8" s="110" t="str">
        <f>IF(Ruimtestaat[[#This Row],[Frequentie werkdagen]]="","",_xlfn.CONCAT(Ruimtestaat[[#This Row],[Ruimte code]],"-",Ruimtestaat[[#This Row],[Frequentie werkdagen]]," ",Ruimtestaat[[#This Row],[Vloer code]]))</f>
        <v>2-1w L</v>
      </c>
      <c r="AJ8" s="114" t="str">
        <f>_xlfn.IFNA(VLOOKUP($AI8,Programma!$F$3:$G$1101,2,0),"")</f>
        <v>_</v>
      </c>
      <c r="AK8" s="114" t="str">
        <f>_xlfn.IFNA(VLOOKUP($AI8,Programma!$F$3:$H$1101,3,0),"")</f>
        <v>_</v>
      </c>
      <c r="AL8" s="114" t="str">
        <f>_xlfn.IFNA(VLOOKUP($AI8,Programma!$F$3:$I$1101,4,0),"")</f>
        <v>_</v>
      </c>
      <c r="AM8" s="114" t="str">
        <f>_xlfn.IFNA(VLOOKUP($AI8,Programma!$F$3:$J$1101,5,0),"")</f>
        <v>1w</v>
      </c>
      <c r="AN8" s="114" t="str">
        <f>_xlfn.IFNA(VLOOKUP($AI8,Programma!$F$3:$K$1101,6,0),"")</f>
        <v>_</v>
      </c>
      <c r="AO8" s="114" t="str">
        <f>_xlfn.IFNA(VLOOKUP($AI8,Programma!$F$3:$L$1101,7,0),"")</f>
        <v>_</v>
      </c>
      <c r="AP8" s="114" t="str">
        <f>_xlfn.IFNA(VLOOKUP($AI8,Programma!$F$3:$M$1101,8,0),"")</f>
        <v>_</v>
      </c>
      <c r="AQ8" s="114" t="str">
        <f>_xlfn.IFNA(VLOOKUP($AI8,Programma!$F$3:$N$1101,9,0),"")</f>
        <v>_</v>
      </c>
      <c r="AR8" s="114" t="str">
        <f>_xlfn.IFNA(VLOOKUP($AI8,Programma!$F$3:$O$1101,10,0),"")</f>
        <v>1w</v>
      </c>
      <c r="AS8" s="114" t="str">
        <f>_xlfn.IFNA(VLOOKUP($AI8,Programma!$F$3:$P$1101,11,0),"")</f>
        <v>1w</v>
      </c>
      <c r="AT8" s="114" t="str">
        <f>_xlfn.IFNA(VLOOKUP($AI8,Programma!$F$3:$Q$1101,12,0),"")</f>
        <v>1w</v>
      </c>
      <c r="AU8" s="114" t="str">
        <f>_xlfn.IFNA(VLOOKUP($AI8,Programma!$F$3:$R$1101,13,0),"")</f>
        <v>1w</v>
      </c>
      <c r="AV8" s="114" t="str">
        <f>_xlfn.IFNA(VLOOKUP($AI8,Programma!$F$3:$S$1101,14,0),"")</f>
        <v>1m</v>
      </c>
      <c r="AW8" s="114" t="str">
        <f>_xlfn.IFNA(VLOOKUP($AI8,Programma!$F$3:$T$1101,15,0),"")</f>
        <v>2j</v>
      </c>
      <c r="AX8" s="114" t="str">
        <f>_xlfn.IFNA(VLOOKUP($AI8,Programma!$F$3:$U$1101,16,0),"")</f>
        <v>1j</v>
      </c>
      <c r="AY8" s="114" t="str">
        <f>_xlfn.IFNA(VLOOKUP($AI8,Programma!$F$3:$V$1101,17,0),"")</f>
        <v>_</v>
      </c>
      <c r="AZ8" s="114" t="str">
        <f>_xlfn.IFNA(VLOOKUP($AI8,Programma!$F$3:$W$1101,18,0),"")</f>
        <v>_</v>
      </c>
      <c r="BA8" s="114" t="str">
        <f>_xlfn.IFNA(VLOOKUP($AI8,Programma!$F$3:$X$1101,19,0),"")</f>
        <v>_</v>
      </c>
      <c r="BB8" s="114" t="str">
        <f>_xlfn.IFNA(VLOOKUP($AI8,Programma!$F$3:$Y$1101,20,0),"")</f>
        <v>_</v>
      </c>
      <c r="BC8" s="111"/>
      <c r="BD8" s="110" t="str">
        <f>IF(Ruimtestaat[[#This Row],[Frequentie weekend]]="","",_xlfn.CONCAT(Ruimtestaat[[#This Row],[Ruimte code]],"-",Ruimtestaat[[#This Row],[Frequentie weekend]]," ",Ruimtestaat[[#This Row],[Vloer code]]))</f>
        <v/>
      </c>
      <c r="BE8" s="114" t="str">
        <f>_xlfn.IFNA(VLOOKUP($BD8,Programma!$F$3:$G$1101,2,0),"")</f>
        <v/>
      </c>
      <c r="BF8" s="114" t="str">
        <f>_xlfn.IFNA(VLOOKUP($BD8,Programma!$F$3:$H$1101,3,0),"")</f>
        <v/>
      </c>
      <c r="BG8" s="114" t="str">
        <f>_xlfn.IFNA(VLOOKUP($BD8,Programma!$F$3:$I$1101,4,0),"")</f>
        <v/>
      </c>
      <c r="BH8" s="114" t="str">
        <f>_xlfn.IFNA(VLOOKUP($BD8,Programma!$F$3:$J$1101,5,0),"")</f>
        <v/>
      </c>
      <c r="BI8" s="114" t="str">
        <f>_xlfn.IFNA(VLOOKUP($BD8,Programma!$F$3:$K$1101,6,0),"")</f>
        <v/>
      </c>
      <c r="BJ8" s="114" t="str">
        <f>_xlfn.IFNA(VLOOKUP($BD8,Programma!$F$3:$L$1101,7,0),"")</f>
        <v/>
      </c>
      <c r="BK8" s="114" t="str">
        <f>_xlfn.IFNA(VLOOKUP($BD8,Programma!$F$3:$M$1101,8,0),"")</f>
        <v/>
      </c>
      <c r="BL8" s="114" t="str">
        <f>_xlfn.IFNA(VLOOKUP($BD8,Programma!$F$3:$N$1101,9,0),"")</f>
        <v/>
      </c>
      <c r="BM8" s="114" t="str">
        <f>_xlfn.IFNA(VLOOKUP($BD8,Programma!$F$3:$O$1101,10,0),"")</f>
        <v/>
      </c>
      <c r="BN8" s="114" t="str">
        <f>_xlfn.IFNA(VLOOKUP($BD8,Programma!$F$3:$P$1101,11,0),"")</f>
        <v/>
      </c>
      <c r="BO8" s="114" t="str">
        <f>_xlfn.IFNA(VLOOKUP($BD8,Programma!$F$3:$Q$1101,12,0),"")</f>
        <v/>
      </c>
      <c r="BP8" s="114" t="str">
        <f>_xlfn.IFNA(VLOOKUP($BD8,Programma!$F$3:$R$1101,13,0),"")</f>
        <v/>
      </c>
      <c r="BQ8" s="114" t="str">
        <f>_xlfn.IFNA(VLOOKUP($BD8,Programma!$F$3:$S$1101,14,0),"")</f>
        <v/>
      </c>
      <c r="BR8" s="114" t="str">
        <f>_xlfn.IFNA(VLOOKUP($BD8,Programma!$F$3:$T$1101,15,0),"")</f>
        <v/>
      </c>
      <c r="BS8" s="114" t="str">
        <f>_xlfn.IFNA(VLOOKUP($BD8,Programma!$F$3:$U$1101,16,0),"")</f>
        <v/>
      </c>
      <c r="BT8" s="114" t="str">
        <f>_xlfn.IFNA(VLOOKUP($BD8,Programma!$F$3:$V$1101,17,0),"")</f>
        <v/>
      </c>
      <c r="BU8" s="114" t="str">
        <f>_xlfn.IFNA(VLOOKUP($BD8,Programma!$F$3:$W$1101,18,0),"")</f>
        <v/>
      </c>
      <c r="BV8" s="114" t="str">
        <f>_xlfn.IFNA(VLOOKUP($BD8,Programma!$F$3:$X$1101,19,0),"")</f>
        <v/>
      </c>
      <c r="BW8" s="114" t="str">
        <f>_xlfn.IFNA(VLOOKUP($BD8,Programma!$F$3:$Y$1101,20,0),"")</f>
        <v/>
      </c>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row>
    <row r="9" spans="1:221" ht="15" customHeight="1">
      <c r="A9" s="73">
        <v>1</v>
      </c>
      <c r="B9" s="105" t="str">
        <f>VLOOKUP(Ruimtestaat[[#This Row],[Code]],Locaties[[Code]:[Locatie]],2,FALSE)</f>
        <v>IKC Kameleon</v>
      </c>
      <c r="C9" s="105" t="str">
        <f>VLOOKUP(Ruimtestaat[[#This Row],[Code]],Locaties[[#All],[Code]:[Adres]],4,FALSE)</f>
        <v>Mondriaanstraat 15</v>
      </c>
      <c r="D9" s="105" t="str">
        <f>VLOOKUP(Ruimtestaat[[#This Row],[Code]],Locaties[[#All],[Code]:[Postcode]],5,FALSE)</f>
        <v>6921 MJ</v>
      </c>
      <c r="E9" s="105" t="str">
        <f>VLOOKUP(Ruimtestaat[[#This Row],[Code]],Locaties[#All],6,FALSE)</f>
        <v>Duiven</v>
      </c>
      <c r="F9" s="73"/>
      <c r="G9" s="73" t="s">
        <v>1645</v>
      </c>
      <c r="H9" s="272"/>
      <c r="I9" s="273" t="s">
        <v>1651</v>
      </c>
      <c r="J9" s="31">
        <v>16</v>
      </c>
      <c r="K9" s="113" t="str">
        <f>VLOOKUP(Ruimtestaat[[#This Row],[Ruimte code]],Ruimtegroepen[[#All],[Code]:[Ruimte omschrijving]],2,FALSE)</f>
        <v>Leslokalen</v>
      </c>
      <c r="L9" s="73" t="s">
        <v>99</v>
      </c>
      <c r="M9" s="273" t="s">
        <v>36</v>
      </c>
      <c r="N9" s="106">
        <v>42.25</v>
      </c>
      <c r="O9" s="73"/>
      <c r="P9" s="73"/>
      <c r="Q9" s="107" t="str">
        <f>VLOOKUP(Ruimtestaat[[#This Row],[Ruimte code]],Ruimtegroepen[],4,FALSE)</f>
        <v>Le</v>
      </c>
      <c r="R9" s="73">
        <v>40</v>
      </c>
      <c r="S9" s="73" t="s">
        <v>2</v>
      </c>
      <c r="T9" s="73">
        <f>IF(R9&gt;0,IF(RIGHT(Ruimtestaat[[#This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 s="73">
        <f>IF(T9&gt;0,VLOOKUP($J9,Ruimtegroepen[],3,FALSE)*VLOOKUP($L9,Vloersoorten[],3,FALSE)*VLOOKUP($S9,Frequenties[],3,FALSE)*VLOOKUP($A9,Locaties[],3,FALSE),0)</f>
        <v>0</v>
      </c>
      <c r="V9" s="73">
        <f>Ruimtestaat[[#This Row],[Uitvoeringen werkdagen]]*Ruimtestaat[[#This Row],[Oppervlak (netto)]]</f>
        <v>8450</v>
      </c>
      <c r="W9" s="108">
        <f>IF(U9&gt;0,Ruimtestaat[[#This Row],[Prest. (m2 /jaar) werkdagen]]/Ruimtestaat[[#This Row],[Norm (m2/uur) werkdagen]],0)</f>
        <v>0</v>
      </c>
      <c r="X9" s="109">
        <f>Ruimtestaat[[#This Row],[uren / jaar werkdagen]]*Tariefsopbouw!$E$35</f>
        <v>0</v>
      </c>
      <c r="Y9" s="73"/>
      <c r="Z9" s="73">
        <f>IF(Ruimtestaat[[#This Row],[Frequentie weekend]]&gt;0,VALUE(LEFT(Y9,1))*R9,0)</f>
        <v>0</v>
      </c>
      <c r="AA9" s="72">
        <f>IF($Z9&gt;0,VLOOKUP($J9,Ruimtegroepen[],3,FALSE)*VLOOKUP($L9,Vloersoorten[],3,FALSE)*VLOOKUP($Y9,Frequenties[],3,FALSE)*VLOOKUP(Ruimtestaat[[#This Row],[Code]],Locaties[],3,FALSE),0)</f>
        <v>0</v>
      </c>
      <c r="AB9" s="72">
        <f>Ruimtestaat[[#This Row],[Uitvoeringen weekend]]*Ruimtestaat[[#This Row],[Oppervlak (netto)]]</f>
        <v>0</v>
      </c>
      <c r="AC9" s="72">
        <f>IF(AA9&gt;0,Ruimtestaat[[#This Row],[Prest. (m2 /jaar) weekend]]/Ruimtestaat[[#This Row],[Norm (m2/uur) weekend]],0)</f>
        <v>0</v>
      </c>
      <c r="AD9" s="109">
        <f>Ruimtestaat[[#This Row],[uren / jaar weekend]]*Tariefsopbouw!$D$40</f>
        <v>0</v>
      </c>
      <c r="AE9" s="108">
        <f>Ruimtestaat[[#This Row],[Prest. (m2 /jaar) weekend]]+Ruimtestaat[[#This Row],[Prest. (m2 /jaar) werkdagen]]</f>
        <v>8450</v>
      </c>
      <c r="AF9" s="108">
        <f>Ruimtestaat[[#This Row],[uren / jaar weekend]]+Ruimtestaat[[#This Row],[uren / jaar werkdagen]]</f>
        <v>0</v>
      </c>
      <c r="AG9" s="103">
        <f>Ruimtestaat[[#This Row],[kosten / jaar weekend]]+Ruimtestaat[[#This Row],[kosten / jaar werkdagen]]</f>
        <v>0</v>
      </c>
      <c r="AH9" s="103"/>
      <c r="AI9" s="110" t="str">
        <f>IF(Ruimtestaat[[#This Row],[Frequentie werkdagen]]="","",_xlfn.CONCAT(Ruimtestaat[[#This Row],[Ruimte code]],"-",Ruimtestaat[[#This Row],[Frequentie werkdagen]]," ",Ruimtestaat[[#This Row],[Vloer code]]))</f>
        <v>16-5w T</v>
      </c>
      <c r="AJ9" s="114" t="str">
        <f>_xlfn.IFNA(VLOOKUP($AI9,Programma!$F$3:$G$1101,2,0),"")</f>
        <v>3w</v>
      </c>
      <c r="AK9" s="114" t="str">
        <f>_xlfn.IFNA(VLOOKUP($AI9,Programma!$F$3:$H$1101,3,0),"")</f>
        <v>2w</v>
      </c>
      <c r="AL9" s="114" t="str">
        <f>_xlfn.IFNA(VLOOKUP($AI9,Programma!$F$3:$I$1101,4,0),"")</f>
        <v>_</v>
      </c>
      <c r="AM9" s="114" t="str">
        <f>_xlfn.IFNA(VLOOKUP($AI9,Programma!$F$3:$J$1101,5,0),"")</f>
        <v>_</v>
      </c>
      <c r="AN9" s="114" t="str">
        <f>_xlfn.IFNA(VLOOKUP($AI9,Programma!$F$3:$K$1101,6,0),"")</f>
        <v>_</v>
      </c>
      <c r="AO9" s="114" t="str">
        <f>_xlfn.IFNA(VLOOKUP($AI9,Programma!$F$3:$L$1101,7,0),"")</f>
        <v>_</v>
      </c>
      <c r="AP9" s="114" t="str">
        <f>_xlfn.IFNA(VLOOKUP($AI9,Programma!$F$3:$M$1101,8,0),"")</f>
        <v>_</v>
      </c>
      <c r="AQ9" s="114" t="str">
        <f>_xlfn.IFNA(VLOOKUP($AI9,Programma!$F$3:$N$1101,9,0),"")</f>
        <v>_</v>
      </c>
      <c r="AR9" s="114" t="str">
        <f>_xlfn.IFNA(VLOOKUP($AI9,Programma!$F$3:$O$1101,10,0),"")</f>
        <v>5w</v>
      </c>
      <c r="AS9" s="114" t="str">
        <f>_xlfn.IFNA(VLOOKUP($AI9,Programma!$F$3:$P$1101,11,0),"")</f>
        <v>5w</v>
      </c>
      <c r="AT9" s="114" t="str">
        <f>_xlfn.IFNA(VLOOKUP($AI9,Programma!$F$3:$Q$1101,12,0),"")</f>
        <v>1w</v>
      </c>
      <c r="AU9" s="114" t="str">
        <f>_xlfn.IFNA(VLOOKUP($AI9,Programma!$F$3:$R$1101,13,0),"")</f>
        <v>1w</v>
      </c>
      <c r="AV9" s="114" t="str">
        <f>_xlfn.IFNA(VLOOKUP($AI9,Programma!$F$3:$S$1101,14,0),"")</f>
        <v>1m</v>
      </c>
      <c r="AW9" s="114" t="str">
        <f>_xlfn.IFNA(VLOOKUP($AI9,Programma!$F$3:$T$1101,15,0),"")</f>
        <v>2j</v>
      </c>
      <c r="AX9" s="114" t="str">
        <f>_xlfn.IFNA(VLOOKUP($AI9,Programma!$F$3:$U$1101,16,0),"")</f>
        <v>1j</v>
      </c>
      <c r="AY9" s="114" t="str">
        <f>_xlfn.IFNA(VLOOKUP($AI9,Programma!$F$3:$V$1101,17,0),"")</f>
        <v>_</v>
      </c>
      <c r="AZ9" s="114" t="str">
        <f>_xlfn.IFNA(VLOOKUP($AI9,Programma!$F$3:$W$1101,18,0),"")</f>
        <v>_</v>
      </c>
      <c r="BA9" s="114" t="str">
        <f>_xlfn.IFNA(VLOOKUP($AI9,Programma!$F$3:$X$1101,19,0),"")</f>
        <v>_</v>
      </c>
      <c r="BB9" s="114" t="str">
        <f>_xlfn.IFNA(VLOOKUP($AI9,Programma!$F$3:$Y$1101,20,0),"")</f>
        <v>_</v>
      </c>
      <c r="BC9" s="111"/>
      <c r="BD9" s="110" t="str">
        <f>IF(Ruimtestaat[[#This Row],[Frequentie weekend]]="","",_xlfn.CONCAT(Ruimtestaat[[#This Row],[Ruimte code]],"-",Ruimtestaat[[#This Row],[Frequentie weekend]]," ",Ruimtestaat[[#This Row],[Vloer code]]))</f>
        <v/>
      </c>
      <c r="BE9" s="114" t="str">
        <f>_xlfn.IFNA(VLOOKUP($BD9,Programma!$F$3:$G$1101,2,0),"")</f>
        <v/>
      </c>
      <c r="BF9" s="114" t="str">
        <f>_xlfn.IFNA(VLOOKUP($BD9,Programma!$F$3:$H$1101,3,0),"")</f>
        <v/>
      </c>
      <c r="BG9" s="114" t="str">
        <f>_xlfn.IFNA(VLOOKUP($BD9,Programma!$F$3:$I$1101,4,0),"")</f>
        <v/>
      </c>
      <c r="BH9" s="114" t="str">
        <f>_xlfn.IFNA(VLOOKUP($BD9,Programma!$F$3:$J$1101,5,0),"")</f>
        <v/>
      </c>
      <c r="BI9" s="114" t="str">
        <f>_xlfn.IFNA(VLOOKUP($BD9,Programma!$F$3:$K$1101,6,0),"")</f>
        <v/>
      </c>
      <c r="BJ9" s="114" t="str">
        <f>_xlfn.IFNA(VLOOKUP($BD9,Programma!$F$3:$L$1101,7,0),"")</f>
        <v/>
      </c>
      <c r="BK9" s="114" t="str">
        <f>_xlfn.IFNA(VLOOKUP($BD9,Programma!$F$3:$M$1101,8,0),"")</f>
        <v/>
      </c>
      <c r="BL9" s="114" t="str">
        <f>_xlfn.IFNA(VLOOKUP($BD9,Programma!$F$3:$N$1101,9,0),"")</f>
        <v/>
      </c>
      <c r="BM9" s="114" t="str">
        <f>_xlfn.IFNA(VLOOKUP($BD9,Programma!$F$3:$O$1101,10,0),"")</f>
        <v/>
      </c>
      <c r="BN9" s="114" t="str">
        <f>_xlfn.IFNA(VLOOKUP($BD9,Programma!$F$3:$P$1101,11,0),"")</f>
        <v/>
      </c>
      <c r="BO9" s="114" t="str">
        <f>_xlfn.IFNA(VLOOKUP($BD9,Programma!$F$3:$Q$1101,12,0),"")</f>
        <v/>
      </c>
      <c r="BP9" s="114" t="str">
        <f>_xlfn.IFNA(VLOOKUP($BD9,Programma!$F$3:$R$1101,13,0),"")</f>
        <v/>
      </c>
      <c r="BQ9" s="114" t="str">
        <f>_xlfn.IFNA(VLOOKUP($BD9,Programma!$F$3:$S$1101,14,0),"")</f>
        <v/>
      </c>
      <c r="BR9" s="114" t="str">
        <f>_xlfn.IFNA(VLOOKUP($BD9,Programma!$F$3:$T$1101,15,0),"")</f>
        <v/>
      </c>
      <c r="BS9" s="114" t="str">
        <f>_xlfn.IFNA(VLOOKUP($BD9,Programma!$F$3:$U$1101,16,0),"")</f>
        <v/>
      </c>
      <c r="BT9" s="114" t="str">
        <f>_xlfn.IFNA(VLOOKUP($BD9,Programma!$F$3:$V$1101,17,0),"")</f>
        <v/>
      </c>
      <c r="BU9" s="114" t="str">
        <f>_xlfn.IFNA(VLOOKUP($BD9,Programma!$F$3:$W$1101,18,0),"")</f>
        <v/>
      </c>
      <c r="BV9" s="114" t="str">
        <f>_xlfn.IFNA(VLOOKUP($BD9,Programma!$F$3:$X$1101,19,0),"")</f>
        <v/>
      </c>
      <c r="BW9" s="114" t="str">
        <f>_xlfn.IFNA(VLOOKUP($BD9,Programma!$F$3:$Y$1101,20,0),"")</f>
        <v/>
      </c>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row>
    <row r="10" spans="1:221" ht="15" customHeight="1">
      <c r="A10" s="73">
        <v>1</v>
      </c>
      <c r="B10" s="105" t="str">
        <f>VLOOKUP(Ruimtestaat[[#This Row],[Code]],Locaties[[Code]:[Locatie]],2,FALSE)</f>
        <v>IKC Kameleon</v>
      </c>
      <c r="C10" s="105" t="str">
        <f>VLOOKUP(Ruimtestaat[[#This Row],[Code]],Locaties[[#All],[Code]:[Adres]],4,FALSE)</f>
        <v>Mondriaanstraat 15</v>
      </c>
      <c r="D10" s="105" t="str">
        <f>VLOOKUP(Ruimtestaat[[#This Row],[Code]],Locaties[[#All],[Code]:[Postcode]],5,FALSE)</f>
        <v>6921 MJ</v>
      </c>
      <c r="E10" s="105" t="str">
        <f>VLOOKUP(Ruimtestaat[[#This Row],[Code]],Locaties[#All],6,FALSE)</f>
        <v>Duiven</v>
      </c>
      <c r="F10" s="73"/>
      <c r="G10" s="73" t="s">
        <v>1645</v>
      </c>
      <c r="H10" s="272"/>
      <c r="I10" s="273" t="s">
        <v>1652</v>
      </c>
      <c r="J10" s="31">
        <v>20</v>
      </c>
      <c r="K10" s="113" t="str">
        <f>VLOOKUP(Ruimtestaat[[#This Row],[Ruimte code]],Ruimtegroepen[[#All],[Code]:[Ruimte omschrijving]],2,FALSE)</f>
        <v>Niet in Onderhoud</v>
      </c>
      <c r="L10" s="73"/>
      <c r="M10" s="273"/>
      <c r="N10" s="106"/>
      <c r="O10" s="112"/>
      <c r="P10" s="112"/>
      <c r="Q10" s="107">
        <f>VLOOKUP(Ruimtestaat[[#This Row],[Ruimte code]],Ruimtegroepen[],4,FALSE)</f>
        <v>0</v>
      </c>
      <c r="R10" s="73"/>
      <c r="S10" s="73"/>
      <c r="T10" s="73">
        <f>IF(R10&gt;0,IF(RIGHT(Ruimtestaat[[#This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 s="73">
        <f>IF(T10&gt;0,VLOOKUP($J10,Ruimtegroepen[],3,FALSE)*VLOOKUP($L10,Vloersoorten[],3,FALSE)*VLOOKUP($S10,Frequenties[],3,FALSE)*VLOOKUP($A10,Locaties[],3,FALSE),0)</f>
        <v>0</v>
      </c>
      <c r="V10" s="73">
        <f>Ruimtestaat[[#This Row],[Uitvoeringen werkdagen]]*Ruimtestaat[[#This Row],[Oppervlak (netto)]]</f>
        <v>0</v>
      </c>
      <c r="W10" s="108">
        <f>IF(U10&gt;0,Ruimtestaat[[#This Row],[Prest. (m2 /jaar) werkdagen]]/Ruimtestaat[[#This Row],[Norm (m2/uur) werkdagen]],0)</f>
        <v>0</v>
      </c>
      <c r="X10" s="109">
        <f>Ruimtestaat[[#This Row],[uren / jaar werkdagen]]*Tariefsopbouw!$E$35</f>
        <v>0</v>
      </c>
      <c r="Y10" s="73"/>
      <c r="Z10" s="73">
        <f>IF(Ruimtestaat[[#This Row],[Frequentie weekend]]&gt;0,VALUE(LEFT(Y10,1))*R10,0)</f>
        <v>0</v>
      </c>
      <c r="AA10" s="72">
        <f>IF($Z10&gt;0,VLOOKUP($J10,Ruimtegroepen[],3,FALSE)*VLOOKUP($L10,Vloersoorten[],3,FALSE)*VLOOKUP($Y10,Frequenties[],3,FALSE)*VLOOKUP(Ruimtestaat[[#This Row],[Code]],Locaties[],3,FALSE),0)</f>
        <v>0</v>
      </c>
      <c r="AB10" s="72">
        <f>Ruimtestaat[[#This Row],[Uitvoeringen weekend]]*Ruimtestaat[[#This Row],[Oppervlak (netto)]]</f>
        <v>0</v>
      </c>
      <c r="AC10" s="72">
        <f>IF(AA10&gt;0,Ruimtestaat[[#This Row],[Prest. (m2 /jaar) weekend]]/Ruimtestaat[[#This Row],[Norm (m2/uur) weekend]],0)</f>
        <v>0</v>
      </c>
      <c r="AD10" s="109">
        <f>Ruimtestaat[[#This Row],[uren / jaar weekend]]*Tariefsopbouw!$D$40</f>
        <v>0</v>
      </c>
      <c r="AE10" s="108">
        <f>Ruimtestaat[[#This Row],[Prest. (m2 /jaar) weekend]]+Ruimtestaat[[#This Row],[Prest. (m2 /jaar) werkdagen]]</f>
        <v>0</v>
      </c>
      <c r="AF10" s="108">
        <f>Ruimtestaat[[#This Row],[uren / jaar weekend]]+Ruimtestaat[[#This Row],[uren / jaar werkdagen]]</f>
        <v>0</v>
      </c>
      <c r="AG10" s="103">
        <f>Ruimtestaat[[#This Row],[kosten / jaar weekend]]+Ruimtestaat[[#This Row],[kosten / jaar werkdagen]]</f>
        <v>0</v>
      </c>
      <c r="AH10" s="103"/>
      <c r="AI10" s="110" t="str">
        <f>IF(Ruimtestaat[[#This Row],[Frequentie werkdagen]]="","",_xlfn.CONCAT(Ruimtestaat[[#This Row],[Ruimte code]],"-",Ruimtestaat[[#This Row],[Frequentie werkdagen]]," ",Ruimtestaat[[#This Row],[Vloer code]]))</f>
        <v/>
      </c>
      <c r="AJ10" s="114" t="str">
        <f>_xlfn.IFNA(VLOOKUP($AI10,Programma!$F$3:$G$1101,2,0),"")</f>
        <v/>
      </c>
      <c r="AK10" s="114" t="str">
        <f>_xlfn.IFNA(VLOOKUP($AI10,Programma!$F$3:$H$1101,3,0),"")</f>
        <v/>
      </c>
      <c r="AL10" s="114" t="str">
        <f>_xlfn.IFNA(VLOOKUP($AI10,Programma!$F$3:$I$1101,4,0),"")</f>
        <v/>
      </c>
      <c r="AM10" s="114" t="str">
        <f>_xlfn.IFNA(VLOOKUP($AI10,Programma!$F$3:$J$1101,5,0),"")</f>
        <v/>
      </c>
      <c r="AN10" s="114" t="str">
        <f>_xlfn.IFNA(VLOOKUP($AI10,Programma!$F$3:$K$1101,6,0),"")</f>
        <v/>
      </c>
      <c r="AO10" s="114" t="str">
        <f>_xlfn.IFNA(VLOOKUP($AI10,Programma!$F$3:$L$1101,7,0),"")</f>
        <v/>
      </c>
      <c r="AP10" s="114" t="str">
        <f>_xlfn.IFNA(VLOOKUP($AI10,Programma!$F$3:$M$1101,8,0),"")</f>
        <v/>
      </c>
      <c r="AQ10" s="114" t="str">
        <f>_xlfn.IFNA(VLOOKUP($AI10,Programma!$F$3:$N$1101,9,0),"")</f>
        <v/>
      </c>
      <c r="AR10" s="114" t="str">
        <f>_xlfn.IFNA(VLOOKUP($AI10,Programma!$F$3:$O$1101,10,0),"")</f>
        <v/>
      </c>
      <c r="AS10" s="114" t="str">
        <f>_xlfn.IFNA(VLOOKUP($AI10,Programma!$F$3:$P$1101,11,0),"")</f>
        <v/>
      </c>
      <c r="AT10" s="114" t="str">
        <f>_xlfn.IFNA(VLOOKUP($AI10,Programma!$F$3:$Q$1101,12,0),"")</f>
        <v/>
      </c>
      <c r="AU10" s="114" t="str">
        <f>_xlfn.IFNA(VLOOKUP($AI10,Programma!$F$3:$R$1101,13,0),"")</f>
        <v/>
      </c>
      <c r="AV10" s="114" t="str">
        <f>_xlfn.IFNA(VLOOKUP($AI10,Programma!$F$3:$S$1101,14,0),"")</f>
        <v/>
      </c>
      <c r="AW10" s="114" t="str">
        <f>_xlfn.IFNA(VLOOKUP($AI10,Programma!$F$3:$T$1101,15,0),"")</f>
        <v/>
      </c>
      <c r="AX10" s="114" t="str">
        <f>_xlfn.IFNA(VLOOKUP($AI10,Programma!$F$3:$U$1101,16,0),"")</f>
        <v/>
      </c>
      <c r="AY10" s="114" t="str">
        <f>_xlfn.IFNA(VLOOKUP($AI10,Programma!$F$3:$V$1101,17,0),"")</f>
        <v/>
      </c>
      <c r="AZ10" s="114" t="str">
        <f>_xlfn.IFNA(VLOOKUP($AI10,Programma!$F$3:$W$1101,18,0),"")</f>
        <v/>
      </c>
      <c r="BA10" s="114" t="str">
        <f>_xlfn.IFNA(VLOOKUP($AI10,Programma!$F$3:$X$1101,19,0),"")</f>
        <v/>
      </c>
      <c r="BB10" s="114" t="str">
        <f>_xlfn.IFNA(VLOOKUP($AI10,Programma!$F$3:$Y$1101,20,0),"")</f>
        <v/>
      </c>
      <c r="BC10" s="111"/>
      <c r="BD10" s="110" t="str">
        <f>IF(Ruimtestaat[[#This Row],[Frequentie weekend]]="","",_xlfn.CONCAT(Ruimtestaat[[#This Row],[Ruimte code]],"-",Ruimtestaat[[#This Row],[Frequentie weekend]]," ",Ruimtestaat[[#This Row],[Vloer code]]))</f>
        <v/>
      </c>
      <c r="BE10" s="114" t="str">
        <f>_xlfn.IFNA(VLOOKUP($BD10,Programma!$F$3:$G$1101,2,0),"")</f>
        <v/>
      </c>
      <c r="BF10" s="114" t="str">
        <f>_xlfn.IFNA(VLOOKUP($BD10,Programma!$F$3:$H$1101,3,0),"")</f>
        <v/>
      </c>
      <c r="BG10" s="114" t="str">
        <f>_xlfn.IFNA(VLOOKUP($BD10,Programma!$F$3:$I$1101,4,0),"")</f>
        <v/>
      </c>
      <c r="BH10" s="114" t="str">
        <f>_xlfn.IFNA(VLOOKUP($BD10,Programma!$F$3:$J$1101,5,0),"")</f>
        <v/>
      </c>
      <c r="BI10" s="114" t="str">
        <f>_xlfn.IFNA(VLOOKUP($BD10,Programma!$F$3:$K$1101,6,0),"")</f>
        <v/>
      </c>
      <c r="BJ10" s="114" t="str">
        <f>_xlfn.IFNA(VLOOKUP($BD10,Programma!$F$3:$L$1101,7,0),"")</f>
        <v/>
      </c>
      <c r="BK10" s="114" t="str">
        <f>_xlfn.IFNA(VLOOKUP($BD10,Programma!$F$3:$M$1101,8,0),"")</f>
        <v/>
      </c>
      <c r="BL10" s="114" t="str">
        <f>_xlfn.IFNA(VLOOKUP($BD10,Programma!$F$3:$N$1101,9,0),"")</f>
        <v/>
      </c>
      <c r="BM10" s="114" t="str">
        <f>_xlfn.IFNA(VLOOKUP($BD10,Programma!$F$3:$O$1101,10,0),"")</f>
        <v/>
      </c>
      <c r="BN10" s="114" t="str">
        <f>_xlfn.IFNA(VLOOKUP($BD10,Programma!$F$3:$P$1101,11,0),"")</f>
        <v/>
      </c>
      <c r="BO10" s="114" t="str">
        <f>_xlfn.IFNA(VLOOKUP($BD10,Programma!$F$3:$Q$1101,12,0),"")</f>
        <v/>
      </c>
      <c r="BP10" s="114" t="str">
        <f>_xlfn.IFNA(VLOOKUP($BD10,Programma!$F$3:$R$1101,13,0),"")</f>
        <v/>
      </c>
      <c r="BQ10" s="114" t="str">
        <f>_xlfn.IFNA(VLOOKUP($BD10,Programma!$F$3:$S$1101,14,0),"")</f>
        <v/>
      </c>
      <c r="BR10" s="114" t="str">
        <f>_xlfn.IFNA(VLOOKUP($BD10,Programma!$F$3:$T$1101,15,0),"")</f>
        <v/>
      </c>
      <c r="BS10" s="114" t="str">
        <f>_xlfn.IFNA(VLOOKUP($BD10,Programma!$F$3:$U$1101,16,0),"")</f>
        <v/>
      </c>
      <c r="BT10" s="114" t="str">
        <f>_xlfn.IFNA(VLOOKUP($BD10,Programma!$F$3:$V$1101,17,0),"")</f>
        <v/>
      </c>
      <c r="BU10" s="114" t="str">
        <f>_xlfn.IFNA(VLOOKUP($BD10,Programma!$F$3:$W$1101,18,0),"")</f>
        <v/>
      </c>
      <c r="BV10" s="114" t="str">
        <f>_xlfn.IFNA(VLOOKUP($BD10,Programma!$F$3:$X$1101,19,0),"")</f>
        <v/>
      </c>
      <c r="BW10" s="114" t="str">
        <f>_xlfn.IFNA(VLOOKUP($BD10,Programma!$F$3:$Y$1101,20,0),"")</f>
        <v/>
      </c>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row>
    <row r="11" spans="1:221" ht="15" customHeight="1">
      <c r="A11" s="73">
        <v>1</v>
      </c>
      <c r="B11" s="105" t="str">
        <f>VLOOKUP(Ruimtestaat[[#This Row],[Code]],Locaties[[Code]:[Locatie]],2,FALSE)</f>
        <v>IKC Kameleon</v>
      </c>
      <c r="C11" s="105" t="str">
        <f>VLOOKUP(Ruimtestaat[[#This Row],[Code]],Locaties[[#All],[Code]:[Adres]],4,FALSE)</f>
        <v>Mondriaanstraat 15</v>
      </c>
      <c r="D11" s="105" t="str">
        <f>VLOOKUP(Ruimtestaat[[#This Row],[Code]],Locaties[[#All],[Code]:[Postcode]],5,FALSE)</f>
        <v>6921 MJ</v>
      </c>
      <c r="E11" s="105" t="str">
        <f>VLOOKUP(Ruimtestaat[[#This Row],[Code]],Locaties[#All],6,FALSE)</f>
        <v>Duiven</v>
      </c>
      <c r="F11" s="73"/>
      <c r="G11" s="73" t="s">
        <v>1645</v>
      </c>
      <c r="H11" s="272"/>
      <c r="I11" s="273" t="s">
        <v>1655</v>
      </c>
      <c r="J11" s="31">
        <v>5</v>
      </c>
      <c r="K11" s="113" t="str">
        <f>VLOOKUP(Ruimtestaat[[#This Row],[Ruimte code]],Ruimtegroepen[[#All],[Code]:[Ruimte omschrijving]],2,FALSE)</f>
        <v>Sanitair</v>
      </c>
      <c r="L11" s="73" t="s">
        <v>99</v>
      </c>
      <c r="M11" s="273" t="s">
        <v>36</v>
      </c>
      <c r="N11" s="106">
        <v>2</v>
      </c>
      <c r="O11" s="112"/>
      <c r="P11" s="112"/>
      <c r="Q11" s="107" t="str">
        <f>VLOOKUP(Ruimtestaat[[#This Row],[Ruimte code]],Ruimtegroepen[],4,FALSE)</f>
        <v>Sa</v>
      </c>
      <c r="R11" s="73">
        <v>40</v>
      </c>
      <c r="S11" s="73" t="s">
        <v>2</v>
      </c>
      <c r="T11" s="73">
        <f>IF(R11&gt;0,IF(RIGHT(Ruimtestaat[[#This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 s="73">
        <f>IF(T11&gt;0,VLOOKUP($J11,Ruimtegroepen[],3,FALSE)*VLOOKUP($L11,Vloersoorten[],3,FALSE)*VLOOKUP($S11,Frequenties[],3,FALSE)*VLOOKUP($A11,Locaties[],3,FALSE),0)</f>
        <v>0</v>
      </c>
      <c r="V11" s="73">
        <f>Ruimtestaat[[#This Row],[Uitvoeringen werkdagen]]*Ruimtestaat[[#This Row],[Oppervlak (netto)]]</f>
        <v>400</v>
      </c>
      <c r="W11" s="108">
        <f>IF(U11&gt;0,Ruimtestaat[[#This Row],[Prest. (m2 /jaar) werkdagen]]/Ruimtestaat[[#This Row],[Norm (m2/uur) werkdagen]],0)</f>
        <v>0</v>
      </c>
      <c r="X11" s="109">
        <f>Ruimtestaat[[#This Row],[uren / jaar werkdagen]]*Tariefsopbouw!$E$35</f>
        <v>0</v>
      </c>
      <c r="Y11" s="73"/>
      <c r="Z11" s="73">
        <f>IF(Ruimtestaat[[#This Row],[Frequentie weekend]]&gt;0,VALUE(LEFT(Y11,1))*R11,0)</f>
        <v>0</v>
      </c>
      <c r="AA11" s="72">
        <f>IF($Z11&gt;0,VLOOKUP($J11,Ruimtegroepen[],3,FALSE)*VLOOKUP($L11,Vloersoorten[],3,FALSE)*VLOOKUP($Y11,Frequenties[],3,FALSE)*VLOOKUP(Ruimtestaat[[#This Row],[Code]],Locaties[],3,FALSE),0)</f>
        <v>0</v>
      </c>
      <c r="AB11" s="72">
        <f>Ruimtestaat[[#This Row],[Uitvoeringen weekend]]*Ruimtestaat[[#This Row],[Oppervlak (netto)]]</f>
        <v>0</v>
      </c>
      <c r="AC11" s="72">
        <f>IF(AA11&gt;0,Ruimtestaat[[#This Row],[Prest. (m2 /jaar) weekend]]/Ruimtestaat[[#This Row],[Norm (m2/uur) weekend]],0)</f>
        <v>0</v>
      </c>
      <c r="AD11" s="109">
        <f>Ruimtestaat[[#This Row],[uren / jaar weekend]]*Tariefsopbouw!$D$40</f>
        <v>0</v>
      </c>
      <c r="AE11" s="108">
        <f>Ruimtestaat[[#This Row],[Prest. (m2 /jaar) weekend]]+Ruimtestaat[[#This Row],[Prest. (m2 /jaar) werkdagen]]</f>
        <v>400</v>
      </c>
      <c r="AF11" s="108">
        <f>Ruimtestaat[[#This Row],[uren / jaar weekend]]+Ruimtestaat[[#This Row],[uren / jaar werkdagen]]</f>
        <v>0</v>
      </c>
      <c r="AG11" s="103">
        <f>Ruimtestaat[[#This Row],[kosten / jaar weekend]]+Ruimtestaat[[#This Row],[kosten / jaar werkdagen]]</f>
        <v>0</v>
      </c>
      <c r="AH11" s="103"/>
      <c r="AI11" s="110" t="str">
        <f>IF(Ruimtestaat[[#This Row],[Frequentie werkdagen]]="","",_xlfn.CONCAT(Ruimtestaat[[#This Row],[Ruimte code]],"-",Ruimtestaat[[#This Row],[Frequentie werkdagen]]," ",Ruimtestaat[[#This Row],[Vloer code]]))</f>
        <v>5-5w T</v>
      </c>
      <c r="AJ11" s="114" t="str">
        <f>_xlfn.IFNA(VLOOKUP($AI11,Programma!$F$3:$G$1101,2,0),"")</f>
        <v>_</v>
      </c>
      <c r="AK11" s="114" t="str">
        <f>_xlfn.IFNA(VLOOKUP($AI11,Programma!$F$3:$H$1101,3,0),"")</f>
        <v>_</v>
      </c>
      <c r="AL11" s="114" t="str">
        <f>_xlfn.IFNA(VLOOKUP($AI11,Programma!$F$3:$I$1101,4,0),"")</f>
        <v>_</v>
      </c>
      <c r="AM11" s="114" t="str">
        <f>_xlfn.IFNA(VLOOKUP($AI11,Programma!$F$3:$J$1101,5,0),"")</f>
        <v>_</v>
      </c>
      <c r="AN11" s="114" t="str">
        <f>_xlfn.IFNA(VLOOKUP($AI11,Programma!$F$3:$K$1101,6,0),"")</f>
        <v>_</v>
      </c>
      <c r="AO11" s="114" t="str">
        <f>_xlfn.IFNA(VLOOKUP($AI11,Programma!$F$3:$L$1101,7,0),"")</f>
        <v>_</v>
      </c>
      <c r="AP11" s="114" t="str">
        <f>_xlfn.IFNA(VLOOKUP($AI11,Programma!$F$3:$M$1101,8,0),"")</f>
        <v>_</v>
      </c>
      <c r="AQ11" s="114" t="str">
        <f>_xlfn.IFNA(VLOOKUP($AI11,Programma!$F$3:$N$1101,9,0),"")</f>
        <v>_</v>
      </c>
      <c r="AR11" s="114" t="str">
        <f>_xlfn.IFNA(VLOOKUP($AI11,Programma!$F$3:$O$1101,10,0),"")</f>
        <v>_</v>
      </c>
      <c r="AS11" s="114" t="str">
        <f>_xlfn.IFNA(VLOOKUP($AI11,Programma!$F$3:$P$1101,11,0),"")</f>
        <v>_</v>
      </c>
      <c r="AT11" s="114" t="str">
        <f>_xlfn.IFNA(VLOOKUP($AI11,Programma!$F$3:$Q$1101,12,0),"")</f>
        <v>_</v>
      </c>
      <c r="AU11" s="114" t="str">
        <f>_xlfn.IFNA(VLOOKUP($AI11,Programma!$F$3:$R$1101,13,0),"")</f>
        <v>_</v>
      </c>
      <c r="AV11" s="114" t="str">
        <f>_xlfn.IFNA(VLOOKUP($AI11,Programma!$F$3:$S$1101,14,0),"")</f>
        <v>_</v>
      </c>
      <c r="AW11" s="114" t="str">
        <f>_xlfn.IFNA(VLOOKUP($AI11,Programma!$F$3:$T$1101,15,0),"")</f>
        <v>_</v>
      </c>
      <c r="AX11" s="114" t="str">
        <f>_xlfn.IFNA(VLOOKUP($AI11,Programma!$F$3:$U$1101,16,0),"")</f>
        <v>_</v>
      </c>
      <c r="AY11" s="114" t="str">
        <f>_xlfn.IFNA(VLOOKUP($AI11,Programma!$F$3:$V$1101,17,0),"")</f>
        <v>_</v>
      </c>
      <c r="AZ11" s="114" t="str">
        <f>_xlfn.IFNA(VLOOKUP($AI11,Programma!$F$3:$W$1101,18,0),"")</f>
        <v>_</v>
      </c>
      <c r="BA11" s="114" t="str">
        <f>_xlfn.IFNA(VLOOKUP($AI11,Programma!$F$3:$X$1101,19,0),"")</f>
        <v>_</v>
      </c>
      <c r="BB11" s="114" t="str">
        <f>_xlfn.IFNA(VLOOKUP($AI11,Programma!$F$3:$Y$1101,20,0),"")</f>
        <v>_</v>
      </c>
      <c r="BC11" s="111"/>
      <c r="BD11" s="110" t="str">
        <f>IF(Ruimtestaat[[#This Row],[Frequentie weekend]]="","",_xlfn.CONCAT(Ruimtestaat[[#This Row],[Ruimte code]],"-",Ruimtestaat[[#This Row],[Frequentie weekend]]," ",Ruimtestaat[[#This Row],[Vloer code]]))</f>
        <v/>
      </c>
      <c r="BE11" s="114" t="str">
        <f>_xlfn.IFNA(VLOOKUP($BD11,Programma!$F$3:$G$1101,2,0),"")</f>
        <v/>
      </c>
      <c r="BF11" s="114" t="str">
        <f>_xlfn.IFNA(VLOOKUP($BD11,Programma!$F$3:$H$1101,3,0),"")</f>
        <v/>
      </c>
      <c r="BG11" s="114" t="str">
        <f>_xlfn.IFNA(VLOOKUP($BD11,Programma!$F$3:$I$1101,4,0),"")</f>
        <v/>
      </c>
      <c r="BH11" s="114" t="str">
        <f>_xlfn.IFNA(VLOOKUP($BD11,Programma!$F$3:$J$1101,5,0),"")</f>
        <v/>
      </c>
      <c r="BI11" s="114" t="str">
        <f>_xlfn.IFNA(VLOOKUP($BD11,Programma!$F$3:$K$1101,6,0),"")</f>
        <v/>
      </c>
      <c r="BJ11" s="114" t="str">
        <f>_xlfn.IFNA(VLOOKUP($BD11,Programma!$F$3:$L$1101,7,0),"")</f>
        <v/>
      </c>
      <c r="BK11" s="114" t="str">
        <f>_xlfn.IFNA(VLOOKUP($BD11,Programma!$F$3:$M$1101,8,0),"")</f>
        <v/>
      </c>
      <c r="BL11" s="114" t="str">
        <f>_xlfn.IFNA(VLOOKUP($BD11,Programma!$F$3:$N$1101,9,0),"")</f>
        <v/>
      </c>
      <c r="BM11" s="114" t="str">
        <f>_xlfn.IFNA(VLOOKUP($BD11,Programma!$F$3:$O$1101,10,0),"")</f>
        <v/>
      </c>
      <c r="BN11" s="114" t="str">
        <f>_xlfn.IFNA(VLOOKUP($BD11,Programma!$F$3:$P$1101,11,0),"")</f>
        <v/>
      </c>
      <c r="BO11" s="114" t="str">
        <f>_xlfn.IFNA(VLOOKUP($BD11,Programma!$F$3:$Q$1101,12,0),"")</f>
        <v/>
      </c>
      <c r="BP11" s="114" t="str">
        <f>_xlfn.IFNA(VLOOKUP($BD11,Programma!$F$3:$R$1101,13,0),"")</f>
        <v/>
      </c>
      <c r="BQ11" s="114" t="str">
        <f>_xlfn.IFNA(VLOOKUP($BD11,Programma!$F$3:$S$1101,14,0),"")</f>
        <v/>
      </c>
      <c r="BR11" s="114" t="str">
        <f>_xlfn.IFNA(VLOOKUP($BD11,Programma!$F$3:$T$1101,15,0),"")</f>
        <v/>
      </c>
      <c r="BS11" s="114" t="str">
        <f>_xlfn.IFNA(VLOOKUP($BD11,Programma!$F$3:$U$1101,16,0),"")</f>
        <v/>
      </c>
      <c r="BT11" s="114" t="str">
        <f>_xlfn.IFNA(VLOOKUP($BD11,Programma!$F$3:$V$1101,17,0),"")</f>
        <v/>
      </c>
      <c r="BU11" s="114" t="str">
        <f>_xlfn.IFNA(VLOOKUP($BD11,Programma!$F$3:$W$1101,18,0),"")</f>
        <v/>
      </c>
      <c r="BV11" s="114" t="str">
        <f>_xlfn.IFNA(VLOOKUP($BD11,Programma!$F$3:$X$1101,19,0),"")</f>
        <v/>
      </c>
      <c r="BW11" s="114" t="str">
        <f>_xlfn.IFNA(VLOOKUP($BD11,Programma!$F$3:$Y$1101,20,0),"")</f>
        <v/>
      </c>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row>
    <row r="12" spans="1:221" ht="15" customHeight="1">
      <c r="A12" s="73">
        <v>1</v>
      </c>
      <c r="B12" s="105" t="str">
        <f>VLOOKUP(Ruimtestaat[[#This Row],[Code]],Locaties[[Code]:[Locatie]],2,FALSE)</f>
        <v>IKC Kameleon</v>
      </c>
      <c r="C12" s="105" t="str">
        <f>VLOOKUP(Ruimtestaat[[#This Row],[Code]],Locaties[[#All],[Code]:[Adres]],4,FALSE)</f>
        <v>Mondriaanstraat 15</v>
      </c>
      <c r="D12" s="105" t="str">
        <f>VLOOKUP(Ruimtestaat[[#This Row],[Code]],Locaties[[#All],[Code]:[Postcode]],5,FALSE)</f>
        <v>6921 MJ</v>
      </c>
      <c r="E12" s="105" t="str">
        <f>VLOOKUP(Ruimtestaat[[#This Row],[Code]],Locaties[#All],6,FALSE)</f>
        <v>Duiven</v>
      </c>
      <c r="F12" s="73"/>
      <c r="G12" s="73" t="s">
        <v>1645</v>
      </c>
      <c r="H12" s="272"/>
      <c r="I12" s="273" t="s">
        <v>1983</v>
      </c>
      <c r="J12" s="31">
        <v>1</v>
      </c>
      <c r="K12" s="113" t="str">
        <f>VLOOKUP(Ruimtestaat[[#This Row],[Ruimte code]],Ruimtegroepen[[#All],[Code]:[Ruimte omschrijving]],2,FALSE)</f>
        <v>Magazijnen/bergingen</v>
      </c>
      <c r="L12" s="73" t="s">
        <v>99</v>
      </c>
      <c r="M12" s="273" t="s">
        <v>36</v>
      </c>
      <c r="N12" s="106">
        <v>3</v>
      </c>
      <c r="O12" s="73"/>
      <c r="P12" s="73"/>
      <c r="Q12" s="107" t="str">
        <f>VLOOKUP(Ruimtestaat[[#This Row],[Ruimte code]],Ruimtegroepen[],4,FALSE)</f>
        <v>Ve</v>
      </c>
      <c r="R12" s="73">
        <v>40</v>
      </c>
      <c r="S12" s="73" t="s">
        <v>16</v>
      </c>
      <c r="T12" s="73">
        <f>IF(R12&gt;0,IF(RIGHT(Ruimtestaat[[#This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2" s="73">
        <f>IF(T12&gt;0,VLOOKUP($J12,Ruimtegroepen[],3,FALSE)*VLOOKUP($L12,Vloersoorten[],3,FALSE)*VLOOKUP($S12,Frequenties[],3,FALSE)*VLOOKUP($A12,Locaties[],3,FALSE),0)</f>
        <v>0</v>
      </c>
      <c r="V12" s="73">
        <f>Ruimtestaat[[#This Row],[Uitvoeringen werkdagen]]*Ruimtestaat[[#This Row],[Oppervlak (netto)]]</f>
        <v>36</v>
      </c>
      <c r="W12" s="108">
        <f>IF(U12&gt;0,Ruimtestaat[[#This Row],[Prest. (m2 /jaar) werkdagen]]/Ruimtestaat[[#This Row],[Norm (m2/uur) werkdagen]],0)</f>
        <v>0</v>
      </c>
      <c r="X12" s="109">
        <f>Ruimtestaat[[#This Row],[uren / jaar werkdagen]]*Tariefsopbouw!$E$35</f>
        <v>0</v>
      </c>
      <c r="Y12" s="73"/>
      <c r="Z12" s="73">
        <f>IF(Ruimtestaat[[#This Row],[Frequentie weekend]]&gt;0,VALUE(LEFT(Y12,1))*R12,0)</f>
        <v>0</v>
      </c>
      <c r="AA12" s="72">
        <f>IF($Z12&gt;0,VLOOKUP($J12,Ruimtegroepen[],3,FALSE)*VLOOKUP($L12,Vloersoorten[],3,FALSE)*VLOOKUP($Y12,Frequenties[],3,FALSE)*VLOOKUP(Ruimtestaat[[#This Row],[Code]],Locaties[],3,FALSE),0)</f>
        <v>0</v>
      </c>
      <c r="AB12" s="72">
        <f>Ruimtestaat[[#This Row],[Uitvoeringen weekend]]*Ruimtestaat[[#This Row],[Oppervlak (netto)]]</f>
        <v>0</v>
      </c>
      <c r="AC12" s="72">
        <f>IF(AA12&gt;0,Ruimtestaat[[#This Row],[Prest. (m2 /jaar) weekend]]/Ruimtestaat[[#This Row],[Norm (m2/uur) weekend]],0)</f>
        <v>0</v>
      </c>
      <c r="AD12" s="109">
        <f>Ruimtestaat[[#This Row],[uren / jaar weekend]]*Tariefsopbouw!$D$40</f>
        <v>0</v>
      </c>
      <c r="AE12" s="108">
        <f>Ruimtestaat[[#This Row],[Prest. (m2 /jaar) weekend]]+Ruimtestaat[[#This Row],[Prest. (m2 /jaar) werkdagen]]</f>
        <v>36</v>
      </c>
      <c r="AF12" s="108">
        <f>Ruimtestaat[[#This Row],[uren / jaar weekend]]+Ruimtestaat[[#This Row],[uren / jaar werkdagen]]</f>
        <v>0</v>
      </c>
      <c r="AG12" s="103">
        <f>Ruimtestaat[[#This Row],[kosten / jaar weekend]]+Ruimtestaat[[#This Row],[kosten / jaar werkdagen]]</f>
        <v>0</v>
      </c>
      <c r="AH12" s="103"/>
      <c r="AI12" s="110" t="str">
        <f>IF(Ruimtestaat[[#This Row],[Frequentie werkdagen]]="","",_xlfn.CONCAT(Ruimtestaat[[#This Row],[Ruimte code]],"-",Ruimtestaat[[#This Row],[Frequentie werkdagen]]," ",Ruimtestaat[[#This Row],[Vloer code]]))</f>
        <v>1-1m T</v>
      </c>
      <c r="AJ12" s="114" t="str">
        <f>_xlfn.IFNA(VLOOKUP($AI12,Programma!$F$3:$G$1101,2,0),"")</f>
        <v>_</v>
      </c>
      <c r="AK12" s="114" t="str">
        <f>_xlfn.IFNA(VLOOKUP($AI12,Programma!$F$3:$H$1101,3,0),"")</f>
        <v>1m</v>
      </c>
      <c r="AL12" s="114" t="str">
        <f>_xlfn.IFNA(VLOOKUP($AI12,Programma!$F$3:$I$1101,4,0),"")</f>
        <v>_</v>
      </c>
      <c r="AM12" s="114" t="str">
        <f>_xlfn.IFNA(VLOOKUP($AI12,Programma!$F$3:$J$1101,5,0),"")</f>
        <v>_</v>
      </c>
      <c r="AN12" s="114" t="str">
        <f>_xlfn.IFNA(VLOOKUP($AI12,Programma!$F$3:$K$1101,6,0),"")</f>
        <v>_</v>
      </c>
      <c r="AO12" s="114" t="str">
        <f>_xlfn.IFNA(VLOOKUP($AI12,Programma!$F$3:$L$1101,7,0),"")</f>
        <v>_</v>
      </c>
      <c r="AP12" s="114" t="str">
        <f>_xlfn.IFNA(VLOOKUP($AI12,Programma!$F$3:$M$1101,8,0),"")</f>
        <v>_</v>
      </c>
      <c r="AQ12" s="114" t="str">
        <f>_xlfn.IFNA(VLOOKUP($AI12,Programma!$F$3:$N$1101,9,0),"")</f>
        <v>_</v>
      </c>
      <c r="AR12" s="114" t="str">
        <f>_xlfn.IFNA(VLOOKUP($AI12,Programma!$F$3:$O$1101,10,0),"")</f>
        <v>_</v>
      </c>
      <c r="AS12" s="114" t="str">
        <f>_xlfn.IFNA(VLOOKUP($AI12,Programma!$F$3:$P$1101,11,0),"")</f>
        <v>_</v>
      </c>
      <c r="AT12" s="114" t="str">
        <f>_xlfn.IFNA(VLOOKUP($AI12,Programma!$F$3:$Q$1101,12,0),"")</f>
        <v>_</v>
      </c>
      <c r="AU12" s="114" t="str">
        <f>_xlfn.IFNA(VLOOKUP($AI12,Programma!$F$3:$R$1101,13,0),"")</f>
        <v>_</v>
      </c>
      <c r="AV12" s="114" t="str">
        <f>_xlfn.IFNA(VLOOKUP($AI12,Programma!$F$3:$S$1101,14,0),"")</f>
        <v>1m</v>
      </c>
      <c r="AW12" s="114" t="str">
        <f>_xlfn.IFNA(VLOOKUP($AI12,Programma!$F$3:$T$1101,15,0),"")</f>
        <v>4j</v>
      </c>
      <c r="AX12" s="114" t="str">
        <f>_xlfn.IFNA(VLOOKUP($AI12,Programma!$F$3:$U$1101,16,0),"")</f>
        <v>4j</v>
      </c>
      <c r="AY12" s="114" t="str">
        <f>_xlfn.IFNA(VLOOKUP($AI12,Programma!$F$3:$V$1101,17,0),"")</f>
        <v>_</v>
      </c>
      <c r="AZ12" s="114" t="str">
        <f>_xlfn.IFNA(VLOOKUP($AI12,Programma!$F$3:$W$1101,18,0),"")</f>
        <v>_</v>
      </c>
      <c r="BA12" s="114" t="str">
        <f>_xlfn.IFNA(VLOOKUP($AI12,Programma!$F$3:$X$1101,19,0),"")</f>
        <v>_</v>
      </c>
      <c r="BB12" s="114" t="str">
        <f>_xlfn.IFNA(VLOOKUP($AI12,Programma!$F$3:$Y$1101,20,0),"")</f>
        <v>_</v>
      </c>
      <c r="BC12" s="111"/>
      <c r="BD12" s="110" t="str">
        <f>IF(Ruimtestaat[[#This Row],[Frequentie weekend]]="","",_xlfn.CONCAT(Ruimtestaat[[#This Row],[Ruimte code]],"-",Ruimtestaat[[#This Row],[Frequentie weekend]]," ",Ruimtestaat[[#This Row],[Vloer code]]))</f>
        <v/>
      </c>
      <c r="BE12" s="114" t="str">
        <f>_xlfn.IFNA(VLOOKUP($BD12,Programma!$F$3:$G$1101,2,0),"")</f>
        <v/>
      </c>
      <c r="BF12" s="114" t="str">
        <f>_xlfn.IFNA(VLOOKUP($BD12,Programma!$F$3:$H$1101,3,0),"")</f>
        <v/>
      </c>
      <c r="BG12" s="114" t="str">
        <f>_xlfn.IFNA(VLOOKUP($BD12,Programma!$F$3:$I$1101,4,0),"")</f>
        <v/>
      </c>
      <c r="BH12" s="114" t="str">
        <f>_xlfn.IFNA(VLOOKUP($BD12,Programma!$F$3:$J$1101,5,0),"")</f>
        <v/>
      </c>
      <c r="BI12" s="114" t="str">
        <f>_xlfn.IFNA(VLOOKUP($BD12,Programma!$F$3:$K$1101,6,0),"")</f>
        <v/>
      </c>
      <c r="BJ12" s="114" t="str">
        <f>_xlfn.IFNA(VLOOKUP($BD12,Programma!$F$3:$L$1101,7,0),"")</f>
        <v/>
      </c>
      <c r="BK12" s="114" t="str">
        <f>_xlfn.IFNA(VLOOKUP($BD12,Programma!$F$3:$M$1101,8,0),"")</f>
        <v/>
      </c>
      <c r="BL12" s="114" t="str">
        <f>_xlfn.IFNA(VLOOKUP($BD12,Programma!$F$3:$N$1101,9,0),"")</f>
        <v/>
      </c>
      <c r="BM12" s="114" t="str">
        <f>_xlfn.IFNA(VLOOKUP($BD12,Programma!$F$3:$O$1101,10,0),"")</f>
        <v/>
      </c>
      <c r="BN12" s="114" t="str">
        <f>_xlfn.IFNA(VLOOKUP($BD12,Programma!$F$3:$P$1101,11,0),"")</f>
        <v/>
      </c>
      <c r="BO12" s="114" t="str">
        <f>_xlfn.IFNA(VLOOKUP($BD12,Programma!$F$3:$Q$1101,12,0),"")</f>
        <v/>
      </c>
      <c r="BP12" s="114" t="str">
        <f>_xlfn.IFNA(VLOOKUP($BD12,Programma!$F$3:$R$1101,13,0),"")</f>
        <v/>
      </c>
      <c r="BQ12" s="114" t="str">
        <f>_xlfn.IFNA(VLOOKUP($BD12,Programma!$F$3:$S$1101,14,0),"")</f>
        <v/>
      </c>
      <c r="BR12" s="114" t="str">
        <f>_xlfn.IFNA(VLOOKUP($BD12,Programma!$F$3:$T$1101,15,0),"")</f>
        <v/>
      </c>
      <c r="BS12" s="114" t="str">
        <f>_xlfn.IFNA(VLOOKUP($BD12,Programma!$F$3:$U$1101,16,0),"")</f>
        <v/>
      </c>
      <c r="BT12" s="114" t="str">
        <f>_xlfn.IFNA(VLOOKUP($BD12,Programma!$F$3:$V$1101,17,0),"")</f>
        <v/>
      </c>
      <c r="BU12" s="114" t="str">
        <f>_xlfn.IFNA(VLOOKUP($BD12,Programma!$F$3:$W$1101,18,0),"")</f>
        <v/>
      </c>
      <c r="BV12" s="114" t="str">
        <f>_xlfn.IFNA(VLOOKUP($BD12,Programma!$F$3:$X$1101,19,0),"")</f>
        <v/>
      </c>
      <c r="BW12" s="114" t="str">
        <f>_xlfn.IFNA(VLOOKUP($BD12,Programma!$F$3:$Y$1101,20,0),"")</f>
        <v/>
      </c>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row>
    <row r="13" spans="1:221" ht="15" customHeight="1">
      <c r="A13" s="73">
        <v>1</v>
      </c>
      <c r="B13" s="105" t="str">
        <f>VLOOKUP(Ruimtestaat[[#This Row],[Code]],Locaties[[Code]:[Locatie]],2,FALSE)</f>
        <v>IKC Kameleon</v>
      </c>
      <c r="C13" s="105" t="str">
        <f>VLOOKUP(Ruimtestaat[[#This Row],[Code]],Locaties[[#All],[Code]:[Adres]],4,FALSE)</f>
        <v>Mondriaanstraat 15</v>
      </c>
      <c r="D13" s="105" t="str">
        <f>VLOOKUP(Ruimtestaat[[#This Row],[Code]],Locaties[[#All],[Code]:[Postcode]],5,FALSE)</f>
        <v>6921 MJ</v>
      </c>
      <c r="E13" s="105" t="str">
        <f>VLOOKUP(Ruimtestaat[[#This Row],[Code]],Locaties[#All],6,FALSE)</f>
        <v>Duiven</v>
      </c>
      <c r="F13" s="73"/>
      <c r="G13" s="73" t="s">
        <v>1645</v>
      </c>
      <c r="H13" s="272"/>
      <c r="I13" s="273" t="s">
        <v>1727</v>
      </c>
      <c r="J13" s="31">
        <v>16</v>
      </c>
      <c r="K13" s="113" t="str">
        <f>VLOOKUP(Ruimtestaat[[#This Row],[Ruimte code]],Ruimtegroepen[[#All],[Code]:[Ruimte omschrijving]],2,FALSE)</f>
        <v>Leslokalen</v>
      </c>
      <c r="L13" s="73" t="s">
        <v>99</v>
      </c>
      <c r="M13" s="273" t="s">
        <v>36</v>
      </c>
      <c r="N13" s="106">
        <v>55.25</v>
      </c>
      <c r="O13" s="112"/>
      <c r="P13" s="112"/>
      <c r="Q13" s="107" t="str">
        <f>VLOOKUP(Ruimtestaat[[#This Row],[Ruimte code]],Ruimtegroepen[],4,FALSE)</f>
        <v>Le</v>
      </c>
      <c r="R13" s="73">
        <v>40</v>
      </c>
      <c r="S13" s="73" t="s">
        <v>2</v>
      </c>
      <c r="T13" s="73">
        <f>IF(R13&gt;0,IF(RIGHT(Ruimtestaat[[#This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 s="73">
        <f>IF(T13&gt;0,VLOOKUP($J13,Ruimtegroepen[],3,FALSE)*VLOOKUP($L13,Vloersoorten[],3,FALSE)*VLOOKUP($S13,Frequenties[],3,FALSE)*VLOOKUP($A13,Locaties[],3,FALSE),0)</f>
        <v>0</v>
      </c>
      <c r="V13" s="73">
        <f>Ruimtestaat[[#This Row],[Uitvoeringen werkdagen]]*Ruimtestaat[[#This Row],[Oppervlak (netto)]]</f>
        <v>11050</v>
      </c>
      <c r="W13" s="108">
        <f>IF(U13&gt;0,Ruimtestaat[[#This Row],[Prest. (m2 /jaar) werkdagen]]/Ruimtestaat[[#This Row],[Norm (m2/uur) werkdagen]],0)</f>
        <v>0</v>
      </c>
      <c r="X13" s="109">
        <f>Ruimtestaat[[#This Row],[uren / jaar werkdagen]]*Tariefsopbouw!$E$35</f>
        <v>0</v>
      </c>
      <c r="Y13" s="73"/>
      <c r="Z13" s="73">
        <f>IF(Ruimtestaat[[#This Row],[Frequentie weekend]]&gt;0,VALUE(LEFT(Y13,1))*R13,0)</f>
        <v>0</v>
      </c>
      <c r="AA13" s="72">
        <f>IF($Z13&gt;0,VLOOKUP($J13,Ruimtegroepen[],3,FALSE)*VLOOKUP($L13,Vloersoorten[],3,FALSE)*VLOOKUP($Y13,Frequenties[],3,FALSE)*VLOOKUP(Ruimtestaat[[#This Row],[Code]],Locaties[],3,FALSE),0)</f>
        <v>0</v>
      </c>
      <c r="AB13" s="72">
        <f>Ruimtestaat[[#This Row],[Uitvoeringen weekend]]*Ruimtestaat[[#This Row],[Oppervlak (netto)]]</f>
        <v>0</v>
      </c>
      <c r="AC13" s="72">
        <f>IF(AA13&gt;0,Ruimtestaat[[#This Row],[Prest. (m2 /jaar) weekend]]/Ruimtestaat[[#This Row],[Norm (m2/uur) weekend]],0)</f>
        <v>0</v>
      </c>
      <c r="AD13" s="109">
        <f>Ruimtestaat[[#This Row],[uren / jaar weekend]]*Tariefsopbouw!$D$40</f>
        <v>0</v>
      </c>
      <c r="AE13" s="108">
        <f>Ruimtestaat[[#This Row],[Prest. (m2 /jaar) weekend]]+Ruimtestaat[[#This Row],[Prest. (m2 /jaar) werkdagen]]</f>
        <v>11050</v>
      </c>
      <c r="AF13" s="108">
        <f>Ruimtestaat[[#This Row],[uren / jaar weekend]]+Ruimtestaat[[#This Row],[uren / jaar werkdagen]]</f>
        <v>0</v>
      </c>
      <c r="AG13" s="103">
        <f>Ruimtestaat[[#This Row],[kosten / jaar weekend]]+Ruimtestaat[[#This Row],[kosten / jaar werkdagen]]</f>
        <v>0</v>
      </c>
      <c r="AH13" s="103"/>
      <c r="AI13" s="110" t="str">
        <f>IF(Ruimtestaat[[#This Row],[Frequentie werkdagen]]="","",_xlfn.CONCAT(Ruimtestaat[[#This Row],[Ruimte code]],"-",Ruimtestaat[[#This Row],[Frequentie werkdagen]]," ",Ruimtestaat[[#This Row],[Vloer code]]))</f>
        <v>16-5w T</v>
      </c>
      <c r="AJ13" s="114" t="str">
        <f>_xlfn.IFNA(VLOOKUP($AI13,Programma!$F$3:$G$1101,2,0),"")</f>
        <v>3w</v>
      </c>
      <c r="AK13" s="114" t="str">
        <f>_xlfn.IFNA(VLOOKUP($AI13,Programma!$F$3:$H$1101,3,0),"")</f>
        <v>2w</v>
      </c>
      <c r="AL13" s="114" t="str">
        <f>_xlfn.IFNA(VLOOKUP($AI13,Programma!$F$3:$I$1101,4,0),"")</f>
        <v>_</v>
      </c>
      <c r="AM13" s="114" t="str">
        <f>_xlfn.IFNA(VLOOKUP($AI13,Programma!$F$3:$J$1101,5,0),"")</f>
        <v>_</v>
      </c>
      <c r="AN13" s="114" t="str">
        <f>_xlfn.IFNA(VLOOKUP($AI13,Programma!$F$3:$K$1101,6,0),"")</f>
        <v>_</v>
      </c>
      <c r="AO13" s="114" t="str">
        <f>_xlfn.IFNA(VLOOKUP($AI13,Programma!$F$3:$L$1101,7,0),"")</f>
        <v>_</v>
      </c>
      <c r="AP13" s="114" t="str">
        <f>_xlfn.IFNA(VLOOKUP($AI13,Programma!$F$3:$M$1101,8,0),"")</f>
        <v>_</v>
      </c>
      <c r="AQ13" s="114" t="str">
        <f>_xlfn.IFNA(VLOOKUP($AI13,Programma!$F$3:$N$1101,9,0),"")</f>
        <v>_</v>
      </c>
      <c r="AR13" s="114" t="str">
        <f>_xlfn.IFNA(VLOOKUP($AI13,Programma!$F$3:$O$1101,10,0),"")</f>
        <v>5w</v>
      </c>
      <c r="AS13" s="114" t="str">
        <f>_xlfn.IFNA(VLOOKUP($AI13,Programma!$F$3:$P$1101,11,0),"")</f>
        <v>5w</v>
      </c>
      <c r="AT13" s="114" t="str">
        <f>_xlfn.IFNA(VLOOKUP($AI13,Programma!$F$3:$Q$1101,12,0),"")</f>
        <v>1w</v>
      </c>
      <c r="AU13" s="114" t="str">
        <f>_xlfn.IFNA(VLOOKUP($AI13,Programma!$F$3:$R$1101,13,0),"")</f>
        <v>1w</v>
      </c>
      <c r="AV13" s="114" t="str">
        <f>_xlfn.IFNA(VLOOKUP($AI13,Programma!$F$3:$S$1101,14,0),"")</f>
        <v>1m</v>
      </c>
      <c r="AW13" s="114" t="str">
        <f>_xlfn.IFNA(VLOOKUP($AI13,Programma!$F$3:$T$1101,15,0),"")</f>
        <v>2j</v>
      </c>
      <c r="AX13" s="114" t="str">
        <f>_xlfn.IFNA(VLOOKUP($AI13,Programma!$F$3:$U$1101,16,0),"")</f>
        <v>1j</v>
      </c>
      <c r="AY13" s="114" t="str">
        <f>_xlfn.IFNA(VLOOKUP($AI13,Programma!$F$3:$V$1101,17,0),"")</f>
        <v>_</v>
      </c>
      <c r="AZ13" s="114" t="str">
        <f>_xlfn.IFNA(VLOOKUP($AI13,Programma!$F$3:$W$1101,18,0),"")</f>
        <v>_</v>
      </c>
      <c r="BA13" s="114" t="str">
        <f>_xlfn.IFNA(VLOOKUP($AI13,Programma!$F$3:$X$1101,19,0),"")</f>
        <v>_</v>
      </c>
      <c r="BB13" s="114" t="str">
        <f>_xlfn.IFNA(VLOOKUP($AI13,Programma!$F$3:$Y$1101,20,0),"")</f>
        <v>_</v>
      </c>
      <c r="BC13" s="111"/>
      <c r="BD13" s="110" t="str">
        <f>IF(Ruimtestaat[[#This Row],[Frequentie weekend]]="","",_xlfn.CONCAT(Ruimtestaat[[#This Row],[Ruimte code]],"-",Ruimtestaat[[#This Row],[Frequentie weekend]]," ",Ruimtestaat[[#This Row],[Vloer code]]))</f>
        <v/>
      </c>
      <c r="BE13" s="114" t="str">
        <f>_xlfn.IFNA(VLOOKUP($BD13,Programma!$F$3:$G$1101,2,0),"")</f>
        <v/>
      </c>
      <c r="BF13" s="114" t="str">
        <f>_xlfn.IFNA(VLOOKUP($BD13,Programma!$F$3:$H$1101,3,0),"")</f>
        <v/>
      </c>
      <c r="BG13" s="114" t="str">
        <f>_xlfn.IFNA(VLOOKUP($BD13,Programma!$F$3:$I$1101,4,0),"")</f>
        <v/>
      </c>
      <c r="BH13" s="114" t="str">
        <f>_xlfn.IFNA(VLOOKUP($BD13,Programma!$F$3:$J$1101,5,0),"")</f>
        <v/>
      </c>
      <c r="BI13" s="114" t="str">
        <f>_xlfn.IFNA(VLOOKUP($BD13,Programma!$F$3:$K$1101,6,0),"")</f>
        <v/>
      </c>
      <c r="BJ13" s="114" t="str">
        <f>_xlfn.IFNA(VLOOKUP($BD13,Programma!$F$3:$L$1101,7,0),"")</f>
        <v/>
      </c>
      <c r="BK13" s="114" t="str">
        <f>_xlfn.IFNA(VLOOKUP($BD13,Programma!$F$3:$M$1101,8,0),"")</f>
        <v/>
      </c>
      <c r="BL13" s="114" t="str">
        <f>_xlfn.IFNA(VLOOKUP($BD13,Programma!$F$3:$N$1101,9,0),"")</f>
        <v/>
      </c>
      <c r="BM13" s="114" t="str">
        <f>_xlfn.IFNA(VLOOKUP($BD13,Programma!$F$3:$O$1101,10,0),"")</f>
        <v/>
      </c>
      <c r="BN13" s="114" t="str">
        <f>_xlfn.IFNA(VLOOKUP($BD13,Programma!$F$3:$P$1101,11,0),"")</f>
        <v/>
      </c>
      <c r="BO13" s="114" t="str">
        <f>_xlfn.IFNA(VLOOKUP($BD13,Programma!$F$3:$Q$1101,12,0),"")</f>
        <v/>
      </c>
      <c r="BP13" s="114" t="str">
        <f>_xlfn.IFNA(VLOOKUP($BD13,Programma!$F$3:$R$1101,13,0),"")</f>
        <v/>
      </c>
      <c r="BQ13" s="114" t="str">
        <f>_xlfn.IFNA(VLOOKUP($BD13,Programma!$F$3:$S$1101,14,0),"")</f>
        <v/>
      </c>
      <c r="BR13" s="114" t="str">
        <f>_xlfn.IFNA(VLOOKUP($BD13,Programma!$F$3:$T$1101,15,0),"")</f>
        <v/>
      </c>
      <c r="BS13" s="114" t="str">
        <f>_xlfn.IFNA(VLOOKUP($BD13,Programma!$F$3:$U$1101,16,0),"")</f>
        <v/>
      </c>
      <c r="BT13" s="114" t="str">
        <f>_xlfn.IFNA(VLOOKUP($BD13,Programma!$F$3:$V$1101,17,0),"")</f>
        <v/>
      </c>
      <c r="BU13" s="114" t="str">
        <f>_xlfn.IFNA(VLOOKUP($BD13,Programma!$F$3:$W$1101,18,0),"")</f>
        <v/>
      </c>
      <c r="BV13" s="114" t="str">
        <f>_xlfn.IFNA(VLOOKUP($BD13,Programma!$F$3:$X$1101,19,0),"")</f>
        <v/>
      </c>
      <c r="BW13" s="114" t="str">
        <f>_xlfn.IFNA(VLOOKUP($BD13,Programma!$F$3:$Y$1101,20,0),"")</f>
        <v/>
      </c>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row>
    <row r="14" spans="1:221" ht="15" customHeight="1">
      <c r="A14" s="73">
        <v>1</v>
      </c>
      <c r="B14" s="105" t="str">
        <f>VLOOKUP(Ruimtestaat[[#This Row],[Code]],Locaties[[Code]:[Locatie]],2,FALSE)</f>
        <v>IKC Kameleon</v>
      </c>
      <c r="C14" s="105" t="str">
        <f>VLOOKUP(Ruimtestaat[[#This Row],[Code]],Locaties[[#All],[Code]:[Adres]],4,FALSE)</f>
        <v>Mondriaanstraat 15</v>
      </c>
      <c r="D14" s="105" t="str">
        <f>VLOOKUP(Ruimtestaat[[#This Row],[Code]],Locaties[[#All],[Code]:[Postcode]],5,FALSE)</f>
        <v>6921 MJ</v>
      </c>
      <c r="E14" s="105" t="str">
        <f>VLOOKUP(Ruimtestaat[[#This Row],[Code]],Locaties[#All],6,FALSE)</f>
        <v>Duiven</v>
      </c>
      <c r="F14" s="73"/>
      <c r="G14" s="73" t="s">
        <v>1645</v>
      </c>
      <c r="H14" s="272"/>
      <c r="I14" s="273" t="s">
        <v>1659</v>
      </c>
      <c r="J14" s="31">
        <v>6</v>
      </c>
      <c r="K14" s="113" t="str">
        <f>VLOOKUP(Ruimtestaat[[#This Row],[Ruimte code]],Ruimtegroepen[[#All],[Code]:[Ruimte omschrijving]],2,FALSE)</f>
        <v>Gangen/hallen</v>
      </c>
      <c r="L14" s="73" t="s">
        <v>99</v>
      </c>
      <c r="M14" s="273" t="s">
        <v>36</v>
      </c>
      <c r="N14" s="106">
        <v>26</v>
      </c>
      <c r="O14" s="112"/>
      <c r="P14" s="112"/>
      <c r="Q14" s="107" t="str">
        <f>VLOOKUP(Ruimtestaat[[#This Row],[Ruimte code]],Ruimtegroepen[],4,FALSE)</f>
        <v>Ve</v>
      </c>
      <c r="R14" s="73">
        <v>40</v>
      </c>
      <c r="S14" s="73" t="s">
        <v>2</v>
      </c>
      <c r="T14" s="73">
        <f>IF(R14&gt;0,IF(RIGHT(Ruimtestaat[[#This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 s="73">
        <f>IF(T14&gt;0,VLOOKUP($J14,Ruimtegroepen[],3,FALSE)*VLOOKUP($L14,Vloersoorten[],3,FALSE)*VLOOKUP($S14,Frequenties[],3,FALSE)*VLOOKUP($A14,Locaties[],3,FALSE),0)</f>
        <v>0</v>
      </c>
      <c r="V14" s="73">
        <f>Ruimtestaat[[#This Row],[Uitvoeringen werkdagen]]*Ruimtestaat[[#This Row],[Oppervlak (netto)]]</f>
        <v>5200</v>
      </c>
      <c r="W14" s="108">
        <f>IF(U14&gt;0,Ruimtestaat[[#This Row],[Prest. (m2 /jaar) werkdagen]]/Ruimtestaat[[#This Row],[Norm (m2/uur) werkdagen]],0)</f>
        <v>0</v>
      </c>
      <c r="X14" s="109">
        <f>Ruimtestaat[[#This Row],[uren / jaar werkdagen]]*Tariefsopbouw!$E$35</f>
        <v>0</v>
      </c>
      <c r="Y14" s="73"/>
      <c r="Z14" s="73">
        <f>IF(Ruimtestaat[[#This Row],[Frequentie weekend]]&gt;0,VALUE(LEFT(Y14,1))*R14,0)</f>
        <v>0</v>
      </c>
      <c r="AA14" s="72">
        <f>IF($Z14&gt;0,VLOOKUP($J14,Ruimtegroepen[],3,FALSE)*VLOOKUP($L14,Vloersoorten[],3,FALSE)*VLOOKUP($Y14,Frequenties[],3,FALSE)*VLOOKUP(Ruimtestaat[[#This Row],[Code]],Locaties[],3,FALSE),0)</f>
        <v>0</v>
      </c>
      <c r="AB14" s="72">
        <f>Ruimtestaat[[#This Row],[Uitvoeringen weekend]]*Ruimtestaat[[#This Row],[Oppervlak (netto)]]</f>
        <v>0</v>
      </c>
      <c r="AC14" s="72">
        <f>IF(AA14&gt;0,Ruimtestaat[[#This Row],[Prest. (m2 /jaar) weekend]]/Ruimtestaat[[#This Row],[Norm (m2/uur) weekend]],0)</f>
        <v>0</v>
      </c>
      <c r="AD14" s="109">
        <f>Ruimtestaat[[#This Row],[uren / jaar weekend]]*Tariefsopbouw!$D$40</f>
        <v>0</v>
      </c>
      <c r="AE14" s="108">
        <f>Ruimtestaat[[#This Row],[Prest. (m2 /jaar) weekend]]+Ruimtestaat[[#This Row],[Prest. (m2 /jaar) werkdagen]]</f>
        <v>5200</v>
      </c>
      <c r="AF14" s="108">
        <f>Ruimtestaat[[#This Row],[uren / jaar weekend]]+Ruimtestaat[[#This Row],[uren / jaar werkdagen]]</f>
        <v>0</v>
      </c>
      <c r="AG14" s="103">
        <f>Ruimtestaat[[#This Row],[kosten / jaar weekend]]+Ruimtestaat[[#This Row],[kosten / jaar werkdagen]]</f>
        <v>0</v>
      </c>
      <c r="AH14" s="103"/>
      <c r="AI14" s="110" t="str">
        <f>IF(Ruimtestaat[[#This Row],[Frequentie werkdagen]]="","",_xlfn.CONCAT(Ruimtestaat[[#This Row],[Ruimte code]],"-",Ruimtestaat[[#This Row],[Frequentie werkdagen]]," ",Ruimtestaat[[#This Row],[Vloer code]]))</f>
        <v>6-5w T</v>
      </c>
      <c r="AJ14" s="114" t="str">
        <f>_xlfn.IFNA(VLOOKUP($AI14,Programma!$F$3:$G$1101,2,0),"")</f>
        <v>_</v>
      </c>
      <c r="AK14" s="114" t="str">
        <f>_xlfn.IFNA(VLOOKUP($AI14,Programma!$F$3:$H$1101,3,0),"")</f>
        <v>5w</v>
      </c>
      <c r="AL14" s="114" t="str">
        <f>_xlfn.IFNA(VLOOKUP($AI14,Programma!$F$3:$I$1101,4,0),"")</f>
        <v>_</v>
      </c>
      <c r="AM14" s="114" t="str">
        <f>_xlfn.IFNA(VLOOKUP($AI14,Programma!$F$3:$J$1101,5,0),"")</f>
        <v>_</v>
      </c>
      <c r="AN14" s="114" t="str">
        <f>_xlfn.IFNA(VLOOKUP($AI14,Programma!$F$3:$K$1101,6,0),"")</f>
        <v>_</v>
      </c>
      <c r="AO14" s="114" t="str">
        <f>_xlfn.IFNA(VLOOKUP($AI14,Programma!$F$3:$L$1101,7,0),"")</f>
        <v>_</v>
      </c>
      <c r="AP14" s="114" t="str">
        <f>_xlfn.IFNA(VLOOKUP($AI14,Programma!$F$3:$M$1101,8,0),"")</f>
        <v>_</v>
      </c>
      <c r="AQ14" s="114" t="str">
        <f>_xlfn.IFNA(VLOOKUP($AI14,Programma!$F$3:$N$1101,9,0),"")</f>
        <v>_</v>
      </c>
      <c r="AR14" s="114" t="str">
        <f>_xlfn.IFNA(VLOOKUP($AI14,Programma!$F$3:$O$1101,10,0),"")</f>
        <v>5w</v>
      </c>
      <c r="AS14" s="114" t="str">
        <f>_xlfn.IFNA(VLOOKUP($AI14,Programma!$F$3:$P$1101,11,0),"")</f>
        <v>5w</v>
      </c>
      <c r="AT14" s="114" t="str">
        <f>_xlfn.IFNA(VLOOKUP($AI14,Programma!$F$3:$Q$1101,12,0),"")</f>
        <v>1w</v>
      </c>
      <c r="AU14" s="114" t="str">
        <f>_xlfn.IFNA(VLOOKUP($AI14,Programma!$F$3:$R$1101,13,0),"")</f>
        <v>1w</v>
      </c>
      <c r="AV14" s="114" t="str">
        <f>_xlfn.IFNA(VLOOKUP($AI14,Programma!$F$3:$S$1101,14,0),"")</f>
        <v>1m</v>
      </c>
      <c r="AW14" s="114" t="str">
        <f>_xlfn.IFNA(VLOOKUP($AI14,Programma!$F$3:$T$1101,15,0),"")</f>
        <v>2j</v>
      </c>
      <c r="AX14" s="114" t="str">
        <f>_xlfn.IFNA(VLOOKUP($AI14,Programma!$F$3:$U$1101,16,0),"")</f>
        <v>1j</v>
      </c>
      <c r="AY14" s="114" t="str">
        <f>_xlfn.IFNA(VLOOKUP($AI14,Programma!$F$3:$V$1101,17,0),"")</f>
        <v>_</v>
      </c>
      <c r="AZ14" s="114" t="str">
        <f>_xlfn.IFNA(VLOOKUP($AI14,Programma!$F$3:$W$1101,18,0),"")</f>
        <v>_</v>
      </c>
      <c r="BA14" s="114" t="str">
        <f>_xlfn.IFNA(VLOOKUP($AI14,Programma!$F$3:$X$1101,19,0),"")</f>
        <v>_</v>
      </c>
      <c r="BB14" s="114" t="str">
        <f>_xlfn.IFNA(VLOOKUP($AI14,Programma!$F$3:$Y$1101,20,0),"")</f>
        <v>_</v>
      </c>
      <c r="BC14" s="111"/>
      <c r="BD14" s="110" t="str">
        <f>IF(Ruimtestaat[[#This Row],[Frequentie weekend]]="","",_xlfn.CONCAT(Ruimtestaat[[#This Row],[Ruimte code]],"-",Ruimtestaat[[#This Row],[Frequentie weekend]]," ",Ruimtestaat[[#This Row],[Vloer code]]))</f>
        <v/>
      </c>
      <c r="BE14" s="114" t="str">
        <f>_xlfn.IFNA(VLOOKUP($BD14,Programma!$F$3:$G$1101,2,0),"")</f>
        <v/>
      </c>
      <c r="BF14" s="114" t="str">
        <f>_xlfn.IFNA(VLOOKUP($BD14,Programma!$F$3:$H$1101,3,0),"")</f>
        <v/>
      </c>
      <c r="BG14" s="114" t="str">
        <f>_xlfn.IFNA(VLOOKUP($BD14,Programma!$F$3:$I$1101,4,0),"")</f>
        <v/>
      </c>
      <c r="BH14" s="114" t="str">
        <f>_xlfn.IFNA(VLOOKUP($BD14,Programma!$F$3:$J$1101,5,0),"")</f>
        <v/>
      </c>
      <c r="BI14" s="114" t="str">
        <f>_xlfn.IFNA(VLOOKUP($BD14,Programma!$F$3:$K$1101,6,0),"")</f>
        <v/>
      </c>
      <c r="BJ14" s="114" t="str">
        <f>_xlfn.IFNA(VLOOKUP($BD14,Programma!$F$3:$L$1101,7,0),"")</f>
        <v/>
      </c>
      <c r="BK14" s="114" t="str">
        <f>_xlfn.IFNA(VLOOKUP($BD14,Programma!$F$3:$M$1101,8,0),"")</f>
        <v/>
      </c>
      <c r="BL14" s="114" t="str">
        <f>_xlfn.IFNA(VLOOKUP($BD14,Programma!$F$3:$N$1101,9,0),"")</f>
        <v/>
      </c>
      <c r="BM14" s="114" t="str">
        <f>_xlfn.IFNA(VLOOKUP($BD14,Programma!$F$3:$O$1101,10,0),"")</f>
        <v/>
      </c>
      <c r="BN14" s="114" t="str">
        <f>_xlfn.IFNA(VLOOKUP($BD14,Programma!$F$3:$P$1101,11,0),"")</f>
        <v/>
      </c>
      <c r="BO14" s="114" t="str">
        <f>_xlfn.IFNA(VLOOKUP($BD14,Programma!$F$3:$Q$1101,12,0),"")</f>
        <v/>
      </c>
      <c r="BP14" s="114" t="str">
        <f>_xlfn.IFNA(VLOOKUP($BD14,Programma!$F$3:$R$1101,13,0),"")</f>
        <v/>
      </c>
      <c r="BQ14" s="114" t="str">
        <f>_xlfn.IFNA(VLOOKUP($BD14,Programma!$F$3:$S$1101,14,0),"")</f>
        <v/>
      </c>
      <c r="BR14" s="114" t="str">
        <f>_xlfn.IFNA(VLOOKUP($BD14,Programma!$F$3:$T$1101,15,0),"")</f>
        <v/>
      </c>
      <c r="BS14" s="114" t="str">
        <f>_xlfn.IFNA(VLOOKUP($BD14,Programma!$F$3:$U$1101,16,0),"")</f>
        <v/>
      </c>
      <c r="BT14" s="114" t="str">
        <f>_xlfn.IFNA(VLOOKUP($BD14,Programma!$F$3:$V$1101,17,0),"")</f>
        <v/>
      </c>
      <c r="BU14" s="114" t="str">
        <f>_xlfn.IFNA(VLOOKUP($BD14,Programma!$F$3:$W$1101,18,0),"")</f>
        <v/>
      </c>
      <c r="BV14" s="114" t="str">
        <f>_xlfn.IFNA(VLOOKUP($BD14,Programma!$F$3:$X$1101,19,0),"")</f>
        <v/>
      </c>
      <c r="BW14" s="114" t="str">
        <f>_xlfn.IFNA(VLOOKUP($BD14,Programma!$F$3:$Y$1101,20,0),"")</f>
        <v/>
      </c>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row>
    <row r="15" spans="1:221" ht="15" customHeight="1">
      <c r="A15" s="73">
        <v>1</v>
      </c>
      <c r="B15" s="105" t="str">
        <f>VLOOKUP(Ruimtestaat[[#This Row],[Code]],Locaties[[Code]:[Locatie]],2,FALSE)</f>
        <v>IKC Kameleon</v>
      </c>
      <c r="C15" s="105" t="str">
        <f>VLOOKUP(Ruimtestaat[[#This Row],[Code]],Locaties[[#All],[Code]:[Adres]],4,FALSE)</f>
        <v>Mondriaanstraat 15</v>
      </c>
      <c r="D15" s="105" t="str">
        <f>VLOOKUP(Ruimtestaat[[#This Row],[Code]],Locaties[[#All],[Code]:[Postcode]],5,FALSE)</f>
        <v>6921 MJ</v>
      </c>
      <c r="E15" s="105" t="str">
        <f>VLOOKUP(Ruimtestaat[[#This Row],[Code]],Locaties[#All],6,FALSE)</f>
        <v>Duiven</v>
      </c>
      <c r="F15" s="73"/>
      <c r="G15" s="73" t="s">
        <v>1645</v>
      </c>
      <c r="H15" s="272"/>
      <c r="I15" s="273" t="s">
        <v>1656</v>
      </c>
      <c r="J15" s="31">
        <v>16</v>
      </c>
      <c r="K15" s="113" t="str">
        <f>VLOOKUP(Ruimtestaat[[#This Row],[Ruimte code]],Ruimtegroepen[[#All],[Code]:[Ruimte omschrijving]],2,FALSE)</f>
        <v>Leslokalen</v>
      </c>
      <c r="L15" s="73" t="s">
        <v>99</v>
      </c>
      <c r="M15" s="273" t="s">
        <v>36</v>
      </c>
      <c r="N15" s="106">
        <v>56.25</v>
      </c>
      <c r="O15" s="73"/>
      <c r="P15" s="73"/>
      <c r="Q15" s="107" t="str">
        <f>VLOOKUP(Ruimtestaat[[#This Row],[Ruimte code]],Ruimtegroepen[],4,FALSE)</f>
        <v>Le</v>
      </c>
      <c r="R15" s="73">
        <v>40</v>
      </c>
      <c r="S15" s="73" t="s">
        <v>2</v>
      </c>
      <c r="T15" s="73">
        <f>IF(R15&gt;0,IF(RIGHT(Ruimtestaat[[#This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 s="73">
        <f>IF(T15&gt;0,VLOOKUP($J15,Ruimtegroepen[],3,FALSE)*VLOOKUP($L15,Vloersoorten[],3,FALSE)*VLOOKUP($S15,Frequenties[],3,FALSE)*VLOOKUP($A15,Locaties[],3,FALSE),0)</f>
        <v>0</v>
      </c>
      <c r="V15" s="73">
        <f>Ruimtestaat[[#This Row],[Uitvoeringen werkdagen]]*Ruimtestaat[[#This Row],[Oppervlak (netto)]]</f>
        <v>11250</v>
      </c>
      <c r="W15" s="108">
        <f>IF(U15&gt;0,Ruimtestaat[[#This Row],[Prest. (m2 /jaar) werkdagen]]/Ruimtestaat[[#This Row],[Norm (m2/uur) werkdagen]],0)</f>
        <v>0</v>
      </c>
      <c r="X15" s="109">
        <f>Ruimtestaat[[#This Row],[uren / jaar werkdagen]]*Tariefsopbouw!$E$35</f>
        <v>0</v>
      </c>
      <c r="Y15" s="73"/>
      <c r="Z15" s="73">
        <f>IF(Ruimtestaat[[#This Row],[Frequentie weekend]]&gt;0,VALUE(LEFT(Y15,1))*R15,0)</f>
        <v>0</v>
      </c>
      <c r="AA15" s="72">
        <f>IF($Z15&gt;0,VLOOKUP($J15,Ruimtegroepen[],3,FALSE)*VLOOKUP($L15,Vloersoorten[],3,FALSE)*VLOOKUP($Y15,Frequenties[],3,FALSE)*VLOOKUP(Ruimtestaat[[#This Row],[Code]],Locaties[],3,FALSE),0)</f>
        <v>0</v>
      </c>
      <c r="AB15" s="72">
        <f>Ruimtestaat[[#This Row],[Uitvoeringen weekend]]*Ruimtestaat[[#This Row],[Oppervlak (netto)]]</f>
        <v>0</v>
      </c>
      <c r="AC15" s="72">
        <f>IF(AA15&gt;0,Ruimtestaat[[#This Row],[Prest. (m2 /jaar) weekend]]/Ruimtestaat[[#This Row],[Norm (m2/uur) weekend]],0)</f>
        <v>0</v>
      </c>
      <c r="AD15" s="109">
        <f>Ruimtestaat[[#This Row],[uren / jaar weekend]]*Tariefsopbouw!$D$40</f>
        <v>0</v>
      </c>
      <c r="AE15" s="108">
        <f>Ruimtestaat[[#This Row],[Prest. (m2 /jaar) weekend]]+Ruimtestaat[[#This Row],[Prest. (m2 /jaar) werkdagen]]</f>
        <v>11250</v>
      </c>
      <c r="AF15" s="108">
        <f>Ruimtestaat[[#This Row],[uren / jaar weekend]]+Ruimtestaat[[#This Row],[uren / jaar werkdagen]]</f>
        <v>0</v>
      </c>
      <c r="AG15" s="103">
        <f>Ruimtestaat[[#This Row],[kosten / jaar weekend]]+Ruimtestaat[[#This Row],[kosten / jaar werkdagen]]</f>
        <v>0</v>
      </c>
      <c r="AH15" s="103"/>
      <c r="AI15" s="110" t="str">
        <f>IF(Ruimtestaat[[#This Row],[Frequentie werkdagen]]="","",_xlfn.CONCAT(Ruimtestaat[[#This Row],[Ruimte code]],"-",Ruimtestaat[[#This Row],[Frequentie werkdagen]]," ",Ruimtestaat[[#This Row],[Vloer code]]))</f>
        <v>16-5w T</v>
      </c>
      <c r="AJ15" s="114" t="str">
        <f>_xlfn.IFNA(VLOOKUP($AI15,Programma!$F$3:$G$1101,2,0),"")</f>
        <v>3w</v>
      </c>
      <c r="AK15" s="114" t="str">
        <f>_xlfn.IFNA(VLOOKUP($AI15,Programma!$F$3:$H$1101,3,0),"")</f>
        <v>2w</v>
      </c>
      <c r="AL15" s="114" t="str">
        <f>_xlfn.IFNA(VLOOKUP($AI15,Programma!$F$3:$I$1101,4,0),"")</f>
        <v>_</v>
      </c>
      <c r="AM15" s="114" t="str">
        <f>_xlfn.IFNA(VLOOKUP($AI15,Programma!$F$3:$J$1101,5,0),"")</f>
        <v>_</v>
      </c>
      <c r="AN15" s="114" t="str">
        <f>_xlfn.IFNA(VLOOKUP($AI15,Programma!$F$3:$K$1101,6,0),"")</f>
        <v>_</v>
      </c>
      <c r="AO15" s="114" t="str">
        <f>_xlfn.IFNA(VLOOKUP($AI15,Programma!$F$3:$L$1101,7,0),"")</f>
        <v>_</v>
      </c>
      <c r="AP15" s="114" t="str">
        <f>_xlfn.IFNA(VLOOKUP($AI15,Programma!$F$3:$M$1101,8,0),"")</f>
        <v>_</v>
      </c>
      <c r="AQ15" s="114" t="str">
        <f>_xlfn.IFNA(VLOOKUP($AI15,Programma!$F$3:$N$1101,9,0),"")</f>
        <v>_</v>
      </c>
      <c r="AR15" s="114" t="str">
        <f>_xlfn.IFNA(VLOOKUP($AI15,Programma!$F$3:$O$1101,10,0),"")</f>
        <v>5w</v>
      </c>
      <c r="AS15" s="114" t="str">
        <f>_xlfn.IFNA(VLOOKUP($AI15,Programma!$F$3:$P$1101,11,0),"")</f>
        <v>5w</v>
      </c>
      <c r="AT15" s="114" t="str">
        <f>_xlfn.IFNA(VLOOKUP($AI15,Programma!$F$3:$Q$1101,12,0),"")</f>
        <v>1w</v>
      </c>
      <c r="AU15" s="114" t="str">
        <f>_xlfn.IFNA(VLOOKUP($AI15,Programma!$F$3:$R$1101,13,0),"")</f>
        <v>1w</v>
      </c>
      <c r="AV15" s="114" t="str">
        <f>_xlfn.IFNA(VLOOKUP($AI15,Programma!$F$3:$S$1101,14,0),"")</f>
        <v>1m</v>
      </c>
      <c r="AW15" s="114" t="str">
        <f>_xlfn.IFNA(VLOOKUP($AI15,Programma!$F$3:$T$1101,15,0),"")</f>
        <v>2j</v>
      </c>
      <c r="AX15" s="114" t="str">
        <f>_xlfn.IFNA(VLOOKUP($AI15,Programma!$F$3:$U$1101,16,0),"")</f>
        <v>1j</v>
      </c>
      <c r="AY15" s="114" t="str">
        <f>_xlfn.IFNA(VLOOKUP($AI15,Programma!$F$3:$V$1101,17,0),"")</f>
        <v>_</v>
      </c>
      <c r="AZ15" s="114" t="str">
        <f>_xlfn.IFNA(VLOOKUP($AI15,Programma!$F$3:$W$1101,18,0),"")</f>
        <v>_</v>
      </c>
      <c r="BA15" s="114" t="str">
        <f>_xlfn.IFNA(VLOOKUP($AI15,Programma!$F$3:$X$1101,19,0),"")</f>
        <v>_</v>
      </c>
      <c r="BB15" s="114" t="str">
        <f>_xlfn.IFNA(VLOOKUP($AI15,Programma!$F$3:$Y$1101,20,0),"")</f>
        <v>_</v>
      </c>
      <c r="BC15" s="111"/>
      <c r="BD15" s="110" t="str">
        <f>IF(Ruimtestaat[[#This Row],[Frequentie weekend]]="","",_xlfn.CONCAT(Ruimtestaat[[#This Row],[Ruimte code]],"-",Ruimtestaat[[#This Row],[Frequentie weekend]]," ",Ruimtestaat[[#This Row],[Vloer code]]))</f>
        <v/>
      </c>
      <c r="BE15" s="114" t="str">
        <f>_xlfn.IFNA(VLOOKUP($BD15,Programma!$F$3:$G$1101,2,0),"")</f>
        <v/>
      </c>
      <c r="BF15" s="114" t="str">
        <f>_xlfn.IFNA(VLOOKUP($BD15,Programma!$F$3:$H$1101,3,0),"")</f>
        <v/>
      </c>
      <c r="BG15" s="114" t="str">
        <f>_xlfn.IFNA(VLOOKUP($BD15,Programma!$F$3:$I$1101,4,0),"")</f>
        <v/>
      </c>
      <c r="BH15" s="114" t="str">
        <f>_xlfn.IFNA(VLOOKUP($BD15,Programma!$F$3:$J$1101,5,0),"")</f>
        <v/>
      </c>
      <c r="BI15" s="114" t="str">
        <f>_xlfn.IFNA(VLOOKUP($BD15,Programma!$F$3:$K$1101,6,0),"")</f>
        <v/>
      </c>
      <c r="BJ15" s="114" t="str">
        <f>_xlfn.IFNA(VLOOKUP($BD15,Programma!$F$3:$L$1101,7,0),"")</f>
        <v/>
      </c>
      <c r="BK15" s="114" t="str">
        <f>_xlfn.IFNA(VLOOKUP($BD15,Programma!$F$3:$M$1101,8,0),"")</f>
        <v/>
      </c>
      <c r="BL15" s="114" t="str">
        <f>_xlfn.IFNA(VLOOKUP($BD15,Programma!$F$3:$N$1101,9,0),"")</f>
        <v/>
      </c>
      <c r="BM15" s="114" t="str">
        <f>_xlfn.IFNA(VLOOKUP($BD15,Programma!$F$3:$O$1101,10,0),"")</f>
        <v/>
      </c>
      <c r="BN15" s="114" t="str">
        <f>_xlfn.IFNA(VLOOKUP($BD15,Programma!$F$3:$P$1101,11,0),"")</f>
        <v/>
      </c>
      <c r="BO15" s="114" t="str">
        <f>_xlfn.IFNA(VLOOKUP($BD15,Programma!$F$3:$Q$1101,12,0),"")</f>
        <v/>
      </c>
      <c r="BP15" s="114" t="str">
        <f>_xlfn.IFNA(VLOOKUP($BD15,Programma!$F$3:$R$1101,13,0),"")</f>
        <v/>
      </c>
      <c r="BQ15" s="114" t="str">
        <f>_xlfn.IFNA(VLOOKUP($BD15,Programma!$F$3:$S$1101,14,0),"")</f>
        <v/>
      </c>
      <c r="BR15" s="114" t="str">
        <f>_xlfn.IFNA(VLOOKUP($BD15,Programma!$F$3:$T$1101,15,0),"")</f>
        <v/>
      </c>
      <c r="BS15" s="114" t="str">
        <f>_xlfn.IFNA(VLOOKUP($BD15,Programma!$F$3:$U$1101,16,0),"")</f>
        <v/>
      </c>
      <c r="BT15" s="114" t="str">
        <f>_xlfn.IFNA(VLOOKUP($BD15,Programma!$F$3:$V$1101,17,0),"")</f>
        <v/>
      </c>
      <c r="BU15" s="114" t="str">
        <f>_xlfn.IFNA(VLOOKUP($BD15,Programma!$F$3:$W$1101,18,0),"")</f>
        <v/>
      </c>
      <c r="BV15" s="114" t="str">
        <f>_xlfn.IFNA(VLOOKUP($BD15,Programma!$F$3:$X$1101,19,0),"")</f>
        <v/>
      </c>
      <c r="BW15" s="114" t="str">
        <f>_xlfn.IFNA(VLOOKUP($BD15,Programma!$F$3:$Y$1101,20,0),"")</f>
        <v/>
      </c>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row>
    <row r="16" spans="1:221" ht="15" customHeight="1">
      <c r="A16" s="73">
        <v>1</v>
      </c>
      <c r="B16" s="105" t="str">
        <f>VLOOKUP(Ruimtestaat[[#This Row],[Code]],Locaties[[Code]:[Locatie]],2,FALSE)</f>
        <v>IKC Kameleon</v>
      </c>
      <c r="C16" s="105" t="str">
        <f>VLOOKUP(Ruimtestaat[[#This Row],[Code]],Locaties[[#All],[Code]:[Adres]],4,FALSE)</f>
        <v>Mondriaanstraat 15</v>
      </c>
      <c r="D16" s="105" t="str">
        <f>VLOOKUP(Ruimtestaat[[#This Row],[Code]],Locaties[[#All],[Code]:[Postcode]],5,FALSE)</f>
        <v>6921 MJ</v>
      </c>
      <c r="E16" s="105" t="str">
        <f>VLOOKUP(Ruimtestaat[[#This Row],[Code]],Locaties[#All],6,FALSE)</f>
        <v>Duiven</v>
      </c>
      <c r="F16" s="73"/>
      <c r="G16" s="73" t="s">
        <v>1645</v>
      </c>
      <c r="H16" s="272"/>
      <c r="I16" s="273" t="s">
        <v>1984</v>
      </c>
      <c r="J16" s="31">
        <v>16</v>
      </c>
      <c r="K16" s="113" t="str">
        <f>VLOOKUP(Ruimtestaat[[#This Row],[Ruimte code]],Ruimtegroepen[[#All],[Code]:[Ruimte omschrijving]],2,FALSE)</f>
        <v>Leslokalen</v>
      </c>
      <c r="L16" s="73" t="s">
        <v>99</v>
      </c>
      <c r="M16" s="273" t="s">
        <v>36</v>
      </c>
      <c r="N16" s="106">
        <v>56.25</v>
      </c>
      <c r="O16" s="112"/>
      <c r="P16" s="112"/>
      <c r="Q16" s="107" t="str">
        <f>VLOOKUP(Ruimtestaat[[#This Row],[Ruimte code]],Ruimtegroepen[],4,FALSE)</f>
        <v>Le</v>
      </c>
      <c r="R16" s="73">
        <v>40</v>
      </c>
      <c r="S16" s="73" t="s">
        <v>2</v>
      </c>
      <c r="T16" s="73">
        <f>IF(R16&gt;0,IF(RIGHT(Ruimtestaat[[#This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 s="73">
        <f>IF(T16&gt;0,VLOOKUP($J16,Ruimtegroepen[],3,FALSE)*VLOOKUP($L16,Vloersoorten[],3,FALSE)*VLOOKUP($S16,Frequenties[],3,FALSE)*VLOOKUP($A16,Locaties[],3,FALSE),0)</f>
        <v>0</v>
      </c>
      <c r="V16" s="73">
        <f>Ruimtestaat[[#This Row],[Uitvoeringen werkdagen]]*Ruimtestaat[[#This Row],[Oppervlak (netto)]]</f>
        <v>11250</v>
      </c>
      <c r="W16" s="108">
        <f>IF(U16&gt;0,Ruimtestaat[[#This Row],[Prest. (m2 /jaar) werkdagen]]/Ruimtestaat[[#This Row],[Norm (m2/uur) werkdagen]],0)</f>
        <v>0</v>
      </c>
      <c r="X16" s="109">
        <f>Ruimtestaat[[#This Row],[uren / jaar werkdagen]]*Tariefsopbouw!$E$35</f>
        <v>0</v>
      </c>
      <c r="Y16" s="73"/>
      <c r="Z16" s="73">
        <f>IF(Ruimtestaat[[#This Row],[Frequentie weekend]]&gt;0,VALUE(LEFT(Y16,1))*R16,0)</f>
        <v>0</v>
      </c>
      <c r="AA16" s="72">
        <f>IF($Z16&gt;0,VLOOKUP($J16,Ruimtegroepen[],3,FALSE)*VLOOKUP($L16,Vloersoorten[],3,FALSE)*VLOOKUP($Y16,Frequenties[],3,FALSE)*VLOOKUP(Ruimtestaat[[#This Row],[Code]],Locaties[],3,FALSE),0)</f>
        <v>0</v>
      </c>
      <c r="AB16" s="72">
        <f>Ruimtestaat[[#This Row],[Uitvoeringen weekend]]*Ruimtestaat[[#This Row],[Oppervlak (netto)]]</f>
        <v>0</v>
      </c>
      <c r="AC16" s="72">
        <f>IF(AA16&gt;0,Ruimtestaat[[#This Row],[Prest. (m2 /jaar) weekend]]/Ruimtestaat[[#This Row],[Norm (m2/uur) weekend]],0)</f>
        <v>0</v>
      </c>
      <c r="AD16" s="109">
        <f>Ruimtestaat[[#This Row],[uren / jaar weekend]]*Tariefsopbouw!$D$40</f>
        <v>0</v>
      </c>
      <c r="AE16" s="108">
        <f>Ruimtestaat[[#This Row],[Prest. (m2 /jaar) weekend]]+Ruimtestaat[[#This Row],[Prest. (m2 /jaar) werkdagen]]</f>
        <v>11250</v>
      </c>
      <c r="AF16" s="108">
        <f>Ruimtestaat[[#This Row],[uren / jaar weekend]]+Ruimtestaat[[#This Row],[uren / jaar werkdagen]]</f>
        <v>0</v>
      </c>
      <c r="AG16" s="103">
        <f>Ruimtestaat[[#This Row],[kosten / jaar weekend]]+Ruimtestaat[[#This Row],[kosten / jaar werkdagen]]</f>
        <v>0</v>
      </c>
      <c r="AH16" s="103"/>
      <c r="AI16" s="110" t="str">
        <f>IF(Ruimtestaat[[#This Row],[Frequentie werkdagen]]="","",_xlfn.CONCAT(Ruimtestaat[[#This Row],[Ruimte code]],"-",Ruimtestaat[[#This Row],[Frequentie werkdagen]]," ",Ruimtestaat[[#This Row],[Vloer code]]))</f>
        <v>16-5w T</v>
      </c>
      <c r="AJ16" s="114" t="str">
        <f>_xlfn.IFNA(VLOOKUP($AI16,Programma!$F$3:$G$1101,2,0),"")</f>
        <v>3w</v>
      </c>
      <c r="AK16" s="114" t="str">
        <f>_xlfn.IFNA(VLOOKUP($AI16,Programma!$F$3:$H$1101,3,0),"")</f>
        <v>2w</v>
      </c>
      <c r="AL16" s="114" t="str">
        <f>_xlfn.IFNA(VLOOKUP($AI16,Programma!$F$3:$I$1101,4,0),"")</f>
        <v>_</v>
      </c>
      <c r="AM16" s="114" t="str">
        <f>_xlfn.IFNA(VLOOKUP($AI16,Programma!$F$3:$J$1101,5,0),"")</f>
        <v>_</v>
      </c>
      <c r="AN16" s="114" t="str">
        <f>_xlfn.IFNA(VLOOKUP($AI16,Programma!$F$3:$K$1101,6,0),"")</f>
        <v>_</v>
      </c>
      <c r="AO16" s="114" t="str">
        <f>_xlfn.IFNA(VLOOKUP($AI16,Programma!$F$3:$L$1101,7,0),"")</f>
        <v>_</v>
      </c>
      <c r="AP16" s="114" t="str">
        <f>_xlfn.IFNA(VLOOKUP($AI16,Programma!$F$3:$M$1101,8,0),"")</f>
        <v>_</v>
      </c>
      <c r="AQ16" s="114" t="str">
        <f>_xlfn.IFNA(VLOOKUP($AI16,Programma!$F$3:$N$1101,9,0),"")</f>
        <v>_</v>
      </c>
      <c r="AR16" s="114" t="str">
        <f>_xlfn.IFNA(VLOOKUP($AI16,Programma!$F$3:$O$1101,10,0),"")</f>
        <v>5w</v>
      </c>
      <c r="AS16" s="114" t="str">
        <f>_xlfn.IFNA(VLOOKUP($AI16,Programma!$F$3:$P$1101,11,0),"")</f>
        <v>5w</v>
      </c>
      <c r="AT16" s="114" t="str">
        <f>_xlfn.IFNA(VLOOKUP($AI16,Programma!$F$3:$Q$1101,12,0),"")</f>
        <v>1w</v>
      </c>
      <c r="AU16" s="114" t="str">
        <f>_xlfn.IFNA(VLOOKUP($AI16,Programma!$F$3:$R$1101,13,0),"")</f>
        <v>1w</v>
      </c>
      <c r="AV16" s="114" t="str">
        <f>_xlfn.IFNA(VLOOKUP($AI16,Programma!$F$3:$S$1101,14,0),"")</f>
        <v>1m</v>
      </c>
      <c r="AW16" s="114" t="str">
        <f>_xlfn.IFNA(VLOOKUP($AI16,Programma!$F$3:$T$1101,15,0),"")</f>
        <v>2j</v>
      </c>
      <c r="AX16" s="114" t="str">
        <f>_xlfn.IFNA(VLOOKUP($AI16,Programma!$F$3:$U$1101,16,0),"")</f>
        <v>1j</v>
      </c>
      <c r="AY16" s="114" t="str">
        <f>_xlfn.IFNA(VLOOKUP($AI16,Programma!$F$3:$V$1101,17,0),"")</f>
        <v>_</v>
      </c>
      <c r="AZ16" s="114" t="str">
        <f>_xlfn.IFNA(VLOOKUP($AI16,Programma!$F$3:$W$1101,18,0),"")</f>
        <v>_</v>
      </c>
      <c r="BA16" s="114" t="str">
        <f>_xlfn.IFNA(VLOOKUP($AI16,Programma!$F$3:$X$1101,19,0),"")</f>
        <v>_</v>
      </c>
      <c r="BB16" s="114" t="str">
        <f>_xlfn.IFNA(VLOOKUP($AI16,Programma!$F$3:$Y$1101,20,0),"")</f>
        <v>_</v>
      </c>
      <c r="BC16" s="111"/>
      <c r="BD16" s="110" t="str">
        <f>IF(Ruimtestaat[[#This Row],[Frequentie weekend]]="","",_xlfn.CONCAT(Ruimtestaat[[#This Row],[Ruimte code]],"-",Ruimtestaat[[#This Row],[Frequentie weekend]]," ",Ruimtestaat[[#This Row],[Vloer code]]))</f>
        <v/>
      </c>
      <c r="BE16" s="114" t="str">
        <f>_xlfn.IFNA(VLOOKUP($BD16,Programma!$F$3:$G$1101,2,0),"")</f>
        <v/>
      </c>
      <c r="BF16" s="114" t="str">
        <f>_xlfn.IFNA(VLOOKUP($BD16,Programma!$F$3:$H$1101,3,0),"")</f>
        <v/>
      </c>
      <c r="BG16" s="114" t="str">
        <f>_xlfn.IFNA(VLOOKUP($BD16,Programma!$F$3:$I$1101,4,0),"")</f>
        <v/>
      </c>
      <c r="BH16" s="114" t="str">
        <f>_xlfn.IFNA(VLOOKUP($BD16,Programma!$F$3:$J$1101,5,0),"")</f>
        <v/>
      </c>
      <c r="BI16" s="114" t="str">
        <f>_xlfn.IFNA(VLOOKUP($BD16,Programma!$F$3:$K$1101,6,0),"")</f>
        <v/>
      </c>
      <c r="BJ16" s="114" t="str">
        <f>_xlfn.IFNA(VLOOKUP($BD16,Programma!$F$3:$L$1101,7,0),"")</f>
        <v/>
      </c>
      <c r="BK16" s="114" t="str">
        <f>_xlfn.IFNA(VLOOKUP($BD16,Programma!$F$3:$M$1101,8,0),"")</f>
        <v/>
      </c>
      <c r="BL16" s="114" t="str">
        <f>_xlfn.IFNA(VLOOKUP($BD16,Programma!$F$3:$N$1101,9,0),"")</f>
        <v/>
      </c>
      <c r="BM16" s="114" t="str">
        <f>_xlfn.IFNA(VLOOKUP($BD16,Programma!$F$3:$O$1101,10,0),"")</f>
        <v/>
      </c>
      <c r="BN16" s="114" t="str">
        <f>_xlfn.IFNA(VLOOKUP($BD16,Programma!$F$3:$P$1101,11,0),"")</f>
        <v/>
      </c>
      <c r="BO16" s="114" t="str">
        <f>_xlfn.IFNA(VLOOKUP($BD16,Programma!$F$3:$Q$1101,12,0),"")</f>
        <v/>
      </c>
      <c r="BP16" s="114" t="str">
        <f>_xlfn.IFNA(VLOOKUP($BD16,Programma!$F$3:$R$1101,13,0),"")</f>
        <v/>
      </c>
      <c r="BQ16" s="114" t="str">
        <f>_xlfn.IFNA(VLOOKUP($BD16,Programma!$F$3:$S$1101,14,0),"")</f>
        <v/>
      </c>
      <c r="BR16" s="114" t="str">
        <f>_xlfn.IFNA(VLOOKUP($BD16,Programma!$F$3:$T$1101,15,0),"")</f>
        <v/>
      </c>
      <c r="BS16" s="114" t="str">
        <f>_xlfn.IFNA(VLOOKUP($BD16,Programma!$F$3:$U$1101,16,0),"")</f>
        <v/>
      </c>
      <c r="BT16" s="114" t="str">
        <f>_xlfn.IFNA(VLOOKUP($BD16,Programma!$F$3:$V$1101,17,0),"")</f>
        <v/>
      </c>
      <c r="BU16" s="114" t="str">
        <f>_xlfn.IFNA(VLOOKUP($BD16,Programma!$F$3:$W$1101,18,0),"")</f>
        <v/>
      </c>
      <c r="BV16" s="114" t="str">
        <f>_xlfn.IFNA(VLOOKUP($BD16,Programma!$F$3:$X$1101,19,0),"")</f>
        <v/>
      </c>
      <c r="BW16" s="114" t="str">
        <f>_xlfn.IFNA(VLOOKUP($BD16,Programma!$F$3:$Y$1101,20,0),"")</f>
        <v/>
      </c>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row>
    <row r="17" spans="1:220" ht="15" customHeight="1">
      <c r="A17" s="73">
        <v>1</v>
      </c>
      <c r="B17" s="105" t="str">
        <f>VLOOKUP(Ruimtestaat[[#This Row],[Code]],Locaties[[Code]:[Locatie]],2,FALSE)</f>
        <v>IKC Kameleon</v>
      </c>
      <c r="C17" s="105" t="str">
        <f>VLOOKUP(Ruimtestaat[[#This Row],[Code]],Locaties[[#All],[Code]:[Adres]],4,FALSE)</f>
        <v>Mondriaanstraat 15</v>
      </c>
      <c r="D17" s="105" t="str">
        <f>VLOOKUP(Ruimtestaat[[#This Row],[Code]],Locaties[[#All],[Code]:[Postcode]],5,FALSE)</f>
        <v>6921 MJ</v>
      </c>
      <c r="E17" s="105" t="str">
        <f>VLOOKUP(Ruimtestaat[[#This Row],[Code]],Locaties[#All],6,FALSE)</f>
        <v>Duiven</v>
      </c>
      <c r="F17" s="73"/>
      <c r="G17" s="73" t="s">
        <v>1645</v>
      </c>
      <c r="H17" s="272"/>
      <c r="I17" s="273" t="s">
        <v>1657</v>
      </c>
      <c r="J17" s="31">
        <v>16</v>
      </c>
      <c r="K17" s="113" t="str">
        <f>VLOOKUP(Ruimtestaat[[#This Row],[Ruimte code]],Ruimtegroepen[[#All],[Code]:[Ruimte omschrijving]],2,FALSE)</f>
        <v>Leslokalen</v>
      </c>
      <c r="L17" s="73" t="s">
        <v>102</v>
      </c>
      <c r="M17" s="273" t="s">
        <v>1979</v>
      </c>
      <c r="N17" s="106">
        <v>78</v>
      </c>
      <c r="O17" s="112"/>
      <c r="P17" s="112"/>
      <c r="Q17" s="107" t="str">
        <f>VLOOKUP(Ruimtestaat[[#This Row],[Ruimte code]],Ruimtegroepen[],4,FALSE)</f>
        <v>Le</v>
      </c>
      <c r="R17" s="73">
        <v>40</v>
      </c>
      <c r="S17" s="73" t="s">
        <v>2</v>
      </c>
      <c r="T17" s="73">
        <f>IF(R17&gt;0,IF(RIGHT(Ruimtestaat[[#This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 s="73">
        <f>IF(T17&gt;0,VLOOKUP($J17,Ruimtegroepen[],3,FALSE)*VLOOKUP($L17,Vloersoorten[],3,FALSE)*VLOOKUP($S17,Frequenties[],3,FALSE)*VLOOKUP($A17,Locaties[],3,FALSE),0)</f>
        <v>0</v>
      </c>
      <c r="V17" s="73">
        <f>Ruimtestaat[[#This Row],[Uitvoeringen werkdagen]]*Ruimtestaat[[#This Row],[Oppervlak (netto)]]</f>
        <v>15600</v>
      </c>
      <c r="W17" s="108">
        <f>IF(U17&gt;0,Ruimtestaat[[#This Row],[Prest. (m2 /jaar) werkdagen]]/Ruimtestaat[[#This Row],[Norm (m2/uur) werkdagen]],0)</f>
        <v>0</v>
      </c>
      <c r="X17" s="109">
        <f>Ruimtestaat[[#This Row],[uren / jaar werkdagen]]*Tariefsopbouw!$E$35</f>
        <v>0</v>
      </c>
      <c r="Y17" s="73"/>
      <c r="Z17" s="73">
        <f>IF(Ruimtestaat[[#This Row],[Frequentie weekend]]&gt;0,VALUE(LEFT(Y17,1))*R17,0)</f>
        <v>0</v>
      </c>
      <c r="AA17" s="72">
        <f>IF($Z17&gt;0,VLOOKUP($J17,Ruimtegroepen[],3,FALSE)*VLOOKUP($L17,Vloersoorten[],3,FALSE)*VLOOKUP($Y17,Frequenties[],3,FALSE)*VLOOKUP(Ruimtestaat[[#This Row],[Code]],Locaties[],3,FALSE),0)</f>
        <v>0</v>
      </c>
      <c r="AB17" s="72">
        <f>Ruimtestaat[[#This Row],[Uitvoeringen weekend]]*Ruimtestaat[[#This Row],[Oppervlak (netto)]]</f>
        <v>0</v>
      </c>
      <c r="AC17" s="72">
        <f>IF(AA17&gt;0,Ruimtestaat[[#This Row],[Prest. (m2 /jaar) weekend]]/Ruimtestaat[[#This Row],[Norm (m2/uur) weekend]],0)</f>
        <v>0</v>
      </c>
      <c r="AD17" s="109">
        <f>Ruimtestaat[[#This Row],[uren / jaar weekend]]*Tariefsopbouw!$D$40</f>
        <v>0</v>
      </c>
      <c r="AE17" s="108">
        <f>Ruimtestaat[[#This Row],[Prest. (m2 /jaar) weekend]]+Ruimtestaat[[#This Row],[Prest. (m2 /jaar) werkdagen]]</f>
        <v>15600</v>
      </c>
      <c r="AF17" s="108">
        <f>Ruimtestaat[[#This Row],[uren / jaar weekend]]+Ruimtestaat[[#This Row],[uren / jaar werkdagen]]</f>
        <v>0</v>
      </c>
      <c r="AG17" s="103">
        <f>Ruimtestaat[[#This Row],[kosten / jaar weekend]]+Ruimtestaat[[#This Row],[kosten / jaar werkdagen]]</f>
        <v>0</v>
      </c>
      <c r="AH17" s="103"/>
      <c r="AI17" s="110" t="str">
        <f>IF(Ruimtestaat[[#This Row],[Frequentie werkdagen]]="","",_xlfn.CONCAT(Ruimtestaat[[#This Row],[Ruimte code]],"-",Ruimtestaat[[#This Row],[Frequentie werkdagen]]," ",Ruimtestaat[[#This Row],[Vloer code]]))</f>
        <v>16-5w P</v>
      </c>
      <c r="AJ17" s="114" t="str">
        <f>_xlfn.IFNA(VLOOKUP($AI17,Programma!$F$3:$G$1101,2,0),"")</f>
        <v>_</v>
      </c>
      <c r="AK17" s="114" t="str">
        <f>_xlfn.IFNA(VLOOKUP($AI17,Programma!$F$3:$H$1101,3,0),"")</f>
        <v>_</v>
      </c>
      <c r="AL17" s="114" t="str">
        <f>_xlfn.IFNA(VLOOKUP($AI17,Programma!$F$3:$I$1101,4,0),"")</f>
        <v>4w</v>
      </c>
      <c r="AM17" s="114" t="str">
        <f>_xlfn.IFNA(VLOOKUP($AI17,Programma!$F$3:$J$1101,5,0),"")</f>
        <v>1w</v>
      </c>
      <c r="AN17" s="114" t="str">
        <f>_xlfn.IFNA(VLOOKUP($AI17,Programma!$F$3:$K$1101,6,0),"")</f>
        <v>1m</v>
      </c>
      <c r="AO17" s="114" t="str">
        <f>_xlfn.IFNA(VLOOKUP($AI17,Programma!$F$3:$L$1101,7,0),"")</f>
        <v>_</v>
      </c>
      <c r="AP17" s="114" t="str">
        <f>_xlfn.IFNA(VLOOKUP($AI17,Programma!$F$3:$M$1101,8,0),"")</f>
        <v>_</v>
      </c>
      <c r="AQ17" s="114" t="str">
        <f>_xlfn.IFNA(VLOOKUP($AI17,Programma!$F$3:$N$1101,9,0),"")</f>
        <v>_</v>
      </c>
      <c r="AR17" s="114" t="str">
        <f>_xlfn.IFNA(VLOOKUP($AI17,Programma!$F$3:$O$1101,10,0),"")</f>
        <v>5w</v>
      </c>
      <c r="AS17" s="114" t="str">
        <f>_xlfn.IFNA(VLOOKUP($AI17,Programma!$F$3:$P$1101,11,0),"")</f>
        <v>5w</v>
      </c>
      <c r="AT17" s="114" t="str">
        <f>_xlfn.IFNA(VLOOKUP($AI17,Programma!$F$3:$Q$1101,12,0),"")</f>
        <v>1w</v>
      </c>
      <c r="AU17" s="114" t="str">
        <f>_xlfn.IFNA(VLOOKUP($AI17,Programma!$F$3:$R$1101,13,0),"")</f>
        <v>1w</v>
      </c>
      <c r="AV17" s="114" t="str">
        <f>_xlfn.IFNA(VLOOKUP($AI17,Programma!$F$3:$S$1101,14,0),"")</f>
        <v>1m</v>
      </c>
      <c r="AW17" s="114" t="str">
        <f>_xlfn.IFNA(VLOOKUP($AI17,Programma!$F$3:$T$1101,15,0),"")</f>
        <v>2j</v>
      </c>
      <c r="AX17" s="114" t="str">
        <f>_xlfn.IFNA(VLOOKUP($AI17,Programma!$F$3:$U$1101,16,0),"")</f>
        <v>1j</v>
      </c>
      <c r="AY17" s="114" t="str">
        <f>_xlfn.IFNA(VLOOKUP($AI17,Programma!$F$3:$V$1101,17,0),"")</f>
        <v>_</v>
      </c>
      <c r="AZ17" s="114" t="str">
        <f>_xlfn.IFNA(VLOOKUP($AI17,Programma!$F$3:$W$1101,18,0),"")</f>
        <v>_</v>
      </c>
      <c r="BA17" s="114" t="str">
        <f>_xlfn.IFNA(VLOOKUP($AI17,Programma!$F$3:$X$1101,19,0),"")</f>
        <v>_</v>
      </c>
      <c r="BB17" s="114" t="str">
        <f>_xlfn.IFNA(VLOOKUP($AI17,Programma!$F$3:$Y$1101,20,0),"")</f>
        <v>_</v>
      </c>
      <c r="BC17" s="111"/>
      <c r="BD17" s="110" t="str">
        <f>IF(Ruimtestaat[[#This Row],[Frequentie weekend]]="","",_xlfn.CONCAT(Ruimtestaat[[#This Row],[Ruimte code]],"-",Ruimtestaat[[#This Row],[Frequentie weekend]]," ",Ruimtestaat[[#This Row],[Vloer code]]))</f>
        <v/>
      </c>
      <c r="BE17" s="114" t="str">
        <f>_xlfn.IFNA(VLOOKUP($BD17,Programma!$F$3:$G$1101,2,0),"")</f>
        <v/>
      </c>
      <c r="BF17" s="114" t="str">
        <f>_xlfn.IFNA(VLOOKUP($BD17,Programma!$F$3:$H$1101,3,0),"")</f>
        <v/>
      </c>
      <c r="BG17" s="114" t="str">
        <f>_xlfn.IFNA(VLOOKUP($BD17,Programma!$F$3:$I$1101,4,0),"")</f>
        <v/>
      </c>
      <c r="BH17" s="114" t="str">
        <f>_xlfn.IFNA(VLOOKUP($BD17,Programma!$F$3:$J$1101,5,0),"")</f>
        <v/>
      </c>
      <c r="BI17" s="114" t="str">
        <f>_xlfn.IFNA(VLOOKUP($BD17,Programma!$F$3:$K$1101,6,0),"")</f>
        <v/>
      </c>
      <c r="BJ17" s="114" t="str">
        <f>_xlfn.IFNA(VLOOKUP($BD17,Programma!$F$3:$L$1101,7,0),"")</f>
        <v/>
      </c>
      <c r="BK17" s="114" t="str">
        <f>_xlfn.IFNA(VLOOKUP($BD17,Programma!$F$3:$M$1101,8,0),"")</f>
        <v/>
      </c>
      <c r="BL17" s="114" t="str">
        <f>_xlfn.IFNA(VLOOKUP($BD17,Programma!$F$3:$N$1101,9,0),"")</f>
        <v/>
      </c>
      <c r="BM17" s="114" t="str">
        <f>_xlfn.IFNA(VLOOKUP($BD17,Programma!$F$3:$O$1101,10,0),"")</f>
        <v/>
      </c>
      <c r="BN17" s="114" t="str">
        <f>_xlfn.IFNA(VLOOKUP($BD17,Programma!$F$3:$P$1101,11,0),"")</f>
        <v/>
      </c>
      <c r="BO17" s="114" t="str">
        <f>_xlfn.IFNA(VLOOKUP($BD17,Programma!$F$3:$Q$1101,12,0),"")</f>
        <v/>
      </c>
      <c r="BP17" s="114" t="str">
        <f>_xlfn.IFNA(VLOOKUP($BD17,Programma!$F$3:$R$1101,13,0),"")</f>
        <v/>
      </c>
      <c r="BQ17" s="114" t="str">
        <f>_xlfn.IFNA(VLOOKUP($BD17,Programma!$F$3:$S$1101,14,0),"")</f>
        <v/>
      </c>
      <c r="BR17" s="114" t="str">
        <f>_xlfn.IFNA(VLOOKUP($BD17,Programma!$F$3:$T$1101,15,0),"")</f>
        <v/>
      </c>
      <c r="BS17" s="114" t="str">
        <f>_xlfn.IFNA(VLOOKUP($BD17,Programma!$F$3:$U$1101,16,0),"")</f>
        <v/>
      </c>
      <c r="BT17" s="114" t="str">
        <f>_xlfn.IFNA(VLOOKUP($BD17,Programma!$F$3:$V$1101,17,0),"")</f>
        <v/>
      </c>
      <c r="BU17" s="114" t="str">
        <f>_xlfn.IFNA(VLOOKUP($BD17,Programma!$F$3:$W$1101,18,0),"")</f>
        <v/>
      </c>
      <c r="BV17" s="114" t="str">
        <f>_xlfn.IFNA(VLOOKUP($BD17,Programma!$F$3:$X$1101,19,0),"")</f>
        <v/>
      </c>
      <c r="BW17" s="114" t="str">
        <f>_xlfn.IFNA(VLOOKUP($BD17,Programma!$F$3:$Y$1101,20,0),"")</f>
        <v/>
      </c>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row>
    <row r="18" spans="1:220" ht="15" customHeight="1">
      <c r="A18" s="73">
        <v>1</v>
      </c>
      <c r="B18" s="105" t="str">
        <f>VLOOKUP(Ruimtestaat[[#This Row],[Code]],Locaties[[Code]:[Locatie]],2,FALSE)</f>
        <v>IKC Kameleon</v>
      </c>
      <c r="C18" s="105" t="str">
        <f>VLOOKUP(Ruimtestaat[[#This Row],[Code]],Locaties[[#All],[Code]:[Adres]],4,FALSE)</f>
        <v>Mondriaanstraat 15</v>
      </c>
      <c r="D18" s="105" t="str">
        <f>VLOOKUP(Ruimtestaat[[#This Row],[Code]],Locaties[[#All],[Code]:[Postcode]],5,FALSE)</f>
        <v>6921 MJ</v>
      </c>
      <c r="E18" s="105" t="str">
        <f>VLOOKUP(Ruimtestaat[[#This Row],[Code]],Locaties[#All],6,FALSE)</f>
        <v>Duiven</v>
      </c>
      <c r="F18" s="73"/>
      <c r="G18" s="73" t="s">
        <v>1645</v>
      </c>
      <c r="H18" s="272"/>
      <c r="I18" s="273" t="s">
        <v>1661</v>
      </c>
      <c r="J18" s="31">
        <v>17</v>
      </c>
      <c r="K18" s="113" t="str">
        <f>VLOOKUP(Ruimtestaat[[#This Row],[Ruimte code]],Ruimtegroepen[[#All],[Code]:[Ruimte omschrijving]],2,FALSE)</f>
        <v>Toestelberging</v>
      </c>
      <c r="L18" s="73" t="s">
        <v>102</v>
      </c>
      <c r="M18" s="273" t="s">
        <v>1979</v>
      </c>
      <c r="N18" s="106">
        <v>6</v>
      </c>
      <c r="O18" s="112"/>
      <c r="P18" s="112"/>
      <c r="Q18" s="107" t="str">
        <f>VLOOKUP(Ruimtestaat[[#This Row],[Ruimte code]],Ruimtegroepen[],4,FALSE)</f>
        <v>Ve</v>
      </c>
      <c r="R18" s="73">
        <v>40</v>
      </c>
      <c r="S18" s="73" t="s">
        <v>16</v>
      </c>
      <c r="T18" s="73">
        <f>IF(R18&gt;0,IF(RIGHT(Ruimtestaat[[#This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 s="73">
        <f>IF(T18&gt;0,VLOOKUP($J18,Ruimtegroepen[],3,FALSE)*VLOOKUP($L18,Vloersoorten[],3,FALSE)*VLOOKUP($S18,Frequenties[],3,FALSE)*VLOOKUP($A18,Locaties[],3,FALSE),0)</f>
        <v>0</v>
      </c>
      <c r="V18" s="73">
        <f>Ruimtestaat[[#This Row],[Uitvoeringen werkdagen]]*Ruimtestaat[[#This Row],[Oppervlak (netto)]]</f>
        <v>72</v>
      </c>
      <c r="W18" s="108">
        <f>IF(U18&gt;0,Ruimtestaat[[#This Row],[Prest. (m2 /jaar) werkdagen]]/Ruimtestaat[[#This Row],[Norm (m2/uur) werkdagen]],0)</f>
        <v>0</v>
      </c>
      <c r="X18" s="109">
        <f>Ruimtestaat[[#This Row],[uren / jaar werkdagen]]*Tariefsopbouw!$E$35</f>
        <v>0</v>
      </c>
      <c r="Y18" s="73"/>
      <c r="Z18" s="73">
        <f>IF(Ruimtestaat[[#This Row],[Frequentie weekend]]&gt;0,VALUE(LEFT(Y18,1))*R18,0)</f>
        <v>0</v>
      </c>
      <c r="AA18" s="72">
        <f>IF($Z18&gt;0,VLOOKUP($J18,Ruimtegroepen[],3,FALSE)*VLOOKUP($L18,Vloersoorten[],3,FALSE)*VLOOKUP($Y18,Frequenties[],3,FALSE)*VLOOKUP(#REF!,Locaties[],3,FALSE),0)</f>
        <v>0</v>
      </c>
      <c r="AB18" s="72">
        <f>Ruimtestaat[[#This Row],[Uitvoeringen weekend]]*Ruimtestaat[[#This Row],[Oppervlak (netto)]]</f>
        <v>0</v>
      </c>
      <c r="AC18" s="72">
        <f>IF(AA18&gt;0,Ruimtestaat[[#This Row],[Prest. (m2 /jaar) weekend]]/Ruimtestaat[[#This Row],[Norm (m2/uur) weekend]],0)</f>
        <v>0</v>
      </c>
      <c r="AD18" s="109">
        <f>Ruimtestaat[[#This Row],[uren / jaar weekend]]*Tariefsopbouw!$D$40</f>
        <v>0</v>
      </c>
      <c r="AE18" s="108">
        <f>Ruimtestaat[[#This Row],[Prest. (m2 /jaar) weekend]]+Ruimtestaat[[#This Row],[Prest. (m2 /jaar) werkdagen]]</f>
        <v>72</v>
      </c>
      <c r="AF18" s="108">
        <f>Ruimtestaat[[#This Row],[uren / jaar weekend]]+Ruimtestaat[[#This Row],[uren / jaar werkdagen]]</f>
        <v>0</v>
      </c>
      <c r="AG18" s="103">
        <f>Ruimtestaat[[#This Row],[kosten / jaar weekend]]+Ruimtestaat[[#This Row],[kosten / jaar werkdagen]]</f>
        <v>0</v>
      </c>
      <c r="AH18" s="103"/>
      <c r="AI18" s="110" t="str">
        <f>IF(Ruimtestaat[[#This Row],[Frequentie werkdagen]]="","",_xlfn.CONCAT(Ruimtestaat[[#This Row],[Ruimte code]],"-",Ruimtestaat[[#This Row],[Frequentie werkdagen]]," ",Ruimtestaat[[#This Row],[Vloer code]]))</f>
        <v>17-1m P</v>
      </c>
      <c r="AJ18" s="114" t="str">
        <f>_xlfn.IFNA(VLOOKUP($AI18,Programma!$F$3:$G$1101,2,0),"")</f>
        <v>_</v>
      </c>
      <c r="AK18" s="114" t="str">
        <f>_xlfn.IFNA(VLOOKUP($AI18,Programma!$F$3:$H$1101,3,0),"")</f>
        <v>_</v>
      </c>
      <c r="AL18" s="114" t="str">
        <f>_xlfn.IFNA(VLOOKUP($AI18,Programma!$F$3:$I$1101,4,0),"")</f>
        <v>1m</v>
      </c>
      <c r="AM18" s="114" t="str">
        <f>_xlfn.IFNA(VLOOKUP($AI18,Programma!$F$3:$J$1101,5,0),"")</f>
        <v>_</v>
      </c>
      <c r="AN18" s="114" t="str">
        <f>_xlfn.IFNA(VLOOKUP($AI18,Programma!$F$3:$K$1101,6,0),"")</f>
        <v>4j</v>
      </c>
      <c r="AO18" s="114" t="str">
        <f>_xlfn.IFNA(VLOOKUP($AI18,Programma!$F$3:$L$1101,7,0),"")</f>
        <v>_</v>
      </c>
      <c r="AP18" s="114" t="str">
        <f>_xlfn.IFNA(VLOOKUP($AI18,Programma!$F$3:$M$1101,8,0),"")</f>
        <v>_</v>
      </c>
      <c r="AQ18" s="114" t="str">
        <f>_xlfn.IFNA(VLOOKUP($AI18,Programma!$F$3:$N$1101,9,0),"")</f>
        <v>_</v>
      </c>
      <c r="AR18" s="114" t="str">
        <f>_xlfn.IFNA(VLOOKUP($AI18,Programma!$F$3:$O$1101,10,0),"")</f>
        <v>1m</v>
      </c>
      <c r="AS18" s="114" t="str">
        <f>_xlfn.IFNA(VLOOKUP($AI18,Programma!$F$3:$P$1101,11,0),"")</f>
        <v>1m</v>
      </c>
      <c r="AT18" s="114" t="str">
        <f>_xlfn.IFNA(VLOOKUP($AI18,Programma!$F$3:$Q$1101,12,0),"")</f>
        <v>1m</v>
      </c>
      <c r="AU18" s="114" t="str">
        <f>_xlfn.IFNA(VLOOKUP($AI18,Programma!$F$3:$R$1101,13,0),"")</f>
        <v>1m</v>
      </c>
      <c r="AV18" s="114" t="str">
        <f>_xlfn.IFNA(VLOOKUP($AI18,Programma!$F$3:$S$1101,14,0),"")</f>
        <v>1m</v>
      </c>
      <c r="AW18" s="114" t="str">
        <f>_xlfn.IFNA(VLOOKUP($AI18,Programma!$F$3:$T$1101,15,0),"")</f>
        <v>2j</v>
      </c>
      <c r="AX18" s="114" t="str">
        <f>_xlfn.IFNA(VLOOKUP($AI18,Programma!$F$3:$U$1101,16,0),"")</f>
        <v>1j</v>
      </c>
      <c r="AY18" s="114" t="str">
        <f>_xlfn.IFNA(VLOOKUP($AI18,Programma!$F$3:$V$1101,17,0),"")</f>
        <v>_</v>
      </c>
      <c r="AZ18" s="114" t="str">
        <f>_xlfn.IFNA(VLOOKUP($AI18,Programma!$F$3:$W$1101,18,0),"")</f>
        <v>_</v>
      </c>
      <c r="BA18" s="114" t="str">
        <f>_xlfn.IFNA(VLOOKUP($AI18,Programma!$F$3:$X$1101,19,0),"")</f>
        <v>_</v>
      </c>
      <c r="BB18" s="114" t="str">
        <f>_xlfn.IFNA(VLOOKUP($AI18,Programma!$F$3:$Y$1101,20,0),"")</f>
        <v>_</v>
      </c>
      <c r="BC18" s="111"/>
      <c r="BD18" s="110" t="str">
        <f>IF(Ruimtestaat[[#This Row],[Frequentie weekend]]="","",_xlfn.CONCAT(Ruimtestaat[[#This Row],[Ruimte code]],"-",Ruimtestaat[[#This Row],[Frequentie weekend]]," ",Ruimtestaat[[#This Row],[Vloer code]]))</f>
        <v/>
      </c>
      <c r="BE18" s="114" t="str">
        <f>_xlfn.IFNA(VLOOKUP($BD18,Programma!$F$3:$G$1101,2,0),"")</f>
        <v/>
      </c>
      <c r="BF18" s="114" t="str">
        <f>_xlfn.IFNA(VLOOKUP($BD18,Programma!$F$3:$H$1101,3,0),"")</f>
        <v/>
      </c>
      <c r="BG18" s="114" t="str">
        <f>_xlfn.IFNA(VLOOKUP($BD18,Programma!$F$3:$I$1101,4,0),"")</f>
        <v/>
      </c>
      <c r="BH18" s="114" t="str">
        <f>_xlfn.IFNA(VLOOKUP($BD18,Programma!$F$3:$J$1101,5,0),"")</f>
        <v/>
      </c>
      <c r="BI18" s="114" t="str">
        <f>_xlfn.IFNA(VLOOKUP($BD18,Programma!$F$3:$K$1101,6,0),"")</f>
        <v/>
      </c>
      <c r="BJ18" s="114" t="str">
        <f>_xlfn.IFNA(VLOOKUP($BD18,Programma!$F$3:$L$1101,7,0),"")</f>
        <v/>
      </c>
      <c r="BK18" s="114" t="str">
        <f>_xlfn.IFNA(VLOOKUP($BD18,Programma!$F$3:$M$1101,8,0),"")</f>
        <v/>
      </c>
      <c r="BL18" s="114" t="str">
        <f>_xlfn.IFNA(VLOOKUP($BD18,Programma!$F$3:$N$1101,9,0),"")</f>
        <v/>
      </c>
      <c r="BM18" s="114" t="str">
        <f>_xlfn.IFNA(VLOOKUP($BD18,Programma!$F$3:$O$1101,10,0),"")</f>
        <v/>
      </c>
      <c r="BN18" s="114" t="str">
        <f>_xlfn.IFNA(VLOOKUP($BD18,Programma!$F$3:$P$1101,11,0),"")</f>
        <v/>
      </c>
      <c r="BO18" s="114" t="str">
        <f>_xlfn.IFNA(VLOOKUP($BD18,Programma!$F$3:$Q$1101,12,0),"")</f>
        <v/>
      </c>
      <c r="BP18" s="114" t="str">
        <f>_xlfn.IFNA(VLOOKUP($BD18,Programma!$F$3:$R$1101,13,0),"")</f>
        <v/>
      </c>
      <c r="BQ18" s="114" t="str">
        <f>_xlfn.IFNA(VLOOKUP($BD18,Programma!$F$3:$S$1101,14,0),"")</f>
        <v/>
      </c>
      <c r="BR18" s="114" t="str">
        <f>_xlfn.IFNA(VLOOKUP($BD18,Programma!$F$3:$T$1101,15,0),"")</f>
        <v/>
      </c>
      <c r="BS18" s="114" t="str">
        <f>_xlfn.IFNA(VLOOKUP($BD18,Programma!$F$3:$U$1101,16,0),"")</f>
        <v/>
      </c>
      <c r="BT18" s="114" t="str">
        <f>_xlfn.IFNA(VLOOKUP($BD18,Programma!$F$3:$V$1101,17,0),"")</f>
        <v/>
      </c>
      <c r="BU18" s="114" t="str">
        <f>_xlfn.IFNA(VLOOKUP($BD18,Programma!$F$3:$W$1101,18,0),"")</f>
        <v/>
      </c>
      <c r="BV18" s="114" t="str">
        <f>_xlfn.IFNA(VLOOKUP($BD18,Programma!$F$3:$X$1101,19,0),"")</f>
        <v/>
      </c>
      <c r="BW18" s="114" t="str">
        <f>_xlfn.IFNA(VLOOKUP($BD18,Programma!$F$3:$Y$1101,20,0),"")</f>
        <v/>
      </c>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row>
    <row r="19" spans="1:220" ht="15" customHeight="1">
      <c r="A19" s="73">
        <v>1</v>
      </c>
      <c r="B19" s="105" t="str">
        <f>VLOOKUP(Ruimtestaat[[#This Row],[Code]],Locaties[[Code]:[Locatie]],2,FALSE)</f>
        <v>IKC Kameleon</v>
      </c>
      <c r="C19" s="105" t="str">
        <f>VLOOKUP(Ruimtestaat[[#This Row],[Code]],Locaties[[#All],[Code]:[Adres]],4,FALSE)</f>
        <v>Mondriaanstraat 15</v>
      </c>
      <c r="D19" s="105" t="str">
        <f>VLOOKUP(Ruimtestaat[[#This Row],[Code]],Locaties[[#All],[Code]:[Postcode]],5,FALSE)</f>
        <v>6921 MJ</v>
      </c>
      <c r="E19" s="105" t="str">
        <f>VLOOKUP(Ruimtestaat[[#This Row],[Code]],Locaties[#All],6,FALSE)</f>
        <v>Duiven</v>
      </c>
      <c r="F19" s="73"/>
      <c r="G19" s="73" t="s">
        <v>1645</v>
      </c>
      <c r="H19" s="272"/>
      <c r="I19" s="273" t="s">
        <v>1723</v>
      </c>
      <c r="J19" s="31">
        <v>5</v>
      </c>
      <c r="K19" s="113" t="str">
        <f>VLOOKUP(Ruimtestaat[[#This Row],[Ruimte code]],Ruimtegroepen[[#All],[Code]:[Ruimte omschrijving]],2,FALSE)</f>
        <v>Sanitair</v>
      </c>
      <c r="L19" s="73" t="s">
        <v>99</v>
      </c>
      <c r="M19" s="273" t="s">
        <v>36</v>
      </c>
      <c r="N19" s="106">
        <v>4</v>
      </c>
      <c r="O19" s="112"/>
      <c r="P19" s="112"/>
      <c r="Q19" s="107" t="str">
        <f>VLOOKUP(Ruimtestaat[[#This Row],[Ruimte code]],Ruimtegroepen[],4,FALSE)</f>
        <v>Sa</v>
      </c>
      <c r="R19" s="73">
        <v>40</v>
      </c>
      <c r="S19" s="73" t="s">
        <v>2</v>
      </c>
      <c r="T19" s="73">
        <f>IF(R19&gt;0,IF(RIGHT(Ruimtestaat[[#This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 s="73">
        <f>IF(T19&gt;0,VLOOKUP($J19,Ruimtegroepen[],3,FALSE)*VLOOKUP($L19,Vloersoorten[],3,FALSE)*VLOOKUP($S19,Frequenties[],3,FALSE)*VLOOKUP($A19,Locaties[],3,FALSE),0)</f>
        <v>0</v>
      </c>
      <c r="V19" s="73">
        <f>Ruimtestaat[[#This Row],[Uitvoeringen werkdagen]]*Ruimtestaat[[#This Row],[Oppervlak (netto)]]</f>
        <v>800</v>
      </c>
      <c r="W19" s="108">
        <f>IF(U19&gt;0,Ruimtestaat[[#This Row],[Prest. (m2 /jaar) werkdagen]]/Ruimtestaat[[#This Row],[Norm (m2/uur) werkdagen]],0)</f>
        <v>0</v>
      </c>
      <c r="X19" s="109">
        <f>Ruimtestaat[[#This Row],[uren / jaar werkdagen]]*Tariefsopbouw!$E$35</f>
        <v>0</v>
      </c>
      <c r="Y19" s="73"/>
      <c r="Z19" s="73">
        <f>IF(Ruimtestaat[[#This Row],[Frequentie weekend]]&gt;0,VALUE(LEFT(Y19,1))*R19,0)</f>
        <v>0</v>
      </c>
      <c r="AA19" s="72">
        <f>IF($Z19&gt;0,VLOOKUP($J19,Ruimtegroepen[],3,FALSE)*VLOOKUP($L19,Vloersoorten[],3,FALSE)*VLOOKUP($Y19,Frequenties[],3,FALSE)*VLOOKUP(#REF!,Locaties[],3,FALSE),0)</f>
        <v>0</v>
      </c>
      <c r="AB19" s="72">
        <f>Ruimtestaat[[#This Row],[Uitvoeringen weekend]]*Ruimtestaat[[#This Row],[Oppervlak (netto)]]</f>
        <v>0</v>
      </c>
      <c r="AC19" s="72">
        <f>IF(AA19&gt;0,Ruimtestaat[[#This Row],[Prest. (m2 /jaar) weekend]]/Ruimtestaat[[#This Row],[Norm (m2/uur) weekend]],0)</f>
        <v>0</v>
      </c>
      <c r="AD19" s="109">
        <f>Ruimtestaat[[#This Row],[uren / jaar weekend]]*Tariefsopbouw!$D$40</f>
        <v>0</v>
      </c>
      <c r="AE19" s="108">
        <f>Ruimtestaat[[#This Row],[Prest. (m2 /jaar) weekend]]+Ruimtestaat[[#This Row],[Prest. (m2 /jaar) werkdagen]]</f>
        <v>800</v>
      </c>
      <c r="AF19" s="108">
        <f>Ruimtestaat[[#This Row],[uren / jaar weekend]]+Ruimtestaat[[#This Row],[uren / jaar werkdagen]]</f>
        <v>0</v>
      </c>
      <c r="AG19" s="103">
        <f>Ruimtestaat[[#This Row],[kosten / jaar weekend]]+Ruimtestaat[[#This Row],[kosten / jaar werkdagen]]</f>
        <v>0</v>
      </c>
      <c r="AH19" s="103"/>
      <c r="AI19" s="110" t="str">
        <f>IF(Ruimtestaat[[#This Row],[Frequentie werkdagen]]="","",_xlfn.CONCAT(Ruimtestaat[[#This Row],[Ruimte code]],"-",Ruimtestaat[[#This Row],[Frequentie werkdagen]]," ",Ruimtestaat[[#This Row],[Vloer code]]))</f>
        <v>5-5w T</v>
      </c>
      <c r="AJ19" s="114" t="str">
        <f>_xlfn.IFNA(VLOOKUP($AI19,Programma!$F$3:$G$1101,2,0),"")</f>
        <v>_</v>
      </c>
      <c r="AK19" s="114" t="str">
        <f>_xlfn.IFNA(VLOOKUP($AI19,Programma!$F$3:$H$1101,3,0),"")</f>
        <v>_</v>
      </c>
      <c r="AL19" s="114" t="str">
        <f>_xlfn.IFNA(VLOOKUP($AI19,Programma!$F$3:$I$1101,4,0),"")</f>
        <v>_</v>
      </c>
      <c r="AM19" s="114" t="str">
        <f>_xlfn.IFNA(VLOOKUP($AI19,Programma!$F$3:$J$1101,5,0),"")</f>
        <v>_</v>
      </c>
      <c r="AN19" s="114" t="str">
        <f>_xlfn.IFNA(VLOOKUP($AI19,Programma!$F$3:$K$1101,6,0),"")</f>
        <v>_</v>
      </c>
      <c r="AO19" s="114" t="str">
        <f>_xlfn.IFNA(VLOOKUP($AI19,Programma!$F$3:$L$1101,7,0),"")</f>
        <v>_</v>
      </c>
      <c r="AP19" s="114" t="str">
        <f>_xlfn.IFNA(VLOOKUP($AI19,Programma!$F$3:$M$1101,8,0),"")</f>
        <v>_</v>
      </c>
      <c r="AQ19" s="114" t="str">
        <f>_xlfn.IFNA(VLOOKUP($AI19,Programma!$F$3:$N$1101,9,0),"")</f>
        <v>_</v>
      </c>
      <c r="AR19" s="114" t="str">
        <f>_xlfn.IFNA(VLOOKUP($AI19,Programma!$F$3:$O$1101,10,0),"")</f>
        <v>_</v>
      </c>
      <c r="AS19" s="114" t="str">
        <f>_xlfn.IFNA(VLOOKUP($AI19,Programma!$F$3:$P$1101,11,0),"")</f>
        <v>_</v>
      </c>
      <c r="AT19" s="114" t="str">
        <f>_xlfn.IFNA(VLOOKUP($AI19,Programma!$F$3:$Q$1101,12,0),"")</f>
        <v>_</v>
      </c>
      <c r="AU19" s="114" t="str">
        <f>_xlfn.IFNA(VLOOKUP($AI19,Programma!$F$3:$R$1101,13,0),"")</f>
        <v>_</v>
      </c>
      <c r="AV19" s="114" t="str">
        <f>_xlfn.IFNA(VLOOKUP($AI19,Programma!$F$3:$S$1101,14,0),"")</f>
        <v>_</v>
      </c>
      <c r="AW19" s="114" t="str">
        <f>_xlfn.IFNA(VLOOKUP($AI19,Programma!$F$3:$T$1101,15,0),"")</f>
        <v>_</v>
      </c>
      <c r="AX19" s="114" t="str">
        <f>_xlfn.IFNA(VLOOKUP($AI19,Programma!$F$3:$U$1101,16,0),"")</f>
        <v>_</v>
      </c>
      <c r="AY19" s="114" t="str">
        <f>_xlfn.IFNA(VLOOKUP($AI19,Programma!$F$3:$V$1101,17,0),"")</f>
        <v>_</v>
      </c>
      <c r="AZ19" s="114" t="str">
        <f>_xlfn.IFNA(VLOOKUP($AI19,Programma!$F$3:$W$1101,18,0),"")</f>
        <v>_</v>
      </c>
      <c r="BA19" s="114" t="str">
        <f>_xlfn.IFNA(VLOOKUP($AI19,Programma!$F$3:$X$1101,19,0),"")</f>
        <v>_</v>
      </c>
      <c r="BB19" s="114" t="str">
        <f>_xlfn.IFNA(VLOOKUP($AI19,Programma!$F$3:$Y$1101,20,0),"")</f>
        <v>_</v>
      </c>
      <c r="BC19" s="111"/>
      <c r="BD19" s="110" t="str">
        <f>IF(Ruimtestaat[[#This Row],[Frequentie weekend]]="","",_xlfn.CONCAT(Ruimtestaat[[#This Row],[Ruimte code]],"-",Ruimtestaat[[#This Row],[Frequentie weekend]]," ",Ruimtestaat[[#This Row],[Vloer code]]))</f>
        <v/>
      </c>
      <c r="BE19" s="114" t="str">
        <f>_xlfn.IFNA(VLOOKUP($BD19,Programma!$F$3:$G$1101,2,0),"")</f>
        <v/>
      </c>
      <c r="BF19" s="114" t="str">
        <f>_xlfn.IFNA(VLOOKUP($BD19,Programma!$F$3:$H$1101,3,0),"")</f>
        <v/>
      </c>
      <c r="BG19" s="114" t="str">
        <f>_xlfn.IFNA(VLOOKUP($BD19,Programma!$F$3:$I$1101,4,0),"")</f>
        <v/>
      </c>
      <c r="BH19" s="114" t="str">
        <f>_xlfn.IFNA(VLOOKUP($BD19,Programma!$F$3:$J$1101,5,0),"")</f>
        <v/>
      </c>
      <c r="BI19" s="114" t="str">
        <f>_xlfn.IFNA(VLOOKUP($BD19,Programma!$F$3:$K$1101,6,0),"")</f>
        <v/>
      </c>
      <c r="BJ19" s="114" t="str">
        <f>_xlfn.IFNA(VLOOKUP($BD19,Programma!$F$3:$L$1101,7,0),"")</f>
        <v/>
      </c>
      <c r="BK19" s="114" t="str">
        <f>_xlfn.IFNA(VLOOKUP($BD19,Programma!$F$3:$M$1101,8,0),"")</f>
        <v/>
      </c>
      <c r="BL19" s="114" t="str">
        <f>_xlfn.IFNA(VLOOKUP($BD19,Programma!$F$3:$N$1101,9,0),"")</f>
        <v/>
      </c>
      <c r="BM19" s="114" t="str">
        <f>_xlfn.IFNA(VLOOKUP($BD19,Programma!$F$3:$O$1101,10,0),"")</f>
        <v/>
      </c>
      <c r="BN19" s="114" t="str">
        <f>_xlfn.IFNA(VLOOKUP($BD19,Programma!$F$3:$P$1101,11,0),"")</f>
        <v/>
      </c>
      <c r="BO19" s="114" t="str">
        <f>_xlfn.IFNA(VLOOKUP($BD19,Programma!$F$3:$Q$1101,12,0),"")</f>
        <v/>
      </c>
      <c r="BP19" s="114" t="str">
        <f>_xlfn.IFNA(VLOOKUP($BD19,Programma!$F$3:$R$1101,13,0),"")</f>
        <v/>
      </c>
      <c r="BQ19" s="114" t="str">
        <f>_xlfn.IFNA(VLOOKUP($BD19,Programma!$F$3:$S$1101,14,0),"")</f>
        <v/>
      </c>
      <c r="BR19" s="114" t="str">
        <f>_xlfn.IFNA(VLOOKUP($BD19,Programma!$F$3:$T$1101,15,0),"")</f>
        <v/>
      </c>
      <c r="BS19" s="114" t="str">
        <f>_xlfn.IFNA(VLOOKUP($BD19,Programma!$F$3:$U$1101,16,0),"")</f>
        <v/>
      </c>
      <c r="BT19" s="114" t="str">
        <f>_xlfn.IFNA(VLOOKUP($BD19,Programma!$F$3:$V$1101,17,0),"")</f>
        <v/>
      </c>
      <c r="BU19" s="114" t="str">
        <f>_xlfn.IFNA(VLOOKUP($BD19,Programma!$F$3:$W$1101,18,0),"")</f>
        <v/>
      </c>
      <c r="BV19" s="114" t="str">
        <f>_xlfn.IFNA(VLOOKUP($BD19,Programma!$F$3:$X$1101,19,0),"")</f>
        <v/>
      </c>
      <c r="BW19" s="114" t="str">
        <f>_xlfn.IFNA(VLOOKUP($BD19,Programma!$F$3:$Y$1101,20,0),"")</f>
        <v/>
      </c>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row>
    <row r="20" spans="1:220" ht="15" customHeight="1">
      <c r="A20" s="73">
        <v>1</v>
      </c>
      <c r="B20" s="105" t="str">
        <f>VLOOKUP(Ruimtestaat[[#This Row],[Code]],Locaties[[Code]:[Locatie]],2,FALSE)</f>
        <v>IKC Kameleon</v>
      </c>
      <c r="C20" s="105" t="str">
        <f>VLOOKUP(Ruimtestaat[[#This Row],[Code]],Locaties[[#All],[Code]:[Adres]],4,FALSE)</f>
        <v>Mondriaanstraat 15</v>
      </c>
      <c r="D20" s="105" t="str">
        <f>VLOOKUP(Ruimtestaat[[#This Row],[Code]],Locaties[[#All],[Code]:[Postcode]],5,FALSE)</f>
        <v>6921 MJ</v>
      </c>
      <c r="E20" s="105" t="str">
        <f>VLOOKUP(Ruimtestaat[[#This Row],[Code]],Locaties[#All],6,FALSE)</f>
        <v>Duiven</v>
      </c>
      <c r="F20" s="73"/>
      <c r="G20" s="73" t="s">
        <v>1645</v>
      </c>
      <c r="H20" s="272"/>
      <c r="I20" s="273" t="s">
        <v>1738</v>
      </c>
      <c r="J20" s="31">
        <v>6</v>
      </c>
      <c r="K20" s="113" t="str">
        <f>VLOOKUP(Ruimtestaat[[#This Row],[Ruimte code]],Ruimtegroepen[[#All],[Code]:[Ruimte omschrijving]],2,FALSE)</f>
        <v>Gangen/hallen</v>
      </c>
      <c r="L20" s="73" t="s">
        <v>99</v>
      </c>
      <c r="M20" s="273" t="s">
        <v>36</v>
      </c>
      <c r="N20" s="106">
        <v>50</v>
      </c>
      <c r="O20" s="73"/>
      <c r="P20" s="73"/>
      <c r="Q20" s="107" t="str">
        <f>VLOOKUP(Ruimtestaat[[#This Row],[Ruimte code]],Ruimtegroepen[],4,FALSE)</f>
        <v>Ve</v>
      </c>
      <c r="R20" s="73">
        <v>40</v>
      </c>
      <c r="S20" s="73" t="s">
        <v>2</v>
      </c>
      <c r="T20" s="73">
        <f>IF(R20&gt;0,IF(RIGHT(Ruimtestaat[[#This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 s="73">
        <f>IF(T20&gt;0,VLOOKUP($J20,Ruimtegroepen[],3,FALSE)*VLOOKUP($L20,Vloersoorten[],3,FALSE)*VLOOKUP($S20,Frequenties[],3,FALSE)*VLOOKUP($A20,Locaties[],3,FALSE),0)</f>
        <v>0</v>
      </c>
      <c r="V20" s="73">
        <f>Ruimtestaat[[#This Row],[Uitvoeringen werkdagen]]*Ruimtestaat[[#This Row],[Oppervlak (netto)]]</f>
        <v>10000</v>
      </c>
      <c r="W20" s="108">
        <f>IF(U20&gt;0,Ruimtestaat[[#This Row],[Prest. (m2 /jaar) werkdagen]]/Ruimtestaat[[#This Row],[Norm (m2/uur) werkdagen]],0)</f>
        <v>0</v>
      </c>
      <c r="X20" s="109">
        <f>Ruimtestaat[[#This Row],[uren / jaar werkdagen]]*Tariefsopbouw!$E$35</f>
        <v>0</v>
      </c>
      <c r="Y20" s="73"/>
      <c r="Z20" s="73">
        <f>IF(Ruimtestaat[[#This Row],[Frequentie weekend]]&gt;0,VALUE(LEFT(Y20,1))*R20,0)</f>
        <v>0</v>
      </c>
      <c r="AA20" s="72">
        <f>IF($Z20&gt;0,VLOOKUP($J20,Ruimtegroepen[],3,FALSE)*VLOOKUP($L20,Vloersoorten[],3,FALSE)*VLOOKUP($Y20,Frequenties[],3,FALSE)*VLOOKUP(Ruimtestaat[[#This Row],[Code]],Locaties[],3,FALSE),0)</f>
        <v>0</v>
      </c>
      <c r="AB20" s="72">
        <f>Ruimtestaat[[#This Row],[Uitvoeringen weekend]]*Ruimtestaat[[#This Row],[Oppervlak (netto)]]</f>
        <v>0</v>
      </c>
      <c r="AC20" s="72">
        <f>IF(AA20&gt;0,Ruimtestaat[[#This Row],[Prest. (m2 /jaar) weekend]]/Ruimtestaat[[#This Row],[Norm (m2/uur) weekend]],0)</f>
        <v>0</v>
      </c>
      <c r="AD20" s="109">
        <f>Ruimtestaat[[#This Row],[uren / jaar weekend]]*Tariefsopbouw!$D$40</f>
        <v>0</v>
      </c>
      <c r="AE20" s="108">
        <f>Ruimtestaat[[#This Row],[Prest. (m2 /jaar) weekend]]+Ruimtestaat[[#This Row],[Prest. (m2 /jaar) werkdagen]]</f>
        <v>10000</v>
      </c>
      <c r="AF20" s="108">
        <f>Ruimtestaat[[#This Row],[uren / jaar weekend]]+Ruimtestaat[[#This Row],[uren / jaar werkdagen]]</f>
        <v>0</v>
      </c>
      <c r="AG20" s="103">
        <f>Ruimtestaat[[#This Row],[kosten / jaar weekend]]+Ruimtestaat[[#This Row],[kosten / jaar werkdagen]]</f>
        <v>0</v>
      </c>
      <c r="AH20" s="103"/>
      <c r="AI20" s="110" t="str">
        <f>IF(Ruimtestaat[[#This Row],[Frequentie werkdagen]]="","",_xlfn.CONCAT(Ruimtestaat[[#This Row],[Ruimte code]],"-",Ruimtestaat[[#This Row],[Frequentie werkdagen]]," ",Ruimtestaat[[#This Row],[Vloer code]]))</f>
        <v>6-5w T</v>
      </c>
      <c r="AJ20" s="114" t="str">
        <f>_xlfn.IFNA(VLOOKUP($AI20,Programma!$F$3:$G$1101,2,0),"")</f>
        <v>_</v>
      </c>
      <c r="AK20" s="114" t="str">
        <f>_xlfn.IFNA(VLOOKUP($AI20,Programma!$F$3:$H$1101,3,0),"")</f>
        <v>5w</v>
      </c>
      <c r="AL20" s="114" t="str">
        <f>_xlfn.IFNA(VLOOKUP($AI20,Programma!$F$3:$I$1101,4,0),"")</f>
        <v>_</v>
      </c>
      <c r="AM20" s="114" t="str">
        <f>_xlfn.IFNA(VLOOKUP($AI20,Programma!$F$3:$J$1101,5,0),"")</f>
        <v>_</v>
      </c>
      <c r="AN20" s="114" t="str">
        <f>_xlfn.IFNA(VLOOKUP($AI20,Programma!$F$3:$K$1101,6,0),"")</f>
        <v>_</v>
      </c>
      <c r="AO20" s="114" t="str">
        <f>_xlfn.IFNA(VLOOKUP($AI20,Programma!$F$3:$L$1101,7,0),"")</f>
        <v>_</v>
      </c>
      <c r="AP20" s="114" t="str">
        <f>_xlfn.IFNA(VLOOKUP($AI20,Programma!$F$3:$M$1101,8,0),"")</f>
        <v>_</v>
      </c>
      <c r="AQ20" s="114" t="str">
        <f>_xlfn.IFNA(VLOOKUP($AI20,Programma!$F$3:$N$1101,9,0),"")</f>
        <v>_</v>
      </c>
      <c r="AR20" s="114" t="str">
        <f>_xlfn.IFNA(VLOOKUP($AI20,Programma!$F$3:$O$1101,10,0),"")</f>
        <v>5w</v>
      </c>
      <c r="AS20" s="114" t="str">
        <f>_xlfn.IFNA(VLOOKUP($AI20,Programma!$F$3:$P$1101,11,0),"")</f>
        <v>5w</v>
      </c>
      <c r="AT20" s="114" t="str">
        <f>_xlfn.IFNA(VLOOKUP($AI20,Programma!$F$3:$Q$1101,12,0),"")</f>
        <v>1w</v>
      </c>
      <c r="AU20" s="114" t="str">
        <f>_xlfn.IFNA(VLOOKUP($AI20,Programma!$F$3:$R$1101,13,0),"")</f>
        <v>1w</v>
      </c>
      <c r="AV20" s="114" t="str">
        <f>_xlfn.IFNA(VLOOKUP($AI20,Programma!$F$3:$S$1101,14,0),"")</f>
        <v>1m</v>
      </c>
      <c r="AW20" s="114" t="str">
        <f>_xlfn.IFNA(VLOOKUP($AI20,Programma!$F$3:$T$1101,15,0),"")</f>
        <v>2j</v>
      </c>
      <c r="AX20" s="114" t="str">
        <f>_xlfn.IFNA(VLOOKUP($AI20,Programma!$F$3:$U$1101,16,0),"")</f>
        <v>1j</v>
      </c>
      <c r="AY20" s="114" t="str">
        <f>_xlfn.IFNA(VLOOKUP($AI20,Programma!$F$3:$V$1101,17,0),"")</f>
        <v>_</v>
      </c>
      <c r="AZ20" s="114" t="str">
        <f>_xlfn.IFNA(VLOOKUP($AI20,Programma!$F$3:$W$1101,18,0),"")</f>
        <v>_</v>
      </c>
      <c r="BA20" s="114" t="str">
        <f>_xlfn.IFNA(VLOOKUP($AI20,Programma!$F$3:$X$1101,19,0),"")</f>
        <v>_</v>
      </c>
      <c r="BB20" s="114" t="str">
        <f>_xlfn.IFNA(VLOOKUP($AI20,Programma!$F$3:$Y$1101,20,0),"")</f>
        <v>_</v>
      </c>
      <c r="BC20" s="111"/>
      <c r="BD20" s="110" t="str">
        <f>IF(Ruimtestaat[[#This Row],[Frequentie weekend]]="","",_xlfn.CONCAT(Ruimtestaat[[#This Row],[Ruimte code]],"-",Ruimtestaat[[#This Row],[Frequentie weekend]]," ",Ruimtestaat[[#This Row],[Vloer code]]))</f>
        <v/>
      </c>
      <c r="BE20" s="114" t="str">
        <f>_xlfn.IFNA(VLOOKUP($BD20,Programma!$F$3:$G$1101,2,0),"")</f>
        <v/>
      </c>
      <c r="BF20" s="114" t="str">
        <f>_xlfn.IFNA(VLOOKUP($BD20,Programma!$F$3:$H$1101,3,0),"")</f>
        <v/>
      </c>
      <c r="BG20" s="114" t="str">
        <f>_xlfn.IFNA(VLOOKUP($BD20,Programma!$F$3:$I$1101,4,0),"")</f>
        <v/>
      </c>
      <c r="BH20" s="114" t="str">
        <f>_xlfn.IFNA(VLOOKUP($BD20,Programma!$F$3:$J$1101,5,0),"")</f>
        <v/>
      </c>
      <c r="BI20" s="114" t="str">
        <f>_xlfn.IFNA(VLOOKUP($BD20,Programma!$F$3:$K$1101,6,0),"")</f>
        <v/>
      </c>
      <c r="BJ20" s="114" t="str">
        <f>_xlfn.IFNA(VLOOKUP($BD20,Programma!$F$3:$L$1101,7,0),"")</f>
        <v/>
      </c>
      <c r="BK20" s="114" t="str">
        <f>_xlfn.IFNA(VLOOKUP($BD20,Programma!$F$3:$M$1101,8,0),"")</f>
        <v/>
      </c>
      <c r="BL20" s="114" t="str">
        <f>_xlfn.IFNA(VLOOKUP($BD20,Programma!$F$3:$N$1101,9,0),"")</f>
        <v/>
      </c>
      <c r="BM20" s="114" t="str">
        <f>_xlfn.IFNA(VLOOKUP($BD20,Programma!$F$3:$O$1101,10,0),"")</f>
        <v/>
      </c>
      <c r="BN20" s="114" t="str">
        <f>_xlfn.IFNA(VLOOKUP($BD20,Programma!$F$3:$P$1101,11,0),"")</f>
        <v/>
      </c>
      <c r="BO20" s="114" t="str">
        <f>_xlfn.IFNA(VLOOKUP($BD20,Programma!$F$3:$Q$1101,12,0),"")</f>
        <v/>
      </c>
      <c r="BP20" s="114" t="str">
        <f>_xlfn.IFNA(VLOOKUP($BD20,Programma!$F$3:$R$1101,13,0),"")</f>
        <v/>
      </c>
      <c r="BQ20" s="114" t="str">
        <f>_xlfn.IFNA(VLOOKUP($BD20,Programma!$F$3:$S$1101,14,0),"")</f>
        <v/>
      </c>
      <c r="BR20" s="114" t="str">
        <f>_xlfn.IFNA(VLOOKUP($BD20,Programma!$F$3:$T$1101,15,0),"")</f>
        <v/>
      </c>
      <c r="BS20" s="114" t="str">
        <f>_xlfn.IFNA(VLOOKUP($BD20,Programma!$F$3:$U$1101,16,0),"")</f>
        <v/>
      </c>
      <c r="BT20" s="114" t="str">
        <f>_xlfn.IFNA(VLOOKUP($BD20,Programma!$F$3:$V$1101,17,0),"")</f>
        <v/>
      </c>
      <c r="BU20" s="114" t="str">
        <f>_xlfn.IFNA(VLOOKUP($BD20,Programma!$F$3:$W$1101,18,0),"")</f>
        <v/>
      </c>
      <c r="BV20" s="114" t="str">
        <f>_xlfn.IFNA(VLOOKUP($BD20,Programma!$F$3:$X$1101,19,0),"")</f>
        <v/>
      </c>
      <c r="BW20" s="114" t="str">
        <f>_xlfn.IFNA(VLOOKUP($BD20,Programma!$F$3:$Y$1101,20,0),"")</f>
        <v/>
      </c>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row>
    <row r="21" spans="1:220" ht="15" customHeight="1">
      <c r="A21" s="73">
        <v>1</v>
      </c>
      <c r="B21" s="105" t="str">
        <f>VLOOKUP(Ruimtestaat[[#This Row],[Code]],Locaties[[Code]:[Locatie]],2,FALSE)</f>
        <v>IKC Kameleon</v>
      </c>
      <c r="C21" s="105" t="str">
        <f>VLOOKUP(Ruimtestaat[[#This Row],[Code]],Locaties[[#All],[Code]:[Adres]],4,FALSE)</f>
        <v>Mondriaanstraat 15</v>
      </c>
      <c r="D21" s="105" t="str">
        <f>VLOOKUP(Ruimtestaat[[#This Row],[Code]],Locaties[[#All],[Code]:[Postcode]],5,FALSE)</f>
        <v>6921 MJ</v>
      </c>
      <c r="E21" s="105" t="str">
        <f>VLOOKUP(Ruimtestaat[[#This Row],[Code]],Locaties[#All],6,FALSE)</f>
        <v>Duiven</v>
      </c>
      <c r="F21" s="73"/>
      <c r="G21" s="73" t="s">
        <v>1645</v>
      </c>
      <c r="H21" s="272"/>
      <c r="I21" s="273" t="s">
        <v>1797</v>
      </c>
      <c r="J21" s="31">
        <v>5</v>
      </c>
      <c r="K21" s="113" t="str">
        <f>VLOOKUP(Ruimtestaat[[#This Row],[Ruimte code]],Ruimtegroepen[[#All],[Code]:[Ruimte omschrijving]],2,FALSE)</f>
        <v>Sanitair</v>
      </c>
      <c r="L21" s="73" t="s">
        <v>99</v>
      </c>
      <c r="M21" s="273" t="s">
        <v>36</v>
      </c>
      <c r="N21" s="106">
        <v>12</v>
      </c>
      <c r="O21" s="112"/>
      <c r="P21" s="112"/>
      <c r="Q21" s="107" t="str">
        <f>VLOOKUP(Ruimtestaat[[#This Row],[Ruimte code]],Ruimtegroepen[],4,FALSE)</f>
        <v>Sa</v>
      </c>
      <c r="R21" s="73">
        <v>40</v>
      </c>
      <c r="S21" s="73" t="s">
        <v>2</v>
      </c>
      <c r="T21" s="73">
        <f>IF(R21&gt;0,IF(RIGHT(Ruimtestaat[[#This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 s="73">
        <f>IF(T21&gt;0,VLOOKUP($J21,Ruimtegroepen[],3,FALSE)*VLOOKUP($L21,Vloersoorten[],3,FALSE)*VLOOKUP($S21,Frequenties[],3,FALSE)*VLOOKUP($A21,Locaties[],3,FALSE),0)</f>
        <v>0</v>
      </c>
      <c r="V21" s="73">
        <f>Ruimtestaat[[#This Row],[Uitvoeringen werkdagen]]*Ruimtestaat[[#This Row],[Oppervlak (netto)]]</f>
        <v>2400</v>
      </c>
      <c r="W21" s="108">
        <f>IF(U21&gt;0,Ruimtestaat[[#This Row],[Prest. (m2 /jaar) werkdagen]]/Ruimtestaat[[#This Row],[Norm (m2/uur) werkdagen]],0)</f>
        <v>0</v>
      </c>
      <c r="X21" s="109">
        <f>Ruimtestaat[[#This Row],[uren / jaar werkdagen]]*Tariefsopbouw!$E$35</f>
        <v>0</v>
      </c>
      <c r="Y21" s="73"/>
      <c r="Z21" s="73">
        <f>IF(Ruimtestaat[[#This Row],[Frequentie weekend]]&gt;0,VALUE(LEFT(Y21,1))*R21,0)</f>
        <v>0</v>
      </c>
      <c r="AA21" s="72">
        <f>IF($Z21&gt;0,VLOOKUP($J21,Ruimtegroepen[],3,FALSE)*VLOOKUP($L21,Vloersoorten[],3,FALSE)*VLOOKUP($Y21,Frequenties[],3,FALSE)*VLOOKUP(Ruimtestaat[[#This Row],[Code]],Locaties[],3,FALSE),0)</f>
        <v>0</v>
      </c>
      <c r="AB21" s="72">
        <f>Ruimtestaat[[#This Row],[Uitvoeringen weekend]]*Ruimtestaat[[#This Row],[Oppervlak (netto)]]</f>
        <v>0</v>
      </c>
      <c r="AC21" s="72">
        <f>IF(AA21&gt;0,Ruimtestaat[[#This Row],[Prest. (m2 /jaar) weekend]]/Ruimtestaat[[#This Row],[Norm (m2/uur) weekend]],0)</f>
        <v>0</v>
      </c>
      <c r="AD21" s="109">
        <f>Ruimtestaat[[#This Row],[uren / jaar weekend]]*Tariefsopbouw!$D$40</f>
        <v>0</v>
      </c>
      <c r="AE21" s="108">
        <f>Ruimtestaat[[#This Row],[Prest. (m2 /jaar) weekend]]+Ruimtestaat[[#This Row],[Prest. (m2 /jaar) werkdagen]]</f>
        <v>2400</v>
      </c>
      <c r="AF21" s="108">
        <f>Ruimtestaat[[#This Row],[uren / jaar weekend]]+Ruimtestaat[[#This Row],[uren / jaar werkdagen]]</f>
        <v>0</v>
      </c>
      <c r="AG21" s="103">
        <f>Ruimtestaat[[#This Row],[kosten / jaar weekend]]+Ruimtestaat[[#This Row],[kosten / jaar werkdagen]]</f>
        <v>0</v>
      </c>
      <c r="AH21" s="103"/>
      <c r="AI21" s="110" t="str">
        <f>IF(Ruimtestaat[[#This Row],[Frequentie werkdagen]]="","",_xlfn.CONCAT(Ruimtestaat[[#This Row],[Ruimte code]],"-",Ruimtestaat[[#This Row],[Frequentie werkdagen]]," ",Ruimtestaat[[#This Row],[Vloer code]]))</f>
        <v>5-5w T</v>
      </c>
      <c r="AJ21" s="114" t="str">
        <f>_xlfn.IFNA(VLOOKUP($AI21,Programma!$F$3:$G$1101,2,0),"")</f>
        <v>_</v>
      </c>
      <c r="AK21" s="114" t="str">
        <f>_xlfn.IFNA(VLOOKUP($AI21,Programma!$F$3:$H$1101,3,0),"")</f>
        <v>_</v>
      </c>
      <c r="AL21" s="114" t="str">
        <f>_xlfn.IFNA(VLOOKUP($AI21,Programma!$F$3:$I$1101,4,0),"")</f>
        <v>_</v>
      </c>
      <c r="AM21" s="114" t="str">
        <f>_xlfn.IFNA(VLOOKUP($AI21,Programma!$F$3:$J$1101,5,0),"")</f>
        <v>_</v>
      </c>
      <c r="AN21" s="114" t="str">
        <f>_xlfn.IFNA(VLOOKUP($AI21,Programma!$F$3:$K$1101,6,0),"")</f>
        <v>_</v>
      </c>
      <c r="AO21" s="114" t="str">
        <f>_xlfn.IFNA(VLOOKUP($AI21,Programma!$F$3:$L$1101,7,0),"")</f>
        <v>_</v>
      </c>
      <c r="AP21" s="114" t="str">
        <f>_xlfn.IFNA(VLOOKUP($AI21,Programma!$F$3:$M$1101,8,0),"")</f>
        <v>_</v>
      </c>
      <c r="AQ21" s="114" t="str">
        <f>_xlfn.IFNA(VLOOKUP($AI21,Programma!$F$3:$N$1101,9,0),"")</f>
        <v>_</v>
      </c>
      <c r="AR21" s="114" t="str">
        <f>_xlfn.IFNA(VLOOKUP($AI21,Programma!$F$3:$O$1101,10,0),"")</f>
        <v>_</v>
      </c>
      <c r="AS21" s="114" t="str">
        <f>_xlfn.IFNA(VLOOKUP($AI21,Programma!$F$3:$P$1101,11,0),"")</f>
        <v>_</v>
      </c>
      <c r="AT21" s="114" t="str">
        <f>_xlfn.IFNA(VLOOKUP($AI21,Programma!$F$3:$Q$1101,12,0),"")</f>
        <v>_</v>
      </c>
      <c r="AU21" s="114" t="str">
        <f>_xlfn.IFNA(VLOOKUP($AI21,Programma!$F$3:$R$1101,13,0),"")</f>
        <v>_</v>
      </c>
      <c r="AV21" s="114" t="str">
        <f>_xlfn.IFNA(VLOOKUP($AI21,Programma!$F$3:$S$1101,14,0),"")</f>
        <v>_</v>
      </c>
      <c r="AW21" s="114" t="str">
        <f>_xlfn.IFNA(VLOOKUP($AI21,Programma!$F$3:$T$1101,15,0),"")</f>
        <v>_</v>
      </c>
      <c r="AX21" s="114" t="str">
        <f>_xlfn.IFNA(VLOOKUP($AI21,Programma!$F$3:$U$1101,16,0),"")</f>
        <v>_</v>
      </c>
      <c r="AY21" s="114" t="str">
        <f>_xlfn.IFNA(VLOOKUP($AI21,Programma!$F$3:$V$1101,17,0),"")</f>
        <v>_</v>
      </c>
      <c r="AZ21" s="114" t="str">
        <f>_xlfn.IFNA(VLOOKUP($AI21,Programma!$F$3:$W$1101,18,0),"")</f>
        <v>_</v>
      </c>
      <c r="BA21" s="114" t="str">
        <f>_xlfn.IFNA(VLOOKUP($AI21,Programma!$F$3:$X$1101,19,0),"")</f>
        <v>_</v>
      </c>
      <c r="BB21" s="114" t="str">
        <f>_xlfn.IFNA(VLOOKUP($AI21,Programma!$F$3:$Y$1101,20,0),"")</f>
        <v>_</v>
      </c>
      <c r="BC21" s="111"/>
      <c r="BD21" s="110" t="str">
        <f>IF(Ruimtestaat[[#This Row],[Frequentie weekend]]="","",_xlfn.CONCAT(Ruimtestaat[[#This Row],[Ruimte code]],"-",Ruimtestaat[[#This Row],[Frequentie weekend]]," ",Ruimtestaat[[#This Row],[Vloer code]]))</f>
        <v/>
      </c>
      <c r="BE21" s="114" t="str">
        <f>_xlfn.IFNA(VLOOKUP($BD21,Programma!$F$3:$G$1101,2,0),"")</f>
        <v/>
      </c>
      <c r="BF21" s="114" t="str">
        <f>_xlfn.IFNA(VLOOKUP($BD21,Programma!$F$3:$H$1101,3,0),"")</f>
        <v/>
      </c>
      <c r="BG21" s="114" t="str">
        <f>_xlfn.IFNA(VLOOKUP($BD21,Programma!$F$3:$I$1101,4,0),"")</f>
        <v/>
      </c>
      <c r="BH21" s="114" t="str">
        <f>_xlfn.IFNA(VLOOKUP($BD21,Programma!$F$3:$J$1101,5,0),"")</f>
        <v/>
      </c>
      <c r="BI21" s="114" t="str">
        <f>_xlfn.IFNA(VLOOKUP($BD21,Programma!$F$3:$K$1101,6,0),"")</f>
        <v/>
      </c>
      <c r="BJ21" s="114" t="str">
        <f>_xlfn.IFNA(VLOOKUP($BD21,Programma!$F$3:$L$1101,7,0),"")</f>
        <v/>
      </c>
      <c r="BK21" s="114" t="str">
        <f>_xlfn.IFNA(VLOOKUP($BD21,Programma!$F$3:$M$1101,8,0),"")</f>
        <v/>
      </c>
      <c r="BL21" s="114" t="str">
        <f>_xlfn.IFNA(VLOOKUP($BD21,Programma!$F$3:$N$1101,9,0),"")</f>
        <v/>
      </c>
      <c r="BM21" s="114" t="str">
        <f>_xlfn.IFNA(VLOOKUP($BD21,Programma!$F$3:$O$1101,10,0),"")</f>
        <v/>
      </c>
      <c r="BN21" s="114" t="str">
        <f>_xlfn.IFNA(VLOOKUP($BD21,Programma!$F$3:$P$1101,11,0),"")</f>
        <v/>
      </c>
      <c r="BO21" s="114" t="str">
        <f>_xlfn.IFNA(VLOOKUP($BD21,Programma!$F$3:$Q$1101,12,0),"")</f>
        <v/>
      </c>
      <c r="BP21" s="114" t="str">
        <f>_xlfn.IFNA(VLOOKUP($BD21,Programma!$F$3:$R$1101,13,0),"")</f>
        <v/>
      </c>
      <c r="BQ21" s="114" t="str">
        <f>_xlfn.IFNA(VLOOKUP($BD21,Programma!$F$3:$S$1101,14,0),"")</f>
        <v/>
      </c>
      <c r="BR21" s="114" t="str">
        <f>_xlfn.IFNA(VLOOKUP($BD21,Programma!$F$3:$T$1101,15,0),"")</f>
        <v/>
      </c>
      <c r="BS21" s="114" t="str">
        <f>_xlfn.IFNA(VLOOKUP($BD21,Programma!$F$3:$U$1101,16,0),"")</f>
        <v/>
      </c>
      <c r="BT21" s="114" t="str">
        <f>_xlfn.IFNA(VLOOKUP($BD21,Programma!$F$3:$V$1101,17,0),"")</f>
        <v/>
      </c>
      <c r="BU21" s="114" t="str">
        <f>_xlfn.IFNA(VLOOKUP($BD21,Programma!$F$3:$W$1101,18,0),"")</f>
        <v/>
      </c>
      <c r="BV21" s="114" t="str">
        <f>_xlfn.IFNA(VLOOKUP($BD21,Programma!$F$3:$X$1101,19,0),"")</f>
        <v/>
      </c>
      <c r="BW21" s="114" t="str">
        <f>_xlfn.IFNA(VLOOKUP($BD21,Programma!$F$3:$Y$1101,20,0),"")</f>
        <v/>
      </c>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row>
    <row r="22" spans="1:220" ht="15" customHeight="1">
      <c r="A22" s="73">
        <v>1</v>
      </c>
      <c r="B22" s="105" t="str">
        <f>VLOOKUP(Ruimtestaat[[#This Row],[Code]],Locaties[[Code]:[Locatie]],2,FALSE)</f>
        <v>IKC Kameleon</v>
      </c>
      <c r="C22" s="105" t="str">
        <f>VLOOKUP(Ruimtestaat[[#This Row],[Code]],Locaties[[#All],[Code]:[Adres]],4,FALSE)</f>
        <v>Mondriaanstraat 15</v>
      </c>
      <c r="D22" s="105" t="str">
        <f>VLOOKUP(Ruimtestaat[[#This Row],[Code]],Locaties[[#All],[Code]:[Postcode]],5,FALSE)</f>
        <v>6921 MJ</v>
      </c>
      <c r="E22" s="105" t="str">
        <f>VLOOKUP(Ruimtestaat[[#This Row],[Code]],Locaties[#All],6,FALSE)</f>
        <v>Duiven</v>
      </c>
      <c r="F22" s="73"/>
      <c r="G22" s="73" t="s">
        <v>1645</v>
      </c>
      <c r="H22" s="272"/>
      <c r="I22" s="273" t="s">
        <v>1662</v>
      </c>
      <c r="J22" s="31">
        <v>16</v>
      </c>
      <c r="K22" s="113" t="str">
        <f>VLOOKUP(Ruimtestaat[[#This Row],[Ruimte code]],Ruimtegroepen[[#All],[Code]:[Ruimte omschrijving]],2,FALSE)</f>
        <v>Leslokalen</v>
      </c>
      <c r="L22" s="73" t="s">
        <v>99</v>
      </c>
      <c r="M22" s="273" t="s">
        <v>36</v>
      </c>
      <c r="N22" s="106">
        <v>56.25</v>
      </c>
      <c r="O22" s="112"/>
      <c r="P22" s="112"/>
      <c r="Q22" s="107" t="str">
        <f>VLOOKUP(Ruimtestaat[[#This Row],[Ruimte code]],Ruimtegroepen[],4,FALSE)</f>
        <v>Le</v>
      </c>
      <c r="R22" s="73">
        <v>40</v>
      </c>
      <c r="S22" s="73" t="s">
        <v>2</v>
      </c>
      <c r="T22" s="73">
        <f>IF(R22&gt;0,IF(RIGHT(Ruimtestaat[[#This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 s="73">
        <f>IF(T22&gt;0,VLOOKUP($J22,Ruimtegroepen[],3,FALSE)*VLOOKUP($L22,Vloersoorten[],3,FALSE)*VLOOKUP($S22,Frequenties[],3,FALSE)*VLOOKUP($A22,Locaties[],3,FALSE),0)</f>
        <v>0</v>
      </c>
      <c r="V22" s="73">
        <f>Ruimtestaat[[#This Row],[Uitvoeringen werkdagen]]*Ruimtestaat[[#This Row],[Oppervlak (netto)]]</f>
        <v>11250</v>
      </c>
      <c r="W22" s="108">
        <f>IF(U22&gt;0,Ruimtestaat[[#This Row],[Prest. (m2 /jaar) werkdagen]]/Ruimtestaat[[#This Row],[Norm (m2/uur) werkdagen]],0)</f>
        <v>0</v>
      </c>
      <c r="X22" s="109">
        <f>Ruimtestaat[[#This Row],[uren / jaar werkdagen]]*Tariefsopbouw!$E$35</f>
        <v>0</v>
      </c>
      <c r="Y22" s="73"/>
      <c r="Z22" s="73">
        <f>IF(Ruimtestaat[[#This Row],[Frequentie weekend]]&gt;0,VALUE(LEFT(Y22,1))*R22,0)</f>
        <v>0</v>
      </c>
      <c r="AA22" s="72">
        <f>IF($Z22&gt;0,VLOOKUP($J22,Ruimtegroepen[],3,FALSE)*VLOOKUP($L22,Vloersoorten[],3,FALSE)*VLOOKUP($Y22,Frequenties[],3,FALSE)*VLOOKUP(Ruimtestaat[[#This Row],[Code]],Locaties[],3,FALSE),0)</f>
        <v>0</v>
      </c>
      <c r="AB22" s="72">
        <f>Ruimtestaat[[#This Row],[Uitvoeringen weekend]]*Ruimtestaat[[#This Row],[Oppervlak (netto)]]</f>
        <v>0</v>
      </c>
      <c r="AC22" s="72">
        <f>IF(AA22&gt;0,Ruimtestaat[[#This Row],[Prest. (m2 /jaar) weekend]]/Ruimtestaat[[#This Row],[Norm (m2/uur) weekend]],0)</f>
        <v>0</v>
      </c>
      <c r="AD22" s="109">
        <f>Ruimtestaat[[#This Row],[uren / jaar weekend]]*Tariefsopbouw!$D$40</f>
        <v>0</v>
      </c>
      <c r="AE22" s="108">
        <f>Ruimtestaat[[#This Row],[Prest. (m2 /jaar) weekend]]+Ruimtestaat[[#This Row],[Prest. (m2 /jaar) werkdagen]]</f>
        <v>11250</v>
      </c>
      <c r="AF22" s="108">
        <f>Ruimtestaat[[#This Row],[uren / jaar weekend]]+Ruimtestaat[[#This Row],[uren / jaar werkdagen]]</f>
        <v>0</v>
      </c>
      <c r="AG22" s="103">
        <f>Ruimtestaat[[#This Row],[kosten / jaar weekend]]+Ruimtestaat[[#This Row],[kosten / jaar werkdagen]]</f>
        <v>0</v>
      </c>
      <c r="AH22" s="103"/>
      <c r="AI22" s="110" t="str">
        <f>IF(Ruimtestaat[[#This Row],[Frequentie werkdagen]]="","",_xlfn.CONCAT(Ruimtestaat[[#This Row],[Ruimte code]],"-",Ruimtestaat[[#This Row],[Frequentie werkdagen]]," ",Ruimtestaat[[#This Row],[Vloer code]]))</f>
        <v>16-5w T</v>
      </c>
      <c r="AJ22" s="114" t="str">
        <f>_xlfn.IFNA(VLOOKUP($AI22,Programma!$F$3:$G$1101,2,0),"")</f>
        <v>3w</v>
      </c>
      <c r="AK22" s="114" t="str">
        <f>_xlfn.IFNA(VLOOKUP($AI22,Programma!$F$3:$H$1101,3,0),"")</f>
        <v>2w</v>
      </c>
      <c r="AL22" s="114" t="str">
        <f>_xlfn.IFNA(VLOOKUP($AI22,Programma!$F$3:$I$1101,4,0),"")</f>
        <v>_</v>
      </c>
      <c r="AM22" s="114" t="str">
        <f>_xlfn.IFNA(VLOOKUP($AI22,Programma!$F$3:$J$1101,5,0),"")</f>
        <v>_</v>
      </c>
      <c r="AN22" s="114" t="str">
        <f>_xlfn.IFNA(VLOOKUP($AI22,Programma!$F$3:$K$1101,6,0),"")</f>
        <v>_</v>
      </c>
      <c r="AO22" s="114" t="str">
        <f>_xlfn.IFNA(VLOOKUP($AI22,Programma!$F$3:$L$1101,7,0),"")</f>
        <v>_</v>
      </c>
      <c r="AP22" s="114" t="str">
        <f>_xlfn.IFNA(VLOOKUP($AI22,Programma!$F$3:$M$1101,8,0),"")</f>
        <v>_</v>
      </c>
      <c r="AQ22" s="114" t="str">
        <f>_xlfn.IFNA(VLOOKUP($AI22,Programma!$F$3:$N$1101,9,0),"")</f>
        <v>_</v>
      </c>
      <c r="AR22" s="114" t="str">
        <f>_xlfn.IFNA(VLOOKUP($AI22,Programma!$F$3:$O$1101,10,0),"")</f>
        <v>5w</v>
      </c>
      <c r="AS22" s="114" t="str">
        <f>_xlfn.IFNA(VLOOKUP($AI22,Programma!$F$3:$P$1101,11,0),"")</f>
        <v>5w</v>
      </c>
      <c r="AT22" s="114" t="str">
        <f>_xlfn.IFNA(VLOOKUP($AI22,Programma!$F$3:$Q$1101,12,0),"")</f>
        <v>1w</v>
      </c>
      <c r="AU22" s="114" t="str">
        <f>_xlfn.IFNA(VLOOKUP($AI22,Programma!$F$3:$R$1101,13,0),"")</f>
        <v>1w</v>
      </c>
      <c r="AV22" s="114" t="str">
        <f>_xlfn.IFNA(VLOOKUP($AI22,Programma!$F$3:$S$1101,14,0),"")</f>
        <v>1m</v>
      </c>
      <c r="AW22" s="114" t="str">
        <f>_xlfn.IFNA(VLOOKUP($AI22,Programma!$F$3:$T$1101,15,0),"")</f>
        <v>2j</v>
      </c>
      <c r="AX22" s="114" t="str">
        <f>_xlfn.IFNA(VLOOKUP($AI22,Programma!$F$3:$U$1101,16,0),"")</f>
        <v>1j</v>
      </c>
      <c r="AY22" s="114" t="str">
        <f>_xlfn.IFNA(VLOOKUP($AI22,Programma!$F$3:$V$1101,17,0),"")</f>
        <v>_</v>
      </c>
      <c r="AZ22" s="114" t="str">
        <f>_xlfn.IFNA(VLOOKUP($AI22,Programma!$F$3:$W$1101,18,0),"")</f>
        <v>_</v>
      </c>
      <c r="BA22" s="114" t="str">
        <f>_xlfn.IFNA(VLOOKUP($AI22,Programma!$F$3:$X$1101,19,0),"")</f>
        <v>_</v>
      </c>
      <c r="BB22" s="114" t="str">
        <f>_xlfn.IFNA(VLOOKUP($AI22,Programma!$F$3:$Y$1101,20,0),"")</f>
        <v>_</v>
      </c>
      <c r="BC22" s="111"/>
      <c r="BD22" s="110" t="str">
        <f>IF(Ruimtestaat[[#This Row],[Frequentie weekend]]="","",_xlfn.CONCAT(Ruimtestaat[[#This Row],[Ruimte code]],"-",Ruimtestaat[[#This Row],[Frequentie weekend]]," ",Ruimtestaat[[#This Row],[Vloer code]]))</f>
        <v/>
      </c>
      <c r="BE22" s="114" t="str">
        <f>_xlfn.IFNA(VLOOKUP($BD22,Programma!$F$3:$G$1101,2,0),"")</f>
        <v/>
      </c>
      <c r="BF22" s="114" t="str">
        <f>_xlfn.IFNA(VLOOKUP($BD22,Programma!$F$3:$H$1101,3,0),"")</f>
        <v/>
      </c>
      <c r="BG22" s="114" t="str">
        <f>_xlfn.IFNA(VLOOKUP($BD22,Programma!$F$3:$I$1101,4,0),"")</f>
        <v/>
      </c>
      <c r="BH22" s="114" t="str">
        <f>_xlfn.IFNA(VLOOKUP($BD22,Programma!$F$3:$J$1101,5,0),"")</f>
        <v/>
      </c>
      <c r="BI22" s="114" t="str">
        <f>_xlfn.IFNA(VLOOKUP($BD22,Programma!$F$3:$K$1101,6,0),"")</f>
        <v/>
      </c>
      <c r="BJ22" s="114" t="str">
        <f>_xlfn.IFNA(VLOOKUP($BD22,Programma!$F$3:$L$1101,7,0),"")</f>
        <v/>
      </c>
      <c r="BK22" s="114" t="str">
        <f>_xlfn.IFNA(VLOOKUP($BD22,Programma!$F$3:$M$1101,8,0),"")</f>
        <v/>
      </c>
      <c r="BL22" s="114" t="str">
        <f>_xlfn.IFNA(VLOOKUP($BD22,Programma!$F$3:$N$1101,9,0),"")</f>
        <v/>
      </c>
      <c r="BM22" s="114" t="str">
        <f>_xlfn.IFNA(VLOOKUP($BD22,Programma!$F$3:$O$1101,10,0),"")</f>
        <v/>
      </c>
      <c r="BN22" s="114" t="str">
        <f>_xlfn.IFNA(VLOOKUP($BD22,Programma!$F$3:$P$1101,11,0),"")</f>
        <v/>
      </c>
      <c r="BO22" s="114" t="str">
        <f>_xlfn.IFNA(VLOOKUP($BD22,Programma!$F$3:$Q$1101,12,0),"")</f>
        <v/>
      </c>
      <c r="BP22" s="114" t="str">
        <f>_xlfn.IFNA(VLOOKUP($BD22,Programma!$F$3:$R$1101,13,0),"")</f>
        <v/>
      </c>
      <c r="BQ22" s="114" t="str">
        <f>_xlfn.IFNA(VLOOKUP($BD22,Programma!$F$3:$S$1101,14,0),"")</f>
        <v/>
      </c>
      <c r="BR22" s="114" t="str">
        <f>_xlfn.IFNA(VLOOKUP($BD22,Programma!$F$3:$T$1101,15,0),"")</f>
        <v/>
      </c>
      <c r="BS22" s="114" t="str">
        <f>_xlfn.IFNA(VLOOKUP($BD22,Programma!$F$3:$U$1101,16,0),"")</f>
        <v/>
      </c>
      <c r="BT22" s="114" t="str">
        <f>_xlfn.IFNA(VLOOKUP($BD22,Programma!$F$3:$V$1101,17,0),"")</f>
        <v/>
      </c>
      <c r="BU22" s="114" t="str">
        <f>_xlfn.IFNA(VLOOKUP($BD22,Programma!$F$3:$W$1101,18,0),"")</f>
        <v/>
      </c>
      <c r="BV22" s="114" t="str">
        <f>_xlfn.IFNA(VLOOKUP($BD22,Programma!$F$3:$X$1101,19,0),"")</f>
        <v/>
      </c>
      <c r="BW22" s="114" t="str">
        <f>_xlfn.IFNA(VLOOKUP($BD22,Programma!$F$3:$Y$1101,20,0),"")</f>
        <v/>
      </c>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row>
    <row r="23" spans="1:220" ht="15" customHeight="1">
      <c r="A23" s="73">
        <v>1</v>
      </c>
      <c r="B23" s="105" t="str">
        <f>VLOOKUP(Ruimtestaat[[#This Row],[Code]],Locaties[[Code]:[Locatie]],2,FALSE)</f>
        <v>IKC Kameleon</v>
      </c>
      <c r="C23" s="105" t="str">
        <f>VLOOKUP(Ruimtestaat[[#This Row],[Code]],Locaties[[#All],[Code]:[Adres]],4,FALSE)</f>
        <v>Mondriaanstraat 15</v>
      </c>
      <c r="D23" s="105" t="str">
        <f>VLOOKUP(Ruimtestaat[[#This Row],[Code]],Locaties[[#All],[Code]:[Postcode]],5,FALSE)</f>
        <v>6921 MJ</v>
      </c>
      <c r="E23" s="105" t="str">
        <f>VLOOKUP(Ruimtestaat[[#This Row],[Code]],Locaties[#All],6,FALSE)</f>
        <v>Duiven</v>
      </c>
      <c r="F23" s="73"/>
      <c r="G23" s="73" t="s">
        <v>1645</v>
      </c>
      <c r="H23" s="272"/>
      <c r="I23" s="273" t="s">
        <v>1663</v>
      </c>
      <c r="J23" s="31">
        <v>16</v>
      </c>
      <c r="K23" s="113" t="str">
        <f>VLOOKUP(Ruimtestaat[[#This Row],[Ruimte code]],Ruimtegroepen[[#All],[Code]:[Ruimte omschrijving]],2,FALSE)</f>
        <v>Leslokalen</v>
      </c>
      <c r="L23" s="73" t="s">
        <v>99</v>
      </c>
      <c r="M23" s="273" t="s">
        <v>36</v>
      </c>
      <c r="N23" s="106">
        <v>71.25</v>
      </c>
      <c r="O23" s="73"/>
      <c r="P23" s="73"/>
      <c r="Q23" s="107" t="str">
        <f>VLOOKUP(Ruimtestaat[[#This Row],[Ruimte code]],Ruimtegroepen[],4,FALSE)</f>
        <v>Le</v>
      </c>
      <c r="R23" s="73">
        <v>40</v>
      </c>
      <c r="S23" s="73" t="s">
        <v>2</v>
      </c>
      <c r="T23" s="73">
        <f>IF(R23&gt;0,IF(RIGHT(Ruimtestaat[[#This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 s="73">
        <f>IF(T23&gt;0,VLOOKUP($J23,Ruimtegroepen[],3,FALSE)*VLOOKUP($L23,Vloersoorten[],3,FALSE)*VLOOKUP($S23,Frequenties[],3,FALSE)*VLOOKUP($A23,Locaties[],3,FALSE),0)</f>
        <v>0</v>
      </c>
      <c r="V23" s="73">
        <f>Ruimtestaat[[#This Row],[Uitvoeringen werkdagen]]*Ruimtestaat[[#This Row],[Oppervlak (netto)]]</f>
        <v>14250</v>
      </c>
      <c r="W23" s="108">
        <f>IF(U23&gt;0,Ruimtestaat[[#This Row],[Prest. (m2 /jaar) werkdagen]]/Ruimtestaat[[#This Row],[Norm (m2/uur) werkdagen]],0)</f>
        <v>0</v>
      </c>
      <c r="X23" s="109">
        <f>Ruimtestaat[[#This Row],[uren / jaar werkdagen]]*Tariefsopbouw!$E$35</f>
        <v>0</v>
      </c>
      <c r="Y23" s="73"/>
      <c r="Z23" s="73">
        <f>IF(Ruimtestaat[[#This Row],[Frequentie weekend]]&gt;0,VALUE(LEFT(Y23,1))*R23,0)</f>
        <v>0</v>
      </c>
      <c r="AA23" s="72">
        <f>IF($Z23&gt;0,VLOOKUP($J23,Ruimtegroepen[],3,FALSE)*VLOOKUP($L23,Vloersoorten[],3,FALSE)*VLOOKUP($Y23,Frequenties[],3,FALSE)*VLOOKUP(Ruimtestaat[[#This Row],[Code]],Locaties[],3,FALSE),0)</f>
        <v>0</v>
      </c>
      <c r="AB23" s="72">
        <f>Ruimtestaat[[#This Row],[Uitvoeringen weekend]]*Ruimtestaat[[#This Row],[Oppervlak (netto)]]</f>
        <v>0</v>
      </c>
      <c r="AC23" s="72">
        <f>IF(AA23&gt;0,Ruimtestaat[[#This Row],[Prest. (m2 /jaar) weekend]]/Ruimtestaat[[#This Row],[Norm (m2/uur) weekend]],0)</f>
        <v>0</v>
      </c>
      <c r="AD23" s="109">
        <f>Ruimtestaat[[#This Row],[uren / jaar weekend]]*Tariefsopbouw!$D$40</f>
        <v>0</v>
      </c>
      <c r="AE23" s="108">
        <f>Ruimtestaat[[#This Row],[Prest. (m2 /jaar) weekend]]+Ruimtestaat[[#This Row],[Prest. (m2 /jaar) werkdagen]]</f>
        <v>14250</v>
      </c>
      <c r="AF23" s="108">
        <f>Ruimtestaat[[#This Row],[uren / jaar weekend]]+Ruimtestaat[[#This Row],[uren / jaar werkdagen]]</f>
        <v>0</v>
      </c>
      <c r="AG23" s="103">
        <f>Ruimtestaat[[#This Row],[kosten / jaar weekend]]+Ruimtestaat[[#This Row],[kosten / jaar werkdagen]]</f>
        <v>0</v>
      </c>
      <c r="AH23" s="103"/>
      <c r="AI23" s="110" t="str">
        <f>IF(Ruimtestaat[[#This Row],[Frequentie werkdagen]]="","",_xlfn.CONCAT(Ruimtestaat[[#This Row],[Ruimte code]],"-",Ruimtestaat[[#This Row],[Frequentie werkdagen]]," ",Ruimtestaat[[#This Row],[Vloer code]]))</f>
        <v>16-5w T</v>
      </c>
      <c r="AJ23" s="114" t="str">
        <f>_xlfn.IFNA(VLOOKUP($AI23,Programma!$F$3:$G$1101,2,0),"")</f>
        <v>3w</v>
      </c>
      <c r="AK23" s="114" t="str">
        <f>_xlfn.IFNA(VLOOKUP($AI23,Programma!$F$3:$H$1101,3,0),"")</f>
        <v>2w</v>
      </c>
      <c r="AL23" s="114" t="str">
        <f>_xlfn.IFNA(VLOOKUP($AI23,Programma!$F$3:$I$1101,4,0),"")</f>
        <v>_</v>
      </c>
      <c r="AM23" s="114" t="str">
        <f>_xlfn.IFNA(VLOOKUP($AI23,Programma!$F$3:$J$1101,5,0),"")</f>
        <v>_</v>
      </c>
      <c r="AN23" s="114" t="str">
        <f>_xlfn.IFNA(VLOOKUP($AI23,Programma!$F$3:$K$1101,6,0),"")</f>
        <v>_</v>
      </c>
      <c r="AO23" s="114" t="str">
        <f>_xlfn.IFNA(VLOOKUP($AI23,Programma!$F$3:$L$1101,7,0),"")</f>
        <v>_</v>
      </c>
      <c r="AP23" s="114" t="str">
        <f>_xlfn.IFNA(VLOOKUP($AI23,Programma!$F$3:$M$1101,8,0),"")</f>
        <v>_</v>
      </c>
      <c r="AQ23" s="114" t="str">
        <f>_xlfn.IFNA(VLOOKUP($AI23,Programma!$F$3:$N$1101,9,0),"")</f>
        <v>_</v>
      </c>
      <c r="AR23" s="114" t="str">
        <f>_xlfn.IFNA(VLOOKUP($AI23,Programma!$F$3:$O$1101,10,0),"")</f>
        <v>5w</v>
      </c>
      <c r="AS23" s="114" t="str">
        <f>_xlfn.IFNA(VLOOKUP($AI23,Programma!$F$3:$P$1101,11,0),"")</f>
        <v>5w</v>
      </c>
      <c r="AT23" s="114" t="str">
        <f>_xlfn.IFNA(VLOOKUP($AI23,Programma!$F$3:$Q$1101,12,0),"")</f>
        <v>1w</v>
      </c>
      <c r="AU23" s="114" t="str">
        <f>_xlfn.IFNA(VLOOKUP($AI23,Programma!$F$3:$R$1101,13,0),"")</f>
        <v>1w</v>
      </c>
      <c r="AV23" s="114" t="str">
        <f>_xlfn.IFNA(VLOOKUP($AI23,Programma!$F$3:$S$1101,14,0),"")</f>
        <v>1m</v>
      </c>
      <c r="AW23" s="114" t="str">
        <f>_xlfn.IFNA(VLOOKUP($AI23,Programma!$F$3:$T$1101,15,0),"")</f>
        <v>2j</v>
      </c>
      <c r="AX23" s="114" t="str">
        <f>_xlfn.IFNA(VLOOKUP($AI23,Programma!$F$3:$U$1101,16,0),"")</f>
        <v>1j</v>
      </c>
      <c r="AY23" s="114" t="str">
        <f>_xlfn.IFNA(VLOOKUP($AI23,Programma!$F$3:$V$1101,17,0),"")</f>
        <v>_</v>
      </c>
      <c r="AZ23" s="114" t="str">
        <f>_xlfn.IFNA(VLOOKUP($AI23,Programma!$F$3:$W$1101,18,0),"")</f>
        <v>_</v>
      </c>
      <c r="BA23" s="114" t="str">
        <f>_xlfn.IFNA(VLOOKUP($AI23,Programma!$F$3:$X$1101,19,0),"")</f>
        <v>_</v>
      </c>
      <c r="BB23" s="114" t="str">
        <f>_xlfn.IFNA(VLOOKUP($AI23,Programma!$F$3:$Y$1101,20,0),"")</f>
        <v>_</v>
      </c>
      <c r="BC23" s="111"/>
      <c r="BD23" s="110" t="str">
        <f>IF(Ruimtestaat[[#This Row],[Frequentie weekend]]="","",_xlfn.CONCAT(Ruimtestaat[[#This Row],[Ruimte code]],"-",Ruimtestaat[[#This Row],[Frequentie weekend]]," ",Ruimtestaat[[#This Row],[Vloer code]]))</f>
        <v/>
      </c>
      <c r="BE23" s="114" t="str">
        <f>_xlfn.IFNA(VLOOKUP($BD23,Programma!$F$3:$G$1101,2,0),"")</f>
        <v/>
      </c>
      <c r="BF23" s="114" t="str">
        <f>_xlfn.IFNA(VLOOKUP($BD23,Programma!$F$3:$H$1101,3,0),"")</f>
        <v/>
      </c>
      <c r="BG23" s="114" t="str">
        <f>_xlfn.IFNA(VLOOKUP($BD23,Programma!$F$3:$I$1101,4,0),"")</f>
        <v/>
      </c>
      <c r="BH23" s="114" t="str">
        <f>_xlfn.IFNA(VLOOKUP($BD23,Programma!$F$3:$J$1101,5,0),"")</f>
        <v/>
      </c>
      <c r="BI23" s="114" t="str">
        <f>_xlfn.IFNA(VLOOKUP($BD23,Programma!$F$3:$K$1101,6,0),"")</f>
        <v/>
      </c>
      <c r="BJ23" s="114" t="str">
        <f>_xlfn.IFNA(VLOOKUP($BD23,Programma!$F$3:$L$1101,7,0),"")</f>
        <v/>
      </c>
      <c r="BK23" s="114" t="str">
        <f>_xlfn.IFNA(VLOOKUP($BD23,Programma!$F$3:$M$1101,8,0),"")</f>
        <v/>
      </c>
      <c r="BL23" s="114" t="str">
        <f>_xlfn.IFNA(VLOOKUP($BD23,Programma!$F$3:$N$1101,9,0),"")</f>
        <v/>
      </c>
      <c r="BM23" s="114" t="str">
        <f>_xlfn.IFNA(VLOOKUP($BD23,Programma!$F$3:$O$1101,10,0),"")</f>
        <v/>
      </c>
      <c r="BN23" s="114" t="str">
        <f>_xlfn.IFNA(VLOOKUP($BD23,Programma!$F$3:$P$1101,11,0),"")</f>
        <v/>
      </c>
      <c r="BO23" s="114" t="str">
        <f>_xlfn.IFNA(VLOOKUP($BD23,Programma!$F$3:$Q$1101,12,0),"")</f>
        <v/>
      </c>
      <c r="BP23" s="114" t="str">
        <f>_xlfn.IFNA(VLOOKUP($BD23,Programma!$F$3:$R$1101,13,0),"")</f>
        <v/>
      </c>
      <c r="BQ23" s="114" t="str">
        <f>_xlfn.IFNA(VLOOKUP($BD23,Programma!$F$3:$S$1101,14,0),"")</f>
        <v/>
      </c>
      <c r="BR23" s="114" t="str">
        <f>_xlfn.IFNA(VLOOKUP($BD23,Programma!$F$3:$T$1101,15,0),"")</f>
        <v/>
      </c>
      <c r="BS23" s="114" t="str">
        <f>_xlfn.IFNA(VLOOKUP($BD23,Programma!$F$3:$U$1101,16,0),"")</f>
        <v/>
      </c>
      <c r="BT23" s="114" t="str">
        <f>_xlfn.IFNA(VLOOKUP($BD23,Programma!$F$3:$V$1101,17,0),"")</f>
        <v/>
      </c>
      <c r="BU23" s="114" t="str">
        <f>_xlfn.IFNA(VLOOKUP($BD23,Programma!$F$3:$W$1101,18,0),"")</f>
        <v/>
      </c>
      <c r="BV23" s="114" t="str">
        <f>_xlfn.IFNA(VLOOKUP($BD23,Programma!$F$3:$X$1101,19,0),"")</f>
        <v/>
      </c>
      <c r="BW23" s="114" t="str">
        <f>_xlfn.IFNA(VLOOKUP($BD23,Programma!$F$3:$Y$1101,20,0),"")</f>
        <v/>
      </c>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row>
    <row r="24" spans="1:220" ht="15" customHeight="1">
      <c r="A24" s="73">
        <v>1</v>
      </c>
      <c r="B24" s="105" t="str">
        <f>VLOOKUP(Ruimtestaat[[#This Row],[Code]],Locaties[[Code]:[Locatie]],2,FALSE)</f>
        <v>IKC Kameleon</v>
      </c>
      <c r="C24" s="105" t="str">
        <f>VLOOKUP(Ruimtestaat[[#This Row],[Code]],Locaties[[#All],[Code]:[Adres]],4,FALSE)</f>
        <v>Mondriaanstraat 15</v>
      </c>
      <c r="D24" s="105" t="str">
        <f>VLOOKUP(Ruimtestaat[[#This Row],[Code]],Locaties[[#All],[Code]:[Postcode]],5,FALSE)</f>
        <v>6921 MJ</v>
      </c>
      <c r="E24" s="105" t="str">
        <f>VLOOKUP(Ruimtestaat[[#This Row],[Code]],Locaties[#All],6,FALSE)</f>
        <v>Duiven</v>
      </c>
      <c r="F24" s="73"/>
      <c r="G24" s="73" t="s">
        <v>1645</v>
      </c>
      <c r="H24" s="272"/>
      <c r="I24" s="273" t="s">
        <v>1746</v>
      </c>
      <c r="J24" s="31">
        <v>16</v>
      </c>
      <c r="K24" s="113" t="str">
        <f>VLOOKUP(Ruimtestaat[[#This Row],[Ruimte code]],Ruimtegroepen[[#All],[Code]:[Ruimte omschrijving]],2,FALSE)</f>
        <v>Leslokalen</v>
      </c>
      <c r="L24" s="73" t="s">
        <v>99</v>
      </c>
      <c r="M24" s="273" t="s">
        <v>36</v>
      </c>
      <c r="N24" s="106">
        <v>56.25</v>
      </c>
      <c r="O24" s="112"/>
      <c r="P24" s="112"/>
      <c r="Q24" s="107" t="str">
        <f>VLOOKUP(Ruimtestaat[[#This Row],[Ruimte code]],Ruimtegroepen[],4,FALSE)</f>
        <v>Le</v>
      </c>
      <c r="R24" s="73">
        <v>40</v>
      </c>
      <c r="S24" s="73" t="s">
        <v>2</v>
      </c>
      <c r="T24" s="73">
        <f>IF(R24&gt;0,IF(RIGHT(Ruimtestaat[[#This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 s="73">
        <f>IF(T24&gt;0,VLOOKUP($J24,Ruimtegroepen[],3,FALSE)*VLOOKUP($L24,Vloersoorten[],3,FALSE)*VLOOKUP($S24,Frequenties[],3,FALSE)*VLOOKUP($A24,Locaties[],3,FALSE),0)</f>
        <v>0</v>
      </c>
      <c r="V24" s="73">
        <f>Ruimtestaat[[#This Row],[Uitvoeringen werkdagen]]*Ruimtestaat[[#This Row],[Oppervlak (netto)]]</f>
        <v>11250</v>
      </c>
      <c r="W24" s="108">
        <f>IF(U24&gt;0,Ruimtestaat[[#This Row],[Prest. (m2 /jaar) werkdagen]]/Ruimtestaat[[#This Row],[Norm (m2/uur) werkdagen]],0)</f>
        <v>0</v>
      </c>
      <c r="X24" s="109">
        <f>Ruimtestaat[[#This Row],[uren / jaar werkdagen]]*Tariefsopbouw!$E$35</f>
        <v>0</v>
      </c>
      <c r="Y24" s="73"/>
      <c r="Z24" s="73">
        <f>IF(Ruimtestaat[[#This Row],[Frequentie weekend]]&gt;0,VALUE(LEFT(Y24,1))*R24,0)</f>
        <v>0</v>
      </c>
      <c r="AA24" s="72">
        <f>IF($Z24&gt;0,VLOOKUP($J24,Ruimtegroepen[],3,FALSE)*VLOOKUP($L24,Vloersoorten[],3,FALSE)*VLOOKUP($Y24,Frequenties[],3,FALSE)*VLOOKUP(Ruimtestaat[[#This Row],[Code]],Locaties[],3,FALSE),0)</f>
        <v>0</v>
      </c>
      <c r="AB24" s="72">
        <f>Ruimtestaat[[#This Row],[Uitvoeringen weekend]]*Ruimtestaat[[#This Row],[Oppervlak (netto)]]</f>
        <v>0</v>
      </c>
      <c r="AC24" s="72">
        <f>IF(AA24&gt;0,Ruimtestaat[[#This Row],[Prest. (m2 /jaar) weekend]]/Ruimtestaat[[#This Row],[Norm (m2/uur) weekend]],0)</f>
        <v>0</v>
      </c>
      <c r="AD24" s="109">
        <f>Ruimtestaat[[#This Row],[uren / jaar weekend]]*Tariefsopbouw!$D$40</f>
        <v>0</v>
      </c>
      <c r="AE24" s="108">
        <f>Ruimtestaat[[#This Row],[Prest. (m2 /jaar) weekend]]+Ruimtestaat[[#This Row],[Prest. (m2 /jaar) werkdagen]]</f>
        <v>11250</v>
      </c>
      <c r="AF24" s="108">
        <f>Ruimtestaat[[#This Row],[uren / jaar weekend]]+Ruimtestaat[[#This Row],[uren / jaar werkdagen]]</f>
        <v>0</v>
      </c>
      <c r="AG24" s="103">
        <f>Ruimtestaat[[#This Row],[kosten / jaar weekend]]+Ruimtestaat[[#This Row],[kosten / jaar werkdagen]]</f>
        <v>0</v>
      </c>
      <c r="AH24" s="103"/>
      <c r="AI24" s="110" t="str">
        <f>IF(Ruimtestaat[[#This Row],[Frequentie werkdagen]]="","",_xlfn.CONCAT(Ruimtestaat[[#This Row],[Ruimte code]],"-",Ruimtestaat[[#This Row],[Frequentie werkdagen]]," ",Ruimtestaat[[#This Row],[Vloer code]]))</f>
        <v>16-5w T</v>
      </c>
      <c r="AJ24" s="114" t="str">
        <f>_xlfn.IFNA(VLOOKUP($AI24,Programma!$F$3:$G$1101,2,0),"")</f>
        <v>3w</v>
      </c>
      <c r="AK24" s="114" t="str">
        <f>_xlfn.IFNA(VLOOKUP($AI24,Programma!$F$3:$H$1101,3,0),"")</f>
        <v>2w</v>
      </c>
      <c r="AL24" s="114" t="str">
        <f>_xlfn.IFNA(VLOOKUP($AI24,Programma!$F$3:$I$1101,4,0),"")</f>
        <v>_</v>
      </c>
      <c r="AM24" s="114" t="str">
        <f>_xlfn.IFNA(VLOOKUP($AI24,Programma!$F$3:$J$1101,5,0),"")</f>
        <v>_</v>
      </c>
      <c r="AN24" s="114" t="str">
        <f>_xlfn.IFNA(VLOOKUP($AI24,Programma!$F$3:$K$1101,6,0),"")</f>
        <v>_</v>
      </c>
      <c r="AO24" s="114" t="str">
        <f>_xlfn.IFNA(VLOOKUP($AI24,Programma!$F$3:$L$1101,7,0),"")</f>
        <v>_</v>
      </c>
      <c r="AP24" s="114" t="str">
        <f>_xlfn.IFNA(VLOOKUP($AI24,Programma!$F$3:$M$1101,8,0),"")</f>
        <v>_</v>
      </c>
      <c r="AQ24" s="114" t="str">
        <f>_xlfn.IFNA(VLOOKUP($AI24,Programma!$F$3:$N$1101,9,0),"")</f>
        <v>_</v>
      </c>
      <c r="AR24" s="114" t="str">
        <f>_xlfn.IFNA(VLOOKUP($AI24,Programma!$F$3:$O$1101,10,0),"")</f>
        <v>5w</v>
      </c>
      <c r="AS24" s="114" t="str">
        <f>_xlfn.IFNA(VLOOKUP($AI24,Programma!$F$3:$P$1101,11,0),"")</f>
        <v>5w</v>
      </c>
      <c r="AT24" s="114" t="str">
        <f>_xlfn.IFNA(VLOOKUP($AI24,Programma!$F$3:$Q$1101,12,0),"")</f>
        <v>1w</v>
      </c>
      <c r="AU24" s="114" t="str">
        <f>_xlfn.IFNA(VLOOKUP($AI24,Programma!$F$3:$R$1101,13,0),"")</f>
        <v>1w</v>
      </c>
      <c r="AV24" s="114" t="str">
        <f>_xlfn.IFNA(VLOOKUP($AI24,Programma!$F$3:$S$1101,14,0),"")</f>
        <v>1m</v>
      </c>
      <c r="AW24" s="114" t="str">
        <f>_xlfn.IFNA(VLOOKUP($AI24,Programma!$F$3:$T$1101,15,0),"")</f>
        <v>2j</v>
      </c>
      <c r="AX24" s="114" t="str">
        <f>_xlfn.IFNA(VLOOKUP($AI24,Programma!$F$3:$U$1101,16,0),"")</f>
        <v>1j</v>
      </c>
      <c r="AY24" s="114" t="str">
        <f>_xlfn.IFNA(VLOOKUP($AI24,Programma!$F$3:$V$1101,17,0),"")</f>
        <v>_</v>
      </c>
      <c r="AZ24" s="114" t="str">
        <f>_xlfn.IFNA(VLOOKUP($AI24,Programma!$F$3:$W$1101,18,0),"")</f>
        <v>_</v>
      </c>
      <c r="BA24" s="114" t="str">
        <f>_xlfn.IFNA(VLOOKUP($AI24,Programma!$F$3:$X$1101,19,0),"")</f>
        <v>_</v>
      </c>
      <c r="BB24" s="114" t="str">
        <f>_xlfn.IFNA(VLOOKUP($AI24,Programma!$F$3:$Y$1101,20,0),"")</f>
        <v>_</v>
      </c>
      <c r="BC24" s="111"/>
      <c r="BD24" s="110" t="str">
        <f>IF(Ruimtestaat[[#This Row],[Frequentie weekend]]="","",_xlfn.CONCAT(Ruimtestaat[[#This Row],[Ruimte code]],"-",Ruimtestaat[[#This Row],[Frequentie weekend]]," ",Ruimtestaat[[#This Row],[Vloer code]]))</f>
        <v/>
      </c>
      <c r="BE24" s="114" t="str">
        <f>_xlfn.IFNA(VLOOKUP($BD24,Programma!$F$3:$G$1101,2,0),"")</f>
        <v/>
      </c>
      <c r="BF24" s="114" t="str">
        <f>_xlfn.IFNA(VLOOKUP($BD24,Programma!$F$3:$H$1101,3,0),"")</f>
        <v/>
      </c>
      <c r="BG24" s="114" t="str">
        <f>_xlfn.IFNA(VLOOKUP($BD24,Programma!$F$3:$I$1101,4,0),"")</f>
        <v/>
      </c>
      <c r="BH24" s="114" t="str">
        <f>_xlfn.IFNA(VLOOKUP($BD24,Programma!$F$3:$J$1101,5,0),"")</f>
        <v/>
      </c>
      <c r="BI24" s="114" t="str">
        <f>_xlfn.IFNA(VLOOKUP($BD24,Programma!$F$3:$K$1101,6,0),"")</f>
        <v/>
      </c>
      <c r="BJ24" s="114" t="str">
        <f>_xlfn.IFNA(VLOOKUP($BD24,Programma!$F$3:$L$1101,7,0),"")</f>
        <v/>
      </c>
      <c r="BK24" s="114" t="str">
        <f>_xlfn.IFNA(VLOOKUP($BD24,Programma!$F$3:$M$1101,8,0),"")</f>
        <v/>
      </c>
      <c r="BL24" s="114" t="str">
        <f>_xlfn.IFNA(VLOOKUP($BD24,Programma!$F$3:$N$1101,9,0),"")</f>
        <v/>
      </c>
      <c r="BM24" s="114" t="str">
        <f>_xlfn.IFNA(VLOOKUP($BD24,Programma!$F$3:$O$1101,10,0),"")</f>
        <v/>
      </c>
      <c r="BN24" s="114" t="str">
        <f>_xlfn.IFNA(VLOOKUP($BD24,Programma!$F$3:$P$1101,11,0),"")</f>
        <v/>
      </c>
      <c r="BO24" s="114" t="str">
        <f>_xlfn.IFNA(VLOOKUP($BD24,Programma!$F$3:$Q$1101,12,0),"")</f>
        <v/>
      </c>
      <c r="BP24" s="114" t="str">
        <f>_xlfn.IFNA(VLOOKUP($BD24,Programma!$F$3:$R$1101,13,0),"")</f>
        <v/>
      </c>
      <c r="BQ24" s="114" t="str">
        <f>_xlfn.IFNA(VLOOKUP($BD24,Programma!$F$3:$S$1101,14,0),"")</f>
        <v/>
      </c>
      <c r="BR24" s="114" t="str">
        <f>_xlfn.IFNA(VLOOKUP($BD24,Programma!$F$3:$T$1101,15,0),"")</f>
        <v/>
      </c>
      <c r="BS24" s="114" t="str">
        <f>_xlfn.IFNA(VLOOKUP($BD24,Programma!$F$3:$U$1101,16,0),"")</f>
        <v/>
      </c>
      <c r="BT24" s="114" t="str">
        <f>_xlfn.IFNA(VLOOKUP($BD24,Programma!$F$3:$V$1101,17,0),"")</f>
        <v/>
      </c>
      <c r="BU24" s="114" t="str">
        <f>_xlfn.IFNA(VLOOKUP($BD24,Programma!$F$3:$W$1101,18,0),"")</f>
        <v/>
      </c>
      <c r="BV24" s="114" t="str">
        <f>_xlfn.IFNA(VLOOKUP($BD24,Programma!$F$3:$X$1101,19,0),"")</f>
        <v/>
      </c>
      <c r="BW24" s="114" t="str">
        <f>_xlfn.IFNA(VLOOKUP($BD24,Programma!$F$3:$Y$1101,20,0),"")</f>
        <v/>
      </c>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row>
    <row r="25" spans="1:220" ht="15" customHeight="1">
      <c r="A25" s="73">
        <v>1</v>
      </c>
      <c r="B25" s="105" t="str">
        <f>VLOOKUP(Ruimtestaat[[#This Row],[Code]],Locaties[[Code]:[Locatie]],2,FALSE)</f>
        <v>IKC Kameleon</v>
      </c>
      <c r="C25" s="105" t="str">
        <f>VLOOKUP(Ruimtestaat[[#This Row],[Code]],Locaties[[#All],[Code]:[Adres]],4,FALSE)</f>
        <v>Mondriaanstraat 15</v>
      </c>
      <c r="D25" s="105" t="str">
        <f>VLOOKUP(Ruimtestaat[[#This Row],[Code]],Locaties[[#All],[Code]:[Postcode]],5,FALSE)</f>
        <v>6921 MJ</v>
      </c>
      <c r="E25" s="105" t="str">
        <f>VLOOKUP(Ruimtestaat[[#This Row],[Code]],Locaties[#All],6,FALSE)</f>
        <v>Duiven</v>
      </c>
      <c r="F25" s="73"/>
      <c r="G25" s="73" t="s">
        <v>1645</v>
      </c>
      <c r="H25" s="272"/>
      <c r="I25" s="273" t="s">
        <v>1664</v>
      </c>
      <c r="J25" s="31">
        <v>7</v>
      </c>
      <c r="K25" s="113" t="str">
        <f>VLOOKUP(Ruimtestaat[[#This Row],[Ruimte code]],Ruimtegroepen[[#All],[Code]:[Ruimte omschrijving]],2,FALSE)</f>
        <v>Entree</v>
      </c>
      <c r="L25" s="73" t="s">
        <v>99</v>
      </c>
      <c r="M25" s="273" t="s">
        <v>1978</v>
      </c>
      <c r="N25" s="106">
        <v>6.4</v>
      </c>
      <c r="O25" s="112"/>
      <c r="P25" s="112"/>
      <c r="Q25" s="107" t="str">
        <f>VLOOKUP(Ruimtestaat[[#This Row],[Ruimte code]],Ruimtegroepen[],4,FALSE)</f>
        <v>Ve</v>
      </c>
      <c r="R25" s="73">
        <v>40</v>
      </c>
      <c r="S25" s="73" t="s">
        <v>2</v>
      </c>
      <c r="T25" s="73">
        <f>IF(R25&gt;0,IF(RIGHT(Ruimtestaat[[#This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 s="73">
        <f>IF(T25&gt;0,VLOOKUP($J25,Ruimtegroepen[],3,FALSE)*VLOOKUP($L25,Vloersoorten[],3,FALSE)*VLOOKUP($S25,Frequenties[],3,FALSE)*VLOOKUP($A25,Locaties[],3,FALSE),0)</f>
        <v>0</v>
      </c>
      <c r="V25" s="73">
        <f>Ruimtestaat[[#This Row],[Uitvoeringen werkdagen]]*Ruimtestaat[[#This Row],[Oppervlak (netto)]]</f>
        <v>1280</v>
      </c>
      <c r="W25" s="108">
        <f>IF(U25&gt;0,Ruimtestaat[[#This Row],[Prest. (m2 /jaar) werkdagen]]/Ruimtestaat[[#This Row],[Norm (m2/uur) werkdagen]],0)</f>
        <v>0</v>
      </c>
      <c r="X25" s="109">
        <f>Ruimtestaat[[#This Row],[uren / jaar werkdagen]]*Tariefsopbouw!$E$35</f>
        <v>0</v>
      </c>
      <c r="Y25" s="73"/>
      <c r="Z25" s="73">
        <f>IF(Ruimtestaat[[#This Row],[Frequentie weekend]]&gt;0,VALUE(LEFT(Y25,1))*R25,0)</f>
        <v>0</v>
      </c>
      <c r="AA25" s="72">
        <f>IF($Z25&gt;0,VLOOKUP($J25,Ruimtegroepen[],3,FALSE)*VLOOKUP($L25,Vloersoorten[],3,FALSE)*VLOOKUP($Y25,Frequenties[],3,FALSE)*VLOOKUP(Ruimtestaat[[#This Row],[Code]],Locaties[],3,FALSE),0)</f>
        <v>0</v>
      </c>
      <c r="AB25" s="72">
        <f>Ruimtestaat[[#This Row],[Uitvoeringen weekend]]*Ruimtestaat[[#This Row],[Oppervlak (netto)]]</f>
        <v>0</v>
      </c>
      <c r="AC25" s="72">
        <f>IF(AA25&gt;0,Ruimtestaat[[#This Row],[Prest. (m2 /jaar) weekend]]/Ruimtestaat[[#This Row],[Norm (m2/uur) weekend]],0)</f>
        <v>0</v>
      </c>
      <c r="AD25" s="109">
        <f>Ruimtestaat[[#This Row],[uren / jaar weekend]]*Tariefsopbouw!$D$40</f>
        <v>0</v>
      </c>
      <c r="AE25" s="108">
        <f>Ruimtestaat[[#This Row],[Prest. (m2 /jaar) weekend]]+Ruimtestaat[[#This Row],[Prest. (m2 /jaar) werkdagen]]</f>
        <v>1280</v>
      </c>
      <c r="AF25" s="108">
        <f>Ruimtestaat[[#This Row],[uren / jaar weekend]]+Ruimtestaat[[#This Row],[uren / jaar werkdagen]]</f>
        <v>0</v>
      </c>
      <c r="AG25" s="103">
        <f>Ruimtestaat[[#This Row],[kosten / jaar weekend]]+Ruimtestaat[[#This Row],[kosten / jaar werkdagen]]</f>
        <v>0</v>
      </c>
      <c r="AH25" s="103"/>
      <c r="AI25" s="110" t="str">
        <f>IF(Ruimtestaat[[#This Row],[Frequentie werkdagen]]="","",_xlfn.CONCAT(Ruimtestaat[[#This Row],[Ruimte code]],"-",Ruimtestaat[[#This Row],[Frequentie werkdagen]]," ",Ruimtestaat[[#This Row],[Vloer code]]))</f>
        <v>7-5w T</v>
      </c>
      <c r="AJ25" s="114" t="str">
        <f>_xlfn.IFNA(VLOOKUP($AI25,Programma!$F$3:$G$1101,2,0),"")</f>
        <v>_</v>
      </c>
      <c r="AK25" s="114" t="str">
        <f>_xlfn.IFNA(VLOOKUP($AI25,Programma!$F$3:$H$1101,3,0),"")</f>
        <v>5w</v>
      </c>
      <c r="AL25" s="114" t="str">
        <f>_xlfn.IFNA(VLOOKUP($AI25,Programma!$F$3:$I$1101,4,0),"")</f>
        <v>_</v>
      </c>
      <c r="AM25" s="114" t="str">
        <f>_xlfn.IFNA(VLOOKUP($AI25,Programma!$F$3:$J$1101,5,0),"")</f>
        <v>_</v>
      </c>
      <c r="AN25" s="114" t="str">
        <f>_xlfn.IFNA(VLOOKUP($AI25,Programma!$F$3:$K$1101,6,0),"")</f>
        <v>_</v>
      </c>
      <c r="AO25" s="114" t="str">
        <f>_xlfn.IFNA(VLOOKUP($AI25,Programma!$F$3:$L$1101,7,0),"")</f>
        <v>_</v>
      </c>
      <c r="AP25" s="114" t="str">
        <f>_xlfn.IFNA(VLOOKUP($AI25,Programma!$F$3:$M$1101,8,0),"")</f>
        <v>_</v>
      </c>
      <c r="AQ25" s="114" t="str">
        <f>_xlfn.IFNA(VLOOKUP($AI25,Programma!$F$3:$N$1101,9,0),"")</f>
        <v>_</v>
      </c>
      <c r="AR25" s="114" t="str">
        <f>_xlfn.IFNA(VLOOKUP($AI25,Programma!$F$3:$O$1101,10,0),"")</f>
        <v>5w</v>
      </c>
      <c r="AS25" s="114" t="str">
        <f>_xlfn.IFNA(VLOOKUP($AI25,Programma!$F$3:$P$1101,11,0),"")</f>
        <v>5w</v>
      </c>
      <c r="AT25" s="114" t="str">
        <f>_xlfn.IFNA(VLOOKUP($AI25,Programma!$F$3:$Q$1101,12,0),"")</f>
        <v>1w</v>
      </c>
      <c r="AU25" s="114" t="str">
        <f>_xlfn.IFNA(VLOOKUP($AI25,Programma!$F$3:$R$1101,13,0),"")</f>
        <v>1w</v>
      </c>
      <c r="AV25" s="114" t="str">
        <f>_xlfn.IFNA(VLOOKUP($AI25,Programma!$F$3:$S$1101,14,0),"")</f>
        <v>1m</v>
      </c>
      <c r="AW25" s="114" t="str">
        <f>_xlfn.IFNA(VLOOKUP($AI25,Programma!$F$3:$T$1101,15,0),"")</f>
        <v>2j</v>
      </c>
      <c r="AX25" s="114" t="str">
        <f>_xlfn.IFNA(VLOOKUP($AI25,Programma!$F$3:$U$1101,16,0),"")</f>
        <v>1j</v>
      </c>
      <c r="AY25" s="114" t="str">
        <f>_xlfn.IFNA(VLOOKUP($AI25,Programma!$F$3:$V$1101,17,0),"")</f>
        <v>_</v>
      </c>
      <c r="AZ25" s="114" t="str">
        <f>_xlfn.IFNA(VLOOKUP($AI25,Programma!$F$3:$W$1101,18,0),"")</f>
        <v>_</v>
      </c>
      <c r="BA25" s="114" t="str">
        <f>_xlfn.IFNA(VLOOKUP($AI25,Programma!$F$3:$X$1101,19,0),"")</f>
        <v>_</v>
      </c>
      <c r="BB25" s="114" t="str">
        <f>_xlfn.IFNA(VLOOKUP($AI25,Programma!$F$3:$Y$1101,20,0),"")</f>
        <v>_</v>
      </c>
      <c r="BC25" s="111"/>
      <c r="BD25" s="110" t="str">
        <f>IF(Ruimtestaat[[#This Row],[Frequentie weekend]]="","",_xlfn.CONCAT(Ruimtestaat[[#This Row],[Ruimte code]],"-",Ruimtestaat[[#This Row],[Frequentie weekend]]," ",Ruimtestaat[[#This Row],[Vloer code]]))</f>
        <v/>
      </c>
      <c r="BE25" s="114" t="str">
        <f>_xlfn.IFNA(VLOOKUP($BD25,Programma!$F$3:$G$1101,2,0),"")</f>
        <v/>
      </c>
      <c r="BF25" s="114" t="str">
        <f>_xlfn.IFNA(VLOOKUP($BD25,Programma!$F$3:$H$1101,3,0),"")</f>
        <v/>
      </c>
      <c r="BG25" s="114" t="str">
        <f>_xlfn.IFNA(VLOOKUP($BD25,Programma!$F$3:$I$1101,4,0),"")</f>
        <v/>
      </c>
      <c r="BH25" s="114" t="str">
        <f>_xlfn.IFNA(VLOOKUP($BD25,Programma!$F$3:$J$1101,5,0),"")</f>
        <v/>
      </c>
      <c r="BI25" s="114" t="str">
        <f>_xlfn.IFNA(VLOOKUP($BD25,Programma!$F$3:$K$1101,6,0),"")</f>
        <v/>
      </c>
      <c r="BJ25" s="114" t="str">
        <f>_xlfn.IFNA(VLOOKUP($BD25,Programma!$F$3:$L$1101,7,0),"")</f>
        <v/>
      </c>
      <c r="BK25" s="114" t="str">
        <f>_xlfn.IFNA(VLOOKUP($BD25,Programma!$F$3:$M$1101,8,0),"")</f>
        <v/>
      </c>
      <c r="BL25" s="114" t="str">
        <f>_xlfn.IFNA(VLOOKUP($BD25,Programma!$F$3:$N$1101,9,0),"")</f>
        <v/>
      </c>
      <c r="BM25" s="114" t="str">
        <f>_xlfn.IFNA(VLOOKUP($BD25,Programma!$F$3:$O$1101,10,0),"")</f>
        <v/>
      </c>
      <c r="BN25" s="114" t="str">
        <f>_xlfn.IFNA(VLOOKUP($BD25,Programma!$F$3:$P$1101,11,0),"")</f>
        <v/>
      </c>
      <c r="BO25" s="114" t="str">
        <f>_xlfn.IFNA(VLOOKUP($BD25,Programma!$F$3:$Q$1101,12,0),"")</f>
        <v/>
      </c>
      <c r="BP25" s="114" t="str">
        <f>_xlfn.IFNA(VLOOKUP($BD25,Programma!$F$3:$R$1101,13,0),"")</f>
        <v/>
      </c>
      <c r="BQ25" s="114" t="str">
        <f>_xlfn.IFNA(VLOOKUP($BD25,Programma!$F$3:$S$1101,14,0),"")</f>
        <v/>
      </c>
      <c r="BR25" s="114" t="str">
        <f>_xlfn.IFNA(VLOOKUP($BD25,Programma!$F$3:$T$1101,15,0),"")</f>
        <v/>
      </c>
      <c r="BS25" s="114" t="str">
        <f>_xlfn.IFNA(VLOOKUP($BD25,Programma!$F$3:$U$1101,16,0),"")</f>
        <v/>
      </c>
      <c r="BT25" s="114" t="str">
        <f>_xlfn.IFNA(VLOOKUP($BD25,Programma!$F$3:$V$1101,17,0),"")</f>
        <v/>
      </c>
      <c r="BU25" s="114" t="str">
        <f>_xlfn.IFNA(VLOOKUP($BD25,Programma!$F$3:$W$1101,18,0),"")</f>
        <v/>
      </c>
      <c r="BV25" s="114" t="str">
        <f>_xlfn.IFNA(VLOOKUP($BD25,Programma!$F$3:$X$1101,19,0),"")</f>
        <v/>
      </c>
      <c r="BW25" s="114" t="str">
        <f>_xlfn.IFNA(VLOOKUP($BD25,Programma!$F$3:$Y$1101,20,0),"")</f>
        <v/>
      </c>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row>
    <row r="26" spans="1:220" ht="15" customHeight="1">
      <c r="A26" s="73">
        <v>1</v>
      </c>
      <c r="B26" s="105" t="str">
        <f>VLOOKUP(Ruimtestaat[[#This Row],[Code]],Locaties[[Code]:[Locatie]],2,FALSE)</f>
        <v>IKC Kameleon</v>
      </c>
      <c r="C26" s="105" t="str">
        <f>VLOOKUP(Ruimtestaat[[#This Row],[Code]],Locaties[[#All],[Code]:[Adres]],4,FALSE)</f>
        <v>Mondriaanstraat 15</v>
      </c>
      <c r="D26" s="105" t="str">
        <f>VLOOKUP(Ruimtestaat[[#This Row],[Code]],Locaties[[#All],[Code]:[Postcode]],5,FALSE)</f>
        <v>6921 MJ</v>
      </c>
      <c r="E26" s="105" t="str">
        <f>VLOOKUP(Ruimtestaat[[#This Row],[Code]],Locaties[#All],6,FALSE)</f>
        <v>Duiven</v>
      </c>
      <c r="F26" s="73"/>
      <c r="G26" s="73" t="s">
        <v>1645</v>
      </c>
      <c r="H26" s="272"/>
      <c r="I26" s="273" t="s">
        <v>1665</v>
      </c>
      <c r="J26" s="31">
        <v>20</v>
      </c>
      <c r="K26" s="113" t="str">
        <f>VLOOKUP(Ruimtestaat[[#This Row],[Ruimte code]],Ruimtegroepen[[#All],[Code]:[Ruimte omschrijving]],2,FALSE)</f>
        <v>Niet in Onderhoud</v>
      </c>
      <c r="L26" s="73"/>
      <c r="M26" s="273"/>
      <c r="N26" s="106"/>
      <c r="O26" s="73"/>
      <c r="P26" s="73"/>
      <c r="Q26" s="107">
        <f>VLOOKUP(Ruimtestaat[[#This Row],[Ruimte code]],Ruimtegroepen[],4,FALSE)</f>
        <v>0</v>
      </c>
      <c r="R26" s="73"/>
      <c r="S26" s="73"/>
      <c r="T26" s="73">
        <f>IF(R26&gt;0,IF(RIGHT(Ruimtestaat[[#This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 s="73">
        <f>IF(T26&gt;0,VLOOKUP($J26,Ruimtegroepen[],3,FALSE)*VLOOKUP($L26,Vloersoorten[],3,FALSE)*VLOOKUP($S26,Frequenties[],3,FALSE)*VLOOKUP($A26,Locaties[],3,FALSE),0)</f>
        <v>0</v>
      </c>
      <c r="V26" s="73">
        <f>Ruimtestaat[[#This Row],[Uitvoeringen werkdagen]]*Ruimtestaat[[#This Row],[Oppervlak (netto)]]</f>
        <v>0</v>
      </c>
      <c r="W26" s="108">
        <f>IF(U26&gt;0,Ruimtestaat[[#This Row],[Prest. (m2 /jaar) werkdagen]]/Ruimtestaat[[#This Row],[Norm (m2/uur) werkdagen]],0)</f>
        <v>0</v>
      </c>
      <c r="X26" s="109">
        <f>Ruimtestaat[[#This Row],[uren / jaar werkdagen]]*Tariefsopbouw!$E$35</f>
        <v>0</v>
      </c>
      <c r="Y26" s="73"/>
      <c r="Z26" s="73">
        <f>IF(Ruimtestaat[[#This Row],[Frequentie weekend]]&gt;0,VALUE(LEFT(Y26,1))*R26,0)</f>
        <v>0</v>
      </c>
      <c r="AA26" s="72">
        <f>IF($Z26&gt;0,VLOOKUP($J26,Ruimtegroepen[],3,FALSE)*VLOOKUP($L26,Vloersoorten[],3,FALSE)*VLOOKUP($Y26,Frequenties[],3,FALSE)*VLOOKUP(Ruimtestaat[[#This Row],[Code]],Locaties[],3,FALSE),0)</f>
        <v>0</v>
      </c>
      <c r="AB26" s="72">
        <f>Ruimtestaat[[#This Row],[Uitvoeringen weekend]]*Ruimtestaat[[#This Row],[Oppervlak (netto)]]</f>
        <v>0</v>
      </c>
      <c r="AC26" s="72">
        <f>IF(AA26&gt;0,Ruimtestaat[[#This Row],[Prest. (m2 /jaar) weekend]]/Ruimtestaat[[#This Row],[Norm (m2/uur) weekend]],0)</f>
        <v>0</v>
      </c>
      <c r="AD26" s="109">
        <f>Ruimtestaat[[#This Row],[uren / jaar weekend]]*Tariefsopbouw!$D$40</f>
        <v>0</v>
      </c>
      <c r="AE26" s="108">
        <f>Ruimtestaat[[#This Row],[Prest. (m2 /jaar) weekend]]+Ruimtestaat[[#This Row],[Prest. (m2 /jaar) werkdagen]]</f>
        <v>0</v>
      </c>
      <c r="AF26" s="108">
        <f>Ruimtestaat[[#This Row],[uren / jaar weekend]]+Ruimtestaat[[#This Row],[uren / jaar werkdagen]]</f>
        <v>0</v>
      </c>
      <c r="AG26" s="103">
        <f>Ruimtestaat[[#This Row],[kosten / jaar weekend]]+Ruimtestaat[[#This Row],[kosten / jaar werkdagen]]</f>
        <v>0</v>
      </c>
      <c r="AH26" s="103"/>
      <c r="AI26" s="110" t="str">
        <f>IF(Ruimtestaat[[#This Row],[Frequentie werkdagen]]="","",_xlfn.CONCAT(Ruimtestaat[[#This Row],[Ruimte code]],"-",Ruimtestaat[[#This Row],[Frequentie werkdagen]]," ",Ruimtestaat[[#This Row],[Vloer code]]))</f>
        <v/>
      </c>
      <c r="AJ26" s="114" t="str">
        <f>_xlfn.IFNA(VLOOKUP($AI26,Programma!$F$3:$G$1101,2,0),"")</f>
        <v/>
      </c>
      <c r="AK26" s="114" t="str">
        <f>_xlfn.IFNA(VLOOKUP($AI26,Programma!$F$3:$H$1101,3,0),"")</f>
        <v/>
      </c>
      <c r="AL26" s="114" t="str">
        <f>_xlfn.IFNA(VLOOKUP($AI26,Programma!$F$3:$I$1101,4,0),"")</f>
        <v/>
      </c>
      <c r="AM26" s="114" t="str">
        <f>_xlfn.IFNA(VLOOKUP($AI26,Programma!$F$3:$J$1101,5,0),"")</f>
        <v/>
      </c>
      <c r="AN26" s="114" t="str">
        <f>_xlfn.IFNA(VLOOKUP($AI26,Programma!$F$3:$K$1101,6,0),"")</f>
        <v/>
      </c>
      <c r="AO26" s="114" t="str">
        <f>_xlfn.IFNA(VLOOKUP($AI26,Programma!$F$3:$L$1101,7,0),"")</f>
        <v/>
      </c>
      <c r="AP26" s="114" t="str">
        <f>_xlfn.IFNA(VLOOKUP($AI26,Programma!$F$3:$M$1101,8,0),"")</f>
        <v/>
      </c>
      <c r="AQ26" s="114" t="str">
        <f>_xlfn.IFNA(VLOOKUP($AI26,Programma!$F$3:$N$1101,9,0),"")</f>
        <v/>
      </c>
      <c r="AR26" s="114" t="str">
        <f>_xlfn.IFNA(VLOOKUP($AI26,Programma!$F$3:$O$1101,10,0),"")</f>
        <v/>
      </c>
      <c r="AS26" s="114" t="str">
        <f>_xlfn.IFNA(VLOOKUP($AI26,Programma!$F$3:$P$1101,11,0),"")</f>
        <v/>
      </c>
      <c r="AT26" s="114" t="str">
        <f>_xlfn.IFNA(VLOOKUP($AI26,Programma!$F$3:$Q$1101,12,0),"")</f>
        <v/>
      </c>
      <c r="AU26" s="114" t="str">
        <f>_xlfn.IFNA(VLOOKUP($AI26,Programma!$F$3:$R$1101,13,0),"")</f>
        <v/>
      </c>
      <c r="AV26" s="114" t="str">
        <f>_xlfn.IFNA(VLOOKUP($AI26,Programma!$F$3:$S$1101,14,0),"")</f>
        <v/>
      </c>
      <c r="AW26" s="114" t="str">
        <f>_xlfn.IFNA(VLOOKUP($AI26,Programma!$F$3:$T$1101,15,0),"")</f>
        <v/>
      </c>
      <c r="AX26" s="114" t="str">
        <f>_xlfn.IFNA(VLOOKUP($AI26,Programma!$F$3:$U$1101,16,0),"")</f>
        <v/>
      </c>
      <c r="AY26" s="114" t="str">
        <f>_xlfn.IFNA(VLOOKUP($AI26,Programma!$F$3:$V$1101,17,0),"")</f>
        <v/>
      </c>
      <c r="AZ26" s="114" t="str">
        <f>_xlfn.IFNA(VLOOKUP($AI26,Programma!$F$3:$W$1101,18,0),"")</f>
        <v/>
      </c>
      <c r="BA26" s="114" t="str">
        <f>_xlfn.IFNA(VLOOKUP($AI26,Programma!$F$3:$X$1101,19,0),"")</f>
        <v/>
      </c>
      <c r="BB26" s="114" t="str">
        <f>_xlfn.IFNA(VLOOKUP($AI26,Programma!$F$3:$Y$1101,20,0),"")</f>
        <v/>
      </c>
      <c r="BC26" s="111"/>
      <c r="BD26" s="110" t="str">
        <f>IF(Ruimtestaat[[#This Row],[Frequentie weekend]]="","",_xlfn.CONCAT(Ruimtestaat[[#This Row],[Ruimte code]],"-",Ruimtestaat[[#This Row],[Frequentie weekend]]," ",Ruimtestaat[[#This Row],[Vloer code]]))</f>
        <v/>
      </c>
      <c r="BE26" s="114" t="str">
        <f>_xlfn.IFNA(VLOOKUP($BD26,Programma!$F$3:$G$1101,2,0),"")</f>
        <v/>
      </c>
      <c r="BF26" s="114" t="str">
        <f>_xlfn.IFNA(VLOOKUP($BD26,Programma!$F$3:$H$1101,3,0),"")</f>
        <v/>
      </c>
      <c r="BG26" s="114" t="str">
        <f>_xlfn.IFNA(VLOOKUP($BD26,Programma!$F$3:$I$1101,4,0),"")</f>
        <v/>
      </c>
      <c r="BH26" s="114" t="str">
        <f>_xlfn.IFNA(VLOOKUP($BD26,Programma!$F$3:$J$1101,5,0),"")</f>
        <v/>
      </c>
      <c r="BI26" s="114" t="str">
        <f>_xlfn.IFNA(VLOOKUP($BD26,Programma!$F$3:$K$1101,6,0),"")</f>
        <v/>
      </c>
      <c r="BJ26" s="114" t="str">
        <f>_xlfn.IFNA(VLOOKUP($BD26,Programma!$F$3:$L$1101,7,0),"")</f>
        <v/>
      </c>
      <c r="BK26" s="114" t="str">
        <f>_xlfn.IFNA(VLOOKUP($BD26,Programma!$F$3:$M$1101,8,0),"")</f>
        <v/>
      </c>
      <c r="BL26" s="114" t="str">
        <f>_xlfn.IFNA(VLOOKUP($BD26,Programma!$F$3:$N$1101,9,0),"")</f>
        <v/>
      </c>
      <c r="BM26" s="114" t="str">
        <f>_xlfn.IFNA(VLOOKUP($BD26,Programma!$F$3:$O$1101,10,0),"")</f>
        <v/>
      </c>
      <c r="BN26" s="114" t="str">
        <f>_xlfn.IFNA(VLOOKUP($BD26,Programma!$F$3:$P$1101,11,0),"")</f>
        <v/>
      </c>
      <c r="BO26" s="114" t="str">
        <f>_xlfn.IFNA(VLOOKUP($BD26,Programma!$F$3:$Q$1101,12,0),"")</f>
        <v/>
      </c>
      <c r="BP26" s="114" t="str">
        <f>_xlfn.IFNA(VLOOKUP($BD26,Programma!$F$3:$R$1101,13,0),"")</f>
        <v/>
      </c>
      <c r="BQ26" s="114" t="str">
        <f>_xlfn.IFNA(VLOOKUP($BD26,Programma!$F$3:$S$1101,14,0),"")</f>
        <v/>
      </c>
      <c r="BR26" s="114" t="str">
        <f>_xlfn.IFNA(VLOOKUP($BD26,Programma!$F$3:$T$1101,15,0),"")</f>
        <v/>
      </c>
      <c r="BS26" s="114" t="str">
        <f>_xlfn.IFNA(VLOOKUP($BD26,Programma!$F$3:$U$1101,16,0),"")</f>
        <v/>
      </c>
      <c r="BT26" s="114" t="str">
        <f>_xlfn.IFNA(VLOOKUP($BD26,Programma!$F$3:$V$1101,17,0),"")</f>
        <v/>
      </c>
      <c r="BU26" s="114" t="str">
        <f>_xlfn.IFNA(VLOOKUP($BD26,Programma!$F$3:$W$1101,18,0),"")</f>
        <v/>
      </c>
      <c r="BV26" s="114" t="str">
        <f>_xlfn.IFNA(VLOOKUP($BD26,Programma!$F$3:$X$1101,19,0),"")</f>
        <v/>
      </c>
      <c r="BW26" s="114" t="str">
        <f>_xlfn.IFNA(VLOOKUP($BD26,Programma!$F$3:$Y$1101,20,0),"")</f>
        <v/>
      </c>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row>
    <row r="27" spans="1:220" ht="15" customHeight="1">
      <c r="A27" s="73">
        <v>1</v>
      </c>
      <c r="B27" s="105" t="str">
        <f>VLOOKUP(Ruimtestaat[[#This Row],[Code]],Locaties[[Code]:[Locatie]],2,FALSE)</f>
        <v>IKC Kameleon</v>
      </c>
      <c r="C27" s="105" t="str">
        <f>VLOOKUP(Ruimtestaat[[#This Row],[Code]],Locaties[[#All],[Code]:[Adres]],4,FALSE)</f>
        <v>Mondriaanstraat 15</v>
      </c>
      <c r="D27" s="105" t="str">
        <f>VLOOKUP(Ruimtestaat[[#This Row],[Code]],Locaties[[#All],[Code]:[Postcode]],5,FALSE)</f>
        <v>6921 MJ</v>
      </c>
      <c r="E27" s="105" t="str">
        <f>VLOOKUP(Ruimtestaat[[#This Row],[Code]],Locaties[#All],6,FALSE)</f>
        <v>Duiven</v>
      </c>
      <c r="F27" s="73"/>
      <c r="G27" s="73" t="s">
        <v>1645</v>
      </c>
      <c r="H27" s="272"/>
      <c r="I27" s="273" t="s">
        <v>1985</v>
      </c>
      <c r="J27" s="31">
        <v>1</v>
      </c>
      <c r="K27" s="113" t="str">
        <f>VLOOKUP(Ruimtestaat[[#This Row],[Ruimte code]],Ruimtegroepen[[#All],[Code]:[Ruimte omschrijving]],2,FALSE)</f>
        <v>Magazijnen/bergingen</v>
      </c>
      <c r="L27" s="73" t="s">
        <v>99</v>
      </c>
      <c r="M27" s="273" t="s">
        <v>36</v>
      </c>
      <c r="N27" s="106">
        <v>2.5</v>
      </c>
      <c r="O27" s="112"/>
      <c r="P27" s="112"/>
      <c r="Q27" s="107" t="str">
        <f>VLOOKUP(Ruimtestaat[[#This Row],[Ruimte code]],Ruimtegroepen[],4,FALSE)</f>
        <v>Ve</v>
      </c>
      <c r="R27" s="73">
        <v>40</v>
      </c>
      <c r="S27" s="73" t="s">
        <v>16</v>
      </c>
      <c r="T27" s="73">
        <f>IF(R27&gt;0,IF(RIGHT(Ruimtestaat[[#This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 s="73">
        <f>IF(T27&gt;0,VLOOKUP($J27,Ruimtegroepen[],3,FALSE)*VLOOKUP($L27,Vloersoorten[],3,FALSE)*VLOOKUP($S27,Frequenties[],3,FALSE)*VLOOKUP($A27,Locaties[],3,FALSE),0)</f>
        <v>0</v>
      </c>
      <c r="V27" s="73">
        <f>Ruimtestaat[[#This Row],[Uitvoeringen werkdagen]]*Ruimtestaat[[#This Row],[Oppervlak (netto)]]</f>
        <v>30</v>
      </c>
      <c r="W27" s="108">
        <f>IF(U27&gt;0,Ruimtestaat[[#This Row],[Prest. (m2 /jaar) werkdagen]]/Ruimtestaat[[#This Row],[Norm (m2/uur) werkdagen]],0)</f>
        <v>0</v>
      </c>
      <c r="X27" s="109">
        <f>Ruimtestaat[[#This Row],[uren / jaar werkdagen]]*Tariefsopbouw!$E$35</f>
        <v>0</v>
      </c>
      <c r="Y27" s="73"/>
      <c r="Z27" s="73">
        <f>IF(Ruimtestaat[[#This Row],[Frequentie weekend]]&gt;0,VALUE(LEFT(Y27,1))*R27,0)</f>
        <v>0</v>
      </c>
      <c r="AA27" s="72">
        <f>IF($Z27&gt;0,VLOOKUP($J27,Ruimtegroepen[],3,FALSE)*VLOOKUP($L27,Vloersoorten[],3,FALSE)*VLOOKUP($Y27,Frequenties[],3,FALSE)*VLOOKUP(Ruimtestaat[[#This Row],[Code]],Locaties[],3,FALSE),0)</f>
        <v>0</v>
      </c>
      <c r="AB27" s="72">
        <f>Ruimtestaat[[#This Row],[Uitvoeringen weekend]]*Ruimtestaat[[#This Row],[Oppervlak (netto)]]</f>
        <v>0</v>
      </c>
      <c r="AC27" s="72">
        <f>IF(AA27&gt;0,Ruimtestaat[[#This Row],[Prest. (m2 /jaar) weekend]]/Ruimtestaat[[#This Row],[Norm (m2/uur) weekend]],0)</f>
        <v>0</v>
      </c>
      <c r="AD27" s="109">
        <f>Ruimtestaat[[#This Row],[uren / jaar weekend]]*Tariefsopbouw!$D$40</f>
        <v>0</v>
      </c>
      <c r="AE27" s="108">
        <f>Ruimtestaat[[#This Row],[Prest. (m2 /jaar) weekend]]+Ruimtestaat[[#This Row],[Prest. (m2 /jaar) werkdagen]]</f>
        <v>30</v>
      </c>
      <c r="AF27" s="108">
        <f>Ruimtestaat[[#This Row],[uren / jaar weekend]]+Ruimtestaat[[#This Row],[uren / jaar werkdagen]]</f>
        <v>0</v>
      </c>
      <c r="AG27" s="103">
        <f>Ruimtestaat[[#This Row],[kosten / jaar weekend]]+Ruimtestaat[[#This Row],[kosten / jaar werkdagen]]</f>
        <v>0</v>
      </c>
      <c r="AH27" s="103"/>
      <c r="AI27" s="110" t="str">
        <f>IF(Ruimtestaat[[#This Row],[Frequentie werkdagen]]="","",_xlfn.CONCAT(Ruimtestaat[[#This Row],[Ruimte code]],"-",Ruimtestaat[[#This Row],[Frequentie werkdagen]]," ",Ruimtestaat[[#This Row],[Vloer code]]))</f>
        <v>1-1m T</v>
      </c>
      <c r="AJ27" s="114" t="str">
        <f>_xlfn.IFNA(VLOOKUP($AI27,Programma!$F$3:$G$1101,2,0),"")</f>
        <v>_</v>
      </c>
      <c r="AK27" s="114" t="str">
        <f>_xlfn.IFNA(VLOOKUP($AI27,Programma!$F$3:$H$1101,3,0),"")</f>
        <v>1m</v>
      </c>
      <c r="AL27" s="114" t="str">
        <f>_xlfn.IFNA(VLOOKUP($AI27,Programma!$F$3:$I$1101,4,0),"")</f>
        <v>_</v>
      </c>
      <c r="AM27" s="114" t="str">
        <f>_xlfn.IFNA(VLOOKUP($AI27,Programma!$F$3:$J$1101,5,0),"")</f>
        <v>_</v>
      </c>
      <c r="AN27" s="114" t="str">
        <f>_xlfn.IFNA(VLOOKUP($AI27,Programma!$F$3:$K$1101,6,0),"")</f>
        <v>_</v>
      </c>
      <c r="AO27" s="114" t="str">
        <f>_xlfn.IFNA(VLOOKUP($AI27,Programma!$F$3:$L$1101,7,0),"")</f>
        <v>_</v>
      </c>
      <c r="AP27" s="114" t="str">
        <f>_xlfn.IFNA(VLOOKUP($AI27,Programma!$F$3:$M$1101,8,0),"")</f>
        <v>_</v>
      </c>
      <c r="AQ27" s="114" t="str">
        <f>_xlfn.IFNA(VLOOKUP($AI27,Programma!$F$3:$N$1101,9,0),"")</f>
        <v>_</v>
      </c>
      <c r="AR27" s="114" t="str">
        <f>_xlfn.IFNA(VLOOKUP($AI27,Programma!$F$3:$O$1101,10,0),"")</f>
        <v>_</v>
      </c>
      <c r="AS27" s="114" t="str">
        <f>_xlfn.IFNA(VLOOKUP($AI27,Programma!$F$3:$P$1101,11,0),"")</f>
        <v>_</v>
      </c>
      <c r="AT27" s="114" t="str">
        <f>_xlfn.IFNA(VLOOKUP($AI27,Programma!$F$3:$Q$1101,12,0),"")</f>
        <v>_</v>
      </c>
      <c r="AU27" s="114" t="str">
        <f>_xlfn.IFNA(VLOOKUP($AI27,Programma!$F$3:$R$1101,13,0),"")</f>
        <v>_</v>
      </c>
      <c r="AV27" s="114" t="str">
        <f>_xlfn.IFNA(VLOOKUP($AI27,Programma!$F$3:$S$1101,14,0),"")</f>
        <v>1m</v>
      </c>
      <c r="AW27" s="114" t="str">
        <f>_xlfn.IFNA(VLOOKUP($AI27,Programma!$F$3:$T$1101,15,0),"")</f>
        <v>4j</v>
      </c>
      <c r="AX27" s="114" t="str">
        <f>_xlfn.IFNA(VLOOKUP($AI27,Programma!$F$3:$U$1101,16,0),"")</f>
        <v>4j</v>
      </c>
      <c r="AY27" s="114" t="str">
        <f>_xlfn.IFNA(VLOOKUP($AI27,Programma!$F$3:$V$1101,17,0),"")</f>
        <v>_</v>
      </c>
      <c r="AZ27" s="114" t="str">
        <f>_xlfn.IFNA(VLOOKUP($AI27,Programma!$F$3:$W$1101,18,0),"")</f>
        <v>_</v>
      </c>
      <c r="BA27" s="114" t="str">
        <f>_xlfn.IFNA(VLOOKUP($AI27,Programma!$F$3:$X$1101,19,0),"")</f>
        <v>_</v>
      </c>
      <c r="BB27" s="114" t="str">
        <f>_xlfn.IFNA(VLOOKUP($AI27,Programma!$F$3:$Y$1101,20,0),"")</f>
        <v>_</v>
      </c>
      <c r="BC27" s="111"/>
      <c r="BD27" s="110" t="str">
        <f>IF(Ruimtestaat[[#This Row],[Frequentie weekend]]="","",_xlfn.CONCAT(Ruimtestaat[[#This Row],[Ruimte code]],"-",Ruimtestaat[[#This Row],[Frequentie weekend]]," ",Ruimtestaat[[#This Row],[Vloer code]]))</f>
        <v/>
      </c>
      <c r="BE27" s="114" t="str">
        <f>_xlfn.IFNA(VLOOKUP($BD27,Programma!$F$3:$G$1101,2,0),"")</f>
        <v/>
      </c>
      <c r="BF27" s="114" t="str">
        <f>_xlfn.IFNA(VLOOKUP($BD27,Programma!$F$3:$H$1101,3,0),"")</f>
        <v/>
      </c>
      <c r="BG27" s="114" t="str">
        <f>_xlfn.IFNA(VLOOKUP($BD27,Programma!$F$3:$I$1101,4,0),"")</f>
        <v/>
      </c>
      <c r="BH27" s="114" t="str">
        <f>_xlfn.IFNA(VLOOKUP($BD27,Programma!$F$3:$J$1101,5,0),"")</f>
        <v/>
      </c>
      <c r="BI27" s="114" t="str">
        <f>_xlfn.IFNA(VLOOKUP($BD27,Programma!$F$3:$K$1101,6,0),"")</f>
        <v/>
      </c>
      <c r="BJ27" s="114" t="str">
        <f>_xlfn.IFNA(VLOOKUP($BD27,Programma!$F$3:$L$1101,7,0),"")</f>
        <v/>
      </c>
      <c r="BK27" s="114" t="str">
        <f>_xlfn.IFNA(VLOOKUP($BD27,Programma!$F$3:$M$1101,8,0),"")</f>
        <v/>
      </c>
      <c r="BL27" s="114" t="str">
        <f>_xlfn.IFNA(VLOOKUP($BD27,Programma!$F$3:$N$1101,9,0),"")</f>
        <v/>
      </c>
      <c r="BM27" s="114" t="str">
        <f>_xlfn.IFNA(VLOOKUP($BD27,Programma!$F$3:$O$1101,10,0),"")</f>
        <v/>
      </c>
      <c r="BN27" s="114" t="str">
        <f>_xlfn.IFNA(VLOOKUP($BD27,Programma!$F$3:$P$1101,11,0),"")</f>
        <v/>
      </c>
      <c r="BO27" s="114" t="str">
        <f>_xlfn.IFNA(VLOOKUP($BD27,Programma!$F$3:$Q$1101,12,0),"")</f>
        <v/>
      </c>
      <c r="BP27" s="114" t="str">
        <f>_xlfn.IFNA(VLOOKUP($BD27,Programma!$F$3:$R$1101,13,0),"")</f>
        <v/>
      </c>
      <c r="BQ27" s="114" t="str">
        <f>_xlfn.IFNA(VLOOKUP($BD27,Programma!$F$3:$S$1101,14,0),"")</f>
        <v/>
      </c>
      <c r="BR27" s="114" t="str">
        <f>_xlfn.IFNA(VLOOKUP($BD27,Programma!$F$3:$T$1101,15,0),"")</f>
        <v/>
      </c>
      <c r="BS27" s="114" t="str">
        <f>_xlfn.IFNA(VLOOKUP($BD27,Programma!$F$3:$U$1101,16,0),"")</f>
        <v/>
      </c>
      <c r="BT27" s="114" t="str">
        <f>_xlfn.IFNA(VLOOKUP($BD27,Programma!$F$3:$V$1101,17,0),"")</f>
        <v/>
      </c>
      <c r="BU27" s="114" t="str">
        <f>_xlfn.IFNA(VLOOKUP($BD27,Programma!$F$3:$W$1101,18,0),"")</f>
        <v/>
      </c>
      <c r="BV27" s="114" t="str">
        <f>_xlfn.IFNA(VLOOKUP($BD27,Programma!$F$3:$X$1101,19,0),"")</f>
        <v/>
      </c>
      <c r="BW27" s="114" t="str">
        <f>_xlfn.IFNA(VLOOKUP($BD27,Programma!$F$3:$Y$1101,20,0),"")</f>
        <v/>
      </c>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row>
    <row r="28" spans="1:220" ht="15" customHeight="1">
      <c r="A28" s="73">
        <v>1</v>
      </c>
      <c r="B28" s="105" t="str">
        <f>VLOOKUP(Ruimtestaat[[#This Row],[Code]],Locaties[[Code]:[Locatie]],2,FALSE)</f>
        <v>IKC Kameleon</v>
      </c>
      <c r="C28" s="105" t="str">
        <f>VLOOKUP(Ruimtestaat[[#This Row],[Code]],Locaties[[#All],[Code]:[Adres]],4,FALSE)</f>
        <v>Mondriaanstraat 15</v>
      </c>
      <c r="D28" s="105" t="str">
        <f>VLOOKUP(Ruimtestaat[[#This Row],[Code]],Locaties[[#All],[Code]:[Postcode]],5,FALSE)</f>
        <v>6921 MJ</v>
      </c>
      <c r="E28" s="105" t="str">
        <f>VLOOKUP(Ruimtestaat[[#This Row],[Code]],Locaties[#All],6,FALSE)</f>
        <v>Duiven</v>
      </c>
      <c r="F28" s="73"/>
      <c r="G28" s="73" t="s">
        <v>1645</v>
      </c>
      <c r="H28" s="272"/>
      <c r="I28" s="273" t="s">
        <v>1667</v>
      </c>
      <c r="J28" s="31">
        <v>16</v>
      </c>
      <c r="K28" s="113" t="str">
        <f>VLOOKUP(Ruimtestaat[[#This Row],[Ruimte code]],Ruimtegroepen[[#All],[Code]:[Ruimte omschrijving]],2,FALSE)</f>
        <v>Leslokalen</v>
      </c>
      <c r="L28" s="73" t="s">
        <v>99</v>
      </c>
      <c r="M28" s="273" t="s">
        <v>36</v>
      </c>
      <c r="N28" s="106">
        <v>56.25</v>
      </c>
      <c r="O28" s="112"/>
      <c r="P28" s="112"/>
      <c r="Q28" s="107" t="str">
        <f>VLOOKUP(Ruimtestaat[[#This Row],[Ruimte code]],Ruimtegroepen[],4,FALSE)</f>
        <v>Le</v>
      </c>
      <c r="R28" s="73">
        <v>40</v>
      </c>
      <c r="S28" s="73" t="s">
        <v>2</v>
      </c>
      <c r="T28" s="73">
        <f>IF(R28&gt;0,IF(RIGHT(Ruimtestaat[[#This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 s="73">
        <f>IF(T28&gt;0,VLOOKUP($J28,Ruimtegroepen[],3,FALSE)*VLOOKUP($L28,Vloersoorten[],3,FALSE)*VLOOKUP($S28,Frequenties[],3,FALSE)*VLOOKUP($A28,Locaties[],3,FALSE),0)</f>
        <v>0</v>
      </c>
      <c r="V28" s="73">
        <f>Ruimtestaat[[#This Row],[Uitvoeringen werkdagen]]*Ruimtestaat[[#This Row],[Oppervlak (netto)]]</f>
        <v>11250</v>
      </c>
      <c r="W28" s="108">
        <f>IF(U28&gt;0,Ruimtestaat[[#This Row],[Prest. (m2 /jaar) werkdagen]]/Ruimtestaat[[#This Row],[Norm (m2/uur) werkdagen]],0)</f>
        <v>0</v>
      </c>
      <c r="X28" s="109">
        <f>Ruimtestaat[[#This Row],[uren / jaar werkdagen]]*Tariefsopbouw!$E$35</f>
        <v>0</v>
      </c>
      <c r="Y28" s="73"/>
      <c r="Z28" s="73">
        <f>IF(Ruimtestaat[[#This Row],[Frequentie weekend]]&gt;0,VALUE(LEFT(Y28,1))*R28,0)</f>
        <v>0</v>
      </c>
      <c r="AA28" s="72">
        <f>IF($Z28&gt;0,VLOOKUP($J28,Ruimtegroepen[],3,FALSE)*VLOOKUP($L28,Vloersoorten[],3,FALSE)*VLOOKUP($Y28,Frequenties[],3,FALSE)*VLOOKUP(Ruimtestaat[[#This Row],[Code]],Locaties[],3,FALSE),0)</f>
        <v>0</v>
      </c>
      <c r="AB28" s="72">
        <f>Ruimtestaat[[#This Row],[Uitvoeringen weekend]]*Ruimtestaat[[#This Row],[Oppervlak (netto)]]</f>
        <v>0</v>
      </c>
      <c r="AC28" s="72">
        <f>IF(AA28&gt;0,Ruimtestaat[[#This Row],[Prest. (m2 /jaar) weekend]]/Ruimtestaat[[#This Row],[Norm (m2/uur) weekend]],0)</f>
        <v>0</v>
      </c>
      <c r="AD28" s="109">
        <f>Ruimtestaat[[#This Row],[uren / jaar weekend]]*Tariefsopbouw!$D$40</f>
        <v>0</v>
      </c>
      <c r="AE28" s="108">
        <f>Ruimtestaat[[#This Row],[Prest. (m2 /jaar) weekend]]+Ruimtestaat[[#This Row],[Prest. (m2 /jaar) werkdagen]]</f>
        <v>11250</v>
      </c>
      <c r="AF28" s="108">
        <f>Ruimtestaat[[#This Row],[uren / jaar weekend]]+Ruimtestaat[[#This Row],[uren / jaar werkdagen]]</f>
        <v>0</v>
      </c>
      <c r="AG28" s="103">
        <f>Ruimtestaat[[#This Row],[kosten / jaar weekend]]+Ruimtestaat[[#This Row],[kosten / jaar werkdagen]]</f>
        <v>0</v>
      </c>
      <c r="AH28" s="103"/>
      <c r="AI28" s="110" t="str">
        <f>IF(Ruimtestaat[[#This Row],[Frequentie werkdagen]]="","",_xlfn.CONCAT(Ruimtestaat[[#This Row],[Ruimte code]],"-",Ruimtestaat[[#This Row],[Frequentie werkdagen]]," ",Ruimtestaat[[#This Row],[Vloer code]]))</f>
        <v>16-5w T</v>
      </c>
      <c r="AJ28" s="114" t="str">
        <f>_xlfn.IFNA(VLOOKUP($AI28,Programma!$F$3:$G$1101,2,0),"")</f>
        <v>3w</v>
      </c>
      <c r="AK28" s="114" t="str">
        <f>_xlfn.IFNA(VLOOKUP($AI28,Programma!$F$3:$H$1101,3,0),"")</f>
        <v>2w</v>
      </c>
      <c r="AL28" s="114" t="str">
        <f>_xlfn.IFNA(VLOOKUP($AI28,Programma!$F$3:$I$1101,4,0),"")</f>
        <v>_</v>
      </c>
      <c r="AM28" s="114" t="str">
        <f>_xlfn.IFNA(VLOOKUP($AI28,Programma!$F$3:$J$1101,5,0),"")</f>
        <v>_</v>
      </c>
      <c r="AN28" s="114" t="str">
        <f>_xlfn.IFNA(VLOOKUP($AI28,Programma!$F$3:$K$1101,6,0),"")</f>
        <v>_</v>
      </c>
      <c r="AO28" s="114" t="str">
        <f>_xlfn.IFNA(VLOOKUP($AI28,Programma!$F$3:$L$1101,7,0),"")</f>
        <v>_</v>
      </c>
      <c r="AP28" s="114" t="str">
        <f>_xlfn.IFNA(VLOOKUP($AI28,Programma!$F$3:$M$1101,8,0),"")</f>
        <v>_</v>
      </c>
      <c r="AQ28" s="114" t="str">
        <f>_xlfn.IFNA(VLOOKUP($AI28,Programma!$F$3:$N$1101,9,0),"")</f>
        <v>_</v>
      </c>
      <c r="AR28" s="114" t="str">
        <f>_xlfn.IFNA(VLOOKUP($AI28,Programma!$F$3:$O$1101,10,0),"")</f>
        <v>5w</v>
      </c>
      <c r="AS28" s="114" t="str">
        <f>_xlfn.IFNA(VLOOKUP($AI28,Programma!$F$3:$P$1101,11,0),"")</f>
        <v>5w</v>
      </c>
      <c r="AT28" s="114" t="str">
        <f>_xlfn.IFNA(VLOOKUP($AI28,Programma!$F$3:$Q$1101,12,0),"")</f>
        <v>1w</v>
      </c>
      <c r="AU28" s="114" t="str">
        <f>_xlfn.IFNA(VLOOKUP($AI28,Programma!$F$3:$R$1101,13,0),"")</f>
        <v>1w</v>
      </c>
      <c r="AV28" s="114" t="str">
        <f>_xlfn.IFNA(VLOOKUP($AI28,Programma!$F$3:$S$1101,14,0),"")</f>
        <v>1m</v>
      </c>
      <c r="AW28" s="114" t="str">
        <f>_xlfn.IFNA(VLOOKUP($AI28,Programma!$F$3:$T$1101,15,0),"")</f>
        <v>2j</v>
      </c>
      <c r="AX28" s="114" t="str">
        <f>_xlfn.IFNA(VLOOKUP($AI28,Programma!$F$3:$U$1101,16,0),"")</f>
        <v>1j</v>
      </c>
      <c r="AY28" s="114" t="str">
        <f>_xlfn.IFNA(VLOOKUP($AI28,Programma!$F$3:$V$1101,17,0),"")</f>
        <v>_</v>
      </c>
      <c r="AZ28" s="114" t="str">
        <f>_xlfn.IFNA(VLOOKUP($AI28,Programma!$F$3:$W$1101,18,0),"")</f>
        <v>_</v>
      </c>
      <c r="BA28" s="114" t="str">
        <f>_xlfn.IFNA(VLOOKUP($AI28,Programma!$F$3:$X$1101,19,0),"")</f>
        <v>_</v>
      </c>
      <c r="BB28" s="114" t="str">
        <f>_xlfn.IFNA(VLOOKUP($AI28,Programma!$F$3:$Y$1101,20,0),"")</f>
        <v>_</v>
      </c>
      <c r="BC28" s="111"/>
      <c r="BD28" s="110" t="str">
        <f>IF(Ruimtestaat[[#This Row],[Frequentie weekend]]="","",_xlfn.CONCAT(Ruimtestaat[[#This Row],[Ruimte code]],"-",Ruimtestaat[[#This Row],[Frequentie weekend]]," ",Ruimtestaat[[#This Row],[Vloer code]]))</f>
        <v/>
      </c>
      <c r="BE28" s="114" t="str">
        <f>_xlfn.IFNA(VLOOKUP($BD28,Programma!$F$3:$G$1101,2,0),"")</f>
        <v/>
      </c>
      <c r="BF28" s="114" t="str">
        <f>_xlfn.IFNA(VLOOKUP($BD28,Programma!$F$3:$H$1101,3,0),"")</f>
        <v/>
      </c>
      <c r="BG28" s="114" t="str">
        <f>_xlfn.IFNA(VLOOKUP($BD28,Programma!$F$3:$I$1101,4,0),"")</f>
        <v/>
      </c>
      <c r="BH28" s="114" t="str">
        <f>_xlfn.IFNA(VLOOKUP($BD28,Programma!$F$3:$J$1101,5,0),"")</f>
        <v/>
      </c>
      <c r="BI28" s="114" t="str">
        <f>_xlfn.IFNA(VLOOKUP($BD28,Programma!$F$3:$K$1101,6,0),"")</f>
        <v/>
      </c>
      <c r="BJ28" s="114" t="str">
        <f>_xlfn.IFNA(VLOOKUP($BD28,Programma!$F$3:$L$1101,7,0),"")</f>
        <v/>
      </c>
      <c r="BK28" s="114" t="str">
        <f>_xlfn.IFNA(VLOOKUP($BD28,Programma!$F$3:$M$1101,8,0),"")</f>
        <v/>
      </c>
      <c r="BL28" s="114" t="str">
        <f>_xlfn.IFNA(VLOOKUP($BD28,Programma!$F$3:$N$1101,9,0),"")</f>
        <v/>
      </c>
      <c r="BM28" s="114" t="str">
        <f>_xlfn.IFNA(VLOOKUP($BD28,Programma!$F$3:$O$1101,10,0),"")</f>
        <v/>
      </c>
      <c r="BN28" s="114" t="str">
        <f>_xlfn.IFNA(VLOOKUP($BD28,Programma!$F$3:$P$1101,11,0),"")</f>
        <v/>
      </c>
      <c r="BO28" s="114" t="str">
        <f>_xlfn.IFNA(VLOOKUP($BD28,Programma!$F$3:$Q$1101,12,0),"")</f>
        <v/>
      </c>
      <c r="BP28" s="114" t="str">
        <f>_xlfn.IFNA(VLOOKUP($BD28,Programma!$F$3:$R$1101,13,0),"")</f>
        <v/>
      </c>
      <c r="BQ28" s="114" t="str">
        <f>_xlfn.IFNA(VLOOKUP($BD28,Programma!$F$3:$S$1101,14,0),"")</f>
        <v/>
      </c>
      <c r="BR28" s="114" t="str">
        <f>_xlfn.IFNA(VLOOKUP($BD28,Programma!$F$3:$T$1101,15,0),"")</f>
        <v/>
      </c>
      <c r="BS28" s="114" t="str">
        <f>_xlfn.IFNA(VLOOKUP($BD28,Programma!$F$3:$U$1101,16,0),"")</f>
        <v/>
      </c>
      <c r="BT28" s="114" t="str">
        <f>_xlfn.IFNA(VLOOKUP($BD28,Programma!$F$3:$V$1101,17,0),"")</f>
        <v/>
      </c>
      <c r="BU28" s="114" t="str">
        <f>_xlfn.IFNA(VLOOKUP($BD28,Programma!$F$3:$W$1101,18,0),"")</f>
        <v/>
      </c>
      <c r="BV28" s="114" t="str">
        <f>_xlfn.IFNA(VLOOKUP($BD28,Programma!$F$3:$X$1101,19,0),"")</f>
        <v/>
      </c>
      <c r="BW28" s="114" t="str">
        <f>_xlfn.IFNA(VLOOKUP($BD28,Programma!$F$3:$Y$1101,20,0),"")</f>
        <v/>
      </c>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row>
    <row r="29" spans="1:220" ht="15" customHeight="1">
      <c r="A29" s="73">
        <v>1</v>
      </c>
      <c r="B29" s="105" t="str">
        <f>VLOOKUP(Ruimtestaat[[#This Row],[Code]],Locaties[[Code]:[Locatie]],2,FALSE)</f>
        <v>IKC Kameleon</v>
      </c>
      <c r="C29" s="105" t="str">
        <f>VLOOKUP(Ruimtestaat[[#This Row],[Code]],Locaties[[#All],[Code]:[Adres]],4,FALSE)</f>
        <v>Mondriaanstraat 15</v>
      </c>
      <c r="D29" s="105" t="str">
        <f>VLOOKUP(Ruimtestaat[[#This Row],[Code]],Locaties[[#All],[Code]:[Postcode]],5,FALSE)</f>
        <v>6921 MJ</v>
      </c>
      <c r="E29" s="105" t="str">
        <f>VLOOKUP(Ruimtestaat[[#This Row],[Code]],Locaties[#All],6,FALSE)</f>
        <v>Duiven</v>
      </c>
      <c r="F29" s="73"/>
      <c r="G29" s="73" t="s">
        <v>1645</v>
      </c>
      <c r="H29" s="272"/>
      <c r="I29" s="273" t="s">
        <v>1668</v>
      </c>
      <c r="J29" s="31">
        <v>6</v>
      </c>
      <c r="K29" s="113" t="str">
        <f>VLOOKUP(Ruimtestaat[[#This Row],[Ruimte code]],Ruimtegroepen[[#All],[Code]:[Ruimte omschrijving]],2,FALSE)</f>
        <v>Gangen/hallen</v>
      </c>
      <c r="L29" s="73" t="s">
        <v>99</v>
      </c>
      <c r="M29" s="273" t="s">
        <v>36</v>
      </c>
      <c r="N29" s="106">
        <v>161</v>
      </c>
      <c r="O29" s="73"/>
      <c r="P29" s="73"/>
      <c r="Q29" s="107" t="str">
        <f>VLOOKUP(Ruimtestaat[[#This Row],[Ruimte code]],Ruimtegroepen[],4,FALSE)</f>
        <v>Ve</v>
      </c>
      <c r="R29" s="73">
        <v>40</v>
      </c>
      <c r="S29" s="73" t="s">
        <v>2</v>
      </c>
      <c r="T29" s="73">
        <f>IF(R29&gt;0,IF(RIGHT(Ruimtestaat[[#This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 s="73">
        <f>IF(T29&gt;0,VLOOKUP($J29,Ruimtegroepen[],3,FALSE)*VLOOKUP($L29,Vloersoorten[],3,FALSE)*VLOOKUP($S29,Frequenties[],3,FALSE)*VLOOKUP($A29,Locaties[],3,FALSE),0)</f>
        <v>0</v>
      </c>
      <c r="V29" s="73">
        <f>Ruimtestaat[[#This Row],[Uitvoeringen werkdagen]]*Ruimtestaat[[#This Row],[Oppervlak (netto)]]</f>
        <v>32200</v>
      </c>
      <c r="W29" s="108">
        <f>IF(U29&gt;0,Ruimtestaat[[#This Row],[Prest. (m2 /jaar) werkdagen]]/Ruimtestaat[[#This Row],[Norm (m2/uur) werkdagen]],0)</f>
        <v>0</v>
      </c>
      <c r="X29" s="109">
        <f>Ruimtestaat[[#This Row],[uren / jaar werkdagen]]*Tariefsopbouw!$E$35</f>
        <v>0</v>
      </c>
      <c r="Y29" s="73"/>
      <c r="Z29" s="73">
        <f>IF(Ruimtestaat[[#This Row],[Frequentie weekend]]&gt;0,VALUE(LEFT(Y29,1))*R29,0)</f>
        <v>0</v>
      </c>
      <c r="AA29" s="72">
        <f>IF($Z29&gt;0,VLOOKUP($J29,Ruimtegroepen[],3,FALSE)*VLOOKUP($L29,Vloersoorten[],3,FALSE)*VLOOKUP($Y29,Frequenties[],3,FALSE)*VLOOKUP(Ruimtestaat[[#This Row],[Code]],Locaties[],3,FALSE),0)</f>
        <v>0</v>
      </c>
      <c r="AB29" s="72">
        <f>Ruimtestaat[[#This Row],[Uitvoeringen weekend]]*Ruimtestaat[[#This Row],[Oppervlak (netto)]]</f>
        <v>0</v>
      </c>
      <c r="AC29" s="72">
        <f>IF(AA29&gt;0,Ruimtestaat[[#This Row],[Prest. (m2 /jaar) weekend]]/Ruimtestaat[[#This Row],[Norm (m2/uur) weekend]],0)</f>
        <v>0</v>
      </c>
      <c r="AD29" s="109">
        <f>Ruimtestaat[[#This Row],[uren / jaar weekend]]*Tariefsopbouw!$D$40</f>
        <v>0</v>
      </c>
      <c r="AE29" s="108">
        <f>Ruimtestaat[[#This Row],[Prest. (m2 /jaar) weekend]]+Ruimtestaat[[#This Row],[Prest. (m2 /jaar) werkdagen]]</f>
        <v>32200</v>
      </c>
      <c r="AF29" s="108">
        <f>Ruimtestaat[[#This Row],[uren / jaar weekend]]+Ruimtestaat[[#This Row],[uren / jaar werkdagen]]</f>
        <v>0</v>
      </c>
      <c r="AG29" s="103">
        <f>Ruimtestaat[[#This Row],[kosten / jaar weekend]]+Ruimtestaat[[#This Row],[kosten / jaar werkdagen]]</f>
        <v>0</v>
      </c>
      <c r="AH29" s="103"/>
      <c r="AI29" s="110" t="str">
        <f>IF(Ruimtestaat[[#This Row],[Frequentie werkdagen]]="","",_xlfn.CONCAT(Ruimtestaat[[#This Row],[Ruimte code]],"-",Ruimtestaat[[#This Row],[Frequentie werkdagen]]," ",Ruimtestaat[[#This Row],[Vloer code]]))</f>
        <v>6-5w T</v>
      </c>
      <c r="AJ29" s="114" t="str">
        <f>_xlfn.IFNA(VLOOKUP($AI29,Programma!$F$3:$G$1101,2,0),"")</f>
        <v>_</v>
      </c>
      <c r="AK29" s="114" t="str">
        <f>_xlfn.IFNA(VLOOKUP($AI29,Programma!$F$3:$H$1101,3,0),"")</f>
        <v>5w</v>
      </c>
      <c r="AL29" s="114" t="str">
        <f>_xlfn.IFNA(VLOOKUP($AI29,Programma!$F$3:$I$1101,4,0),"")</f>
        <v>_</v>
      </c>
      <c r="AM29" s="114" t="str">
        <f>_xlfn.IFNA(VLOOKUP($AI29,Programma!$F$3:$J$1101,5,0),"")</f>
        <v>_</v>
      </c>
      <c r="AN29" s="114" t="str">
        <f>_xlfn.IFNA(VLOOKUP($AI29,Programma!$F$3:$K$1101,6,0),"")</f>
        <v>_</v>
      </c>
      <c r="AO29" s="114" t="str">
        <f>_xlfn.IFNA(VLOOKUP($AI29,Programma!$F$3:$L$1101,7,0),"")</f>
        <v>_</v>
      </c>
      <c r="AP29" s="114" t="str">
        <f>_xlfn.IFNA(VLOOKUP($AI29,Programma!$F$3:$M$1101,8,0),"")</f>
        <v>_</v>
      </c>
      <c r="AQ29" s="114" t="str">
        <f>_xlfn.IFNA(VLOOKUP($AI29,Programma!$F$3:$N$1101,9,0),"")</f>
        <v>_</v>
      </c>
      <c r="AR29" s="114" t="str">
        <f>_xlfn.IFNA(VLOOKUP($AI29,Programma!$F$3:$O$1101,10,0),"")</f>
        <v>5w</v>
      </c>
      <c r="AS29" s="114" t="str">
        <f>_xlfn.IFNA(VLOOKUP($AI29,Programma!$F$3:$P$1101,11,0),"")</f>
        <v>5w</v>
      </c>
      <c r="AT29" s="114" t="str">
        <f>_xlfn.IFNA(VLOOKUP($AI29,Programma!$F$3:$Q$1101,12,0),"")</f>
        <v>1w</v>
      </c>
      <c r="AU29" s="114" t="str">
        <f>_xlfn.IFNA(VLOOKUP($AI29,Programma!$F$3:$R$1101,13,0),"")</f>
        <v>1w</v>
      </c>
      <c r="AV29" s="114" t="str">
        <f>_xlfn.IFNA(VLOOKUP($AI29,Programma!$F$3:$S$1101,14,0),"")</f>
        <v>1m</v>
      </c>
      <c r="AW29" s="114" t="str">
        <f>_xlfn.IFNA(VLOOKUP($AI29,Programma!$F$3:$T$1101,15,0),"")</f>
        <v>2j</v>
      </c>
      <c r="AX29" s="114" t="str">
        <f>_xlfn.IFNA(VLOOKUP($AI29,Programma!$F$3:$U$1101,16,0),"")</f>
        <v>1j</v>
      </c>
      <c r="AY29" s="114" t="str">
        <f>_xlfn.IFNA(VLOOKUP($AI29,Programma!$F$3:$V$1101,17,0),"")</f>
        <v>_</v>
      </c>
      <c r="AZ29" s="114" t="str">
        <f>_xlfn.IFNA(VLOOKUP($AI29,Programma!$F$3:$W$1101,18,0),"")</f>
        <v>_</v>
      </c>
      <c r="BA29" s="114" t="str">
        <f>_xlfn.IFNA(VLOOKUP($AI29,Programma!$F$3:$X$1101,19,0),"")</f>
        <v>_</v>
      </c>
      <c r="BB29" s="114" t="str">
        <f>_xlfn.IFNA(VLOOKUP($AI29,Programma!$F$3:$Y$1101,20,0),"")</f>
        <v>_</v>
      </c>
      <c r="BC29" s="111"/>
      <c r="BD29" s="110" t="str">
        <f>IF(Ruimtestaat[[#This Row],[Frequentie weekend]]="","",_xlfn.CONCAT(Ruimtestaat[[#This Row],[Ruimte code]],"-",Ruimtestaat[[#This Row],[Frequentie weekend]]," ",Ruimtestaat[[#This Row],[Vloer code]]))</f>
        <v/>
      </c>
      <c r="BE29" s="114" t="str">
        <f>_xlfn.IFNA(VLOOKUP($BD29,Programma!$F$3:$G$1101,2,0),"")</f>
        <v/>
      </c>
      <c r="BF29" s="114" t="str">
        <f>_xlfn.IFNA(VLOOKUP($BD29,Programma!$F$3:$H$1101,3,0),"")</f>
        <v/>
      </c>
      <c r="BG29" s="114" t="str">
        <f>_xlfn.IFNA(VLOOKUP($BD29,Programma!$F$3:$I$1101,4,0),"")</f>
        <v/>
      </c>
      <c r="BH29" s="114" t="str">
        <f>_xlfn.IFNA(VLOOKUP($BD29,Programma!$F$3:$J$1101,5,0),"")</f>
        <v/>
      </c>
      <c r="BI29" s="114" t="str">
        <f>_xlfn.IFNA(VLOOKUP($BD29,Programma!$F$3:$K$1101,6,0),"")</f>
        <v/>
      </c>
      <c r="BJ29" s="114" t="str">
        <f>_xlfn.IFNA(VLOOKUP($BD29,Programma!$F$3:$L$1101,7,0),"")</f>
        <v/>
      </c>
      <c r="BK29" s="114" t="str">
        <f>_xlfn.IFNA(VLOOKUP($BD29,Programma!$F$3:$M$1101,8,0),"")</f>
        <v/>
      </c>
      <c r="BL29" s="114" t="str">
        <f>_xlfn.IFNA(VLOOKUP($BD29,Programma!$F$3:$N$1101,9,0),"")</f>
        <v/>
      </c>
      <c r="BM29" s="114" t="str">
        <f>_xlfn.IFNA(VLOOKUP($BD29,Programma!$F$3:$O$1101,10,0),"")</f>
        <v/>
      </c>
      <c r="BN29" s="114" t="str">
        <f>_xlfn.IFNA(VLOOKUP($BD29,Programma!$F$3:$P$1101,11,0),"")</f>
        <v/>
      </c>
      <c r="BO29" s="114" t="str">
        <f>_xlfn.IFNA(VLOOKUP($BD29,Programma!$F$3:$Q$1101,12,0),"")</f>
        <v/>
      </c>
      <c r="BP29" s="114" t="str">
        <f>_xlfn.IFNA(VLOOKUP($BD29,Programma!$F$3:$R$1101,13,0),"")</f>
        <v/>
      </c>
      <c r="BQ29" s="114" t="str">
        <f>_xlfn.IFNA(VLOOKUP($BD29,Programma!$F$3:$S$1101,14,0),"")</f>
        <v/>
      </c>
      <c r="BR29" s="114" t="str">
        <f>_xlfn.IFNA(VLOOKUP($BD29,Programma!$F$3:$T$1101,15,0),"")</f>
        <v/>
      </c>
      <c r="BS29" s="114" t="str">
        <f>_xlfn.IFNA(VLOOKUP($BD29,Programma!$F$3:$U$1101,16,0),"")</f>
        <v/>
      </c>
      <c r="BT29" s="114" t="str">
        <f>_xlfn.IFNA(VLOOKUP($BD29,Programma!$F$3:$V$1101,17,0),"")</f>
        <v/>
      </c>
      <c r="BU29" s="114" t="str">
        <f>_xlfn.IFNA(VLOOKUP($BD29,Programma!$F$3:$W$1101,18,0),"")</f>
        <v/>
      </c>
      <c r="BV29" s="114" t="str">
        <f>_xlfn.IFNA(VLOOKUP($BD29,Programma!$F$3:$X$1101,19,0),"")</f>
        <v/>
      </c>
      <c r="BW29" s="114" t="str">
        <f>_xlfn.IFNA(VLOOKUP($BD29,Programma!$F$3:$Y$1101,20,0),"")</f>
        <v/>
      </c>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row>
    <row r="30" spans="1:220" ht="15" customHeight="1">
      <c r="A30" s="73">
        <v>1</v>
      </c>
      <c r="B30" s="105" t="str">
        <f>VLOOKUP(Ruimtestaat[[#This Row],[Code]],Locaties[[Code]:[Locatie]],2,FALSE)</f>
        <v>IKC Kameleon</v>
      </c>
      <c r="C30" s="105" t="str">
        <f>VLOOKUP(Ruimtestaat[[#This Row],[Code]],Locaties[[#All],[Code]:[Adres]],4,FALSE)</f>
        <v>Mondriaanstraat 15</v>
      </c>
      <c r="D30" s="105" t="str">
        <f>VLOOKUP(Ruimtestaat[[#This Row],[Code]],Locaties[[#All],[Code]:[Postcode]],5,FALSE)</f>
        <v>6921 MJ</v>
      </c>
      <c r="E30" s="105" t="str">
        <f>VLOOKUP(Ruimtestaat[[#This Row],[Code]],Locaties[#All],6,FALSE)</f>
        <v>Duiven</v>
      </c>
      <c r="F30" s="73"/>
      <c r="G30" s="73" t="s">
        <v>1645</v>
      </c>
      <c r="H30" s="272"/>
      <c r="I30" s="273" t="s">
        <v>1668</v>
      </c>
      <c r="J30" s="31">
        <v>6</v>
      </c>
      <c r="K30" s="113" t="str">
        <f>VLOOKUP(Ruimtestaat[[#This Row],[Ruimte code]],Ruimtegroepen[[#All],[Code]:[Ruimte omschrijving]],2,FALSE)</f>
        <v>Gangen/hallen</v>
      </c>
      <c r="L30" s="73" t="s">
        <v>100</v>
      </c>
      <c r="M30" s="273" t="s">
        <v>1975</v>
      </c>
      <c r="N30" s="106">
        <v>64</v>
      </c>
      <c r="O30" s="112"/>
      <c r="P30" s="112"/>
      <c r="Q30" s="107" t="str">
        <f>VLOOKUP(Ruimtestaat[[#This Row],[Ruimte code]],Ruimtegroepen[],4,FALSE)</f>
        <v>Ve</v>
      </c>
      <c r="R30" s="73">
        <v>40</v>
      </c>
      <c r="S30" s="73" t="s">
        <v>2</v>
      </c>
      <c r="T30" s="73">
        <f>IF(R30&gt;0,IF(RIGHT(Ruimtestaat[[#This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 s="73">
        <f>IF(T30&gt;0,VLOOKUP($J30,Ruimtegroepen[],3,FALSE)*VLOOKUP($L30,Vloersoorten[],3,FALSE)*VLOOKUP($S30,Frequenties[],3,FALSE)*VLOOKUP($A30,Locaties[],3,FALSE),0)</f>
        <v>0</v>
      </c>
      <c r="V30" s="73">
        <f>Ruimtestaat[[#This Row],[Uitvoeringen werkdagen]]*Ruimtestaat[[#This Row],[Oppervlak (netto)]]</f>
        <v>12800</v>
      </c>
      <c r="W30" s="108">
        <f>IF(U30&gt;0,Ruimtestaat[[#This Row],[Prest. (m2 /jaar) werkdagen]]/Ruimtestaat[[#This Row],[Norm (m2/uur) werkdagen]],0)</f>
        <v>0</v>
      </c>
      <c r="X30" s="109">
        <f>Ruimtestaat[[#This Row],[uren / jaar werkdagen]]*Tariefsopbouw!$E$35</f>
        <v>0</v>
      </c>
      <c r="Y30" s="73"/>
      <c r="Z30" s="73">
        <f>IF(Ruimtestaat[[#This Row],[Frequentie weekend]]&gt;0,VALUE(LEFT(Y30,1))*R30,0)</f>
        <v>0</v>
      </c>
      <c r="AA30" s="72">
        <f>IF($Z30&gt;0,VLOOKUP($J30,Ruimtegroepen[],3,FALSE)*VLOOKUP($L30,Vloersoorten[],3,FALSE)*VLOOKUP($Y30,Frequenties[],3,FALSE)*VLOOKUP(Ruimtestaat[[#This Row],[Code]],Locaties[],3,FALSE),0)</f>
        <v>0</v>
      </c>
      <c r="AB30" s="72">
        <f>Ruimtestaat[[#This Row],[Uitvoeringen weekend]]*Ruimtestaat[[#This Row],[Oppervlak (netto)]]</f>
        <v>0</v>
      </c>
      <c r="AC30" s="72">
        <f>IF(AA30&gt;0,Ruimtestaat[[#This Row],[Prest. (m2 /jaar) weekend]]/Ruimtestaat[[#This Row],[Norm (m2/uur) weekend]],0)</f>
        <v>0</v>
      </c>
      <c r="AD30" s="109">
        <f>Ruimtestaat[[#This Row],[uren / jaar weekend]]*Tariefsopbouw!$D$40</f>
        <v>0</v>
      </c>
      <c r="AE30" s="108">
        <f>Ruimtestaat[[#This Row],[Prest. (m2 /jaar) weekend]]+Ruimtestaat[[#This Row],[Prest. (m2 /jaar) werkdagen]]</f>
        <v>12800</v>
      </c>
      <c r="AF30" s="108">
        <f>Ruimtestaat[[#This Row],[uren / jaar weekend]]+Ruimtestaat[[#This Row],[uren / jaar werkdagen]]</f>
        <v>0</v>
      </c>
      <c r="AG30" s="103">
        <f>Ruimtestaat[[#This Row],[kosten / jaar weekend]]+Ruimtestaat[[#This Row],[kosten / jaar werkdagen]]</f>
        <v>0</v>
      </c>
      <c r="AH30" s="103"/>
      <c r="AI30" s="110" t="str">
        <f>IF(Ruimtestaat[[#This Row],[Frequentie werkdagen]]="","",_xlfn.CONCAT(Ruimtestaat[[#This Row],[Ruimte code]],"-",Ruimtestaat[[#This Row],[Frequentie werkdagen]]," ",Ruimtestaat[[#This Row],[Vloer code]]))</f>
        <v>6-5w L</v>
      </c>
      <c r="AJ30" s="114" t="str">
        <f>_xlfn.IFNA(VLOOKUP($AI30,Programma!$F$3:$G$1101,2,0),"")</f>
        <v>_</v>
      </c>
      <c r="AK30" s="114" t="str">
        <f>_xlfn.IFNA(VLOOKUP($AI30,Programma!$F$3:$H$1101,3,0),"")</f>
        <v>_</v>
      </c>
      <c r="AL30" s="114" t="str">
        <f>_xlfn.IFNA(VLOOKUP($AI30,Programma!$F$3:$I$1101,4,0),"")</f>
        <v>_</v>
      </c>
      <c r="AM30" s="114" t="str">
        <f>_xlfn.IFNA(VLOOKUP($AI30,Programma!$F$3:$J$1101,5,0),"")</f>
        <v>5w</v>
      </c>
      <c r="AN30" s="114" t="str">
        <f>_xlfn.IFNA(VLOOKUP($AI30,Programma!$F$3:$K$1101,6,0),"")</f>
        <v>_</v>
      </c>
      <c r="AO30" s="114" t="str">
        <f>_xlfn.IFNA(VLOOKUP($AI30,Programma!$F$3:$L$1101,7,0),"")</f>
        <v>_</v>
      </c>
      <c r="AP30" s="114" t="str">
        <f>_xlfn.IFNA(VLOOKUP($AI30,Programma!$F$3:$M$1101,8,0),"")</f>
        <v>_</v>
      </c>
      <c r="AQ30" s="114" t="str">
        <f>_xlfn.IFNA(VLOOKUP($AI30,Programma!$F$3:$N$1101,9,0),"")</f>
        <v>_</v>
      </c>
      <c r="AR30" s="114" t="str">
        <f>_xlfn.IFNA(VLOOKUP($AI30,Programma!$F$3:$O$1101,10,0),"")</f>
        <v>5w</v>
      </c>
      <c r="AS30" s="114" t="str">
        <f>_xlfn.IFNA(VLOOKUP($AI30,Programma!$F$3:$P$1101,11,0),"")</f>
        <v>5w</v>
      </c>
      <c r="AT30" s="114" t="str">
        <f>_xlfn.IFNA(VLOOKUP($AI30,Programma!$F$3:$Q$1101,12,0),"")</f>
        <v>1w</v>
      </c>
      <c r="AU30" s="114" t="str">
        <f>_xlfn.IFNA(VLOOKUP($AI30,Programma!$F$3:$R$1101,13,0),"")</f>
        <v>1w</v>
      </c>
      <c r="AV30" s="114" t="str">
        <f>_xlfn.IFNA(VLOOKUP($AI30,Programma!$F$3:$S$1101,14,0),"")</f>
        <v>1m</v>
      </c>
      <c r="AW30" s="114" t="str">
        <f>_xlfn.IFNA(VLOOKUP($AI30,Programma!$F$3:$T$1101,15,0),"")</f>
        <v>2j</v>
      </c>
      <c r="AX30" s="114" t="str">
        <f>_xlfn.IFNA(VLOOKUP($AI30,Programma!$F$3:$U$1101,16,0),"")</f>
        <v>1j</v>
      </c>
      <c r="AY30" s="114" t="str">
        <f>_xlfn.IFNA(VLOOKUP($AI30,Programma!$F$3:$V$1101,17,0),"")</f>
        <v>_</v>
      </c>
      <c r="AZ30" s="114" t="str">
        <f>_xlfn.IFNA(VLOOKUP($AI30,Programma!$F$3:$W$1101,18,0),"")</f>
        <v>_</v>
      </c>
      <c r="BA30" s="114" t="str">
        <f>_xlfn.IFNA(VLOOKUP($AI30,Programma!$F$3:$X$1101,19,0),"")</f>
        <v>_</v>
      </c>
      <c r="BB30" s="114" t="str">
        <f>_xlfn.IFNA(VLOOKUP($AI30,Programma!$F$3:$Y$1101,20,0),"")</f>
        <v>_</v>
      </c>
      <c r="BC30" s="111"/>
      <c r="BD30" s="110" t="str">
        <f>IF(Ruimtestaat[[#This Row],[Frequentie weekend]]="","",_xlfn.CONCAT(Ruimtestaat[[#This Row],[Ruimte code]],"-",Ruimtestaat[[#This Row],[Frequentie weekend]]," ",Ruimtestaat[[#This Row],[Vloer code]]))</f>
        <v/>
      </c>
      <c r="BE30" s="114" t="str">
        <f>_xlfn.IFNA(VLOOKUP($BD30,Programma!$F$3:$G$1101,2,0),"")</f>
        <v/>
      </c>
      <c r="BF30" s="114" t="str">
        <f>_xlfn.IFNA(VLOOKUP($BD30,Programma!$F$3:$H$1101,3,0),"")</f>
        <v/>
      </c>
      <c r="BG30" s="114" t="str">
        <f>_xlfn.IFNA(VLOOKUP($BD30,Programma!$F$3:$I$1101,4,0),"")</f>
        <v/>
      </c>
      <c r="BH30" s="114" t="str">
        <f>_xlfn.IFNA(VLOOKUP($BD30,Programma!$F$3:$J$1101,5,0),"")</f>
        <v/>
      </c>
      <c r="BI30" s="114" t="str">
        <f>_xlfn.IFNA(VLOOKUP($BD30,Programma!$F$3:$K$1101,6,0),"")</f>
        <v/>
      </c>
      <c r="BJ30" s="114" t="str">
        <f>_xlfn.IFNA(VLOOKUP($BD30,Programma!$F$3:$L$1101,7,0),"")</f>
        <v/>
      </c>
      <c r="BK30" s="114" t="str">
        <f>_xlfn.IFNA(VLOOKUP($BD30,Programma!$F$3:$M$1101,8,0),"")</f>
        <v/>
      </c>
      <c r="BL30" s="114" t="str">
        <f>_xlfn.IFNA(VLOOKUP($BD30,Programma!$F$3:$N$1101,9,0),"")</f>
        <v/>
      </c>
      <c r="BM30" s="114" t="str">
        <f>_xlfn.IFNA(VLOOKUP($BD30,Programma!$F$3:$O$1101,10,0),"")</f>
        <v/>
      </c>
      <c r="BN30" s="114" t="str">
        <f>_xlfn.IFNA(VLOOKUP($BD30,Programma!$F$3:$P$1101,11,0),"")</f>
        <v/>
      </c>
      <c r="BO30" s="114" t="str">
        <f>_xlfn.IFNA(VLOOKUP($BD30,Programma!$F$3:$Q$1101,12,0),"")</f>
        <v/>
      </c>
      <c r="BP30" s="114" t="str">
        <f>_xlfn.IFNA(VLOOKUP($BD30,Programma!$F$3:$R$1101,13,0),"")</f>
        <v/>
      </c>
      <c r="BQ30" s="114" t="str">
        <f>_xlfn.IFNA(VLOOKUP($BD30,Programma!$F$3:$S$1101,14,0),"")</f>
        <v/>
      </c>
      <c r="BR30" s="114" t="str">
        <f>_xlfn.IFNA(VLOOKUP($BD30,Programma!$F$3:$T$1101,15,0),"")</f>
        <v/>
      </c>
      <c r="BS30" s="114" t="str">
        <f>_xlfn.IFNA(VLOOKUP($BD30,Programma!$F$3:$U$1101,16,0),"")</f>
        <v/>
      </c>
      <c r="BT30" s="114" t="str">
        <f>_xlfn.IFNA(VLOOKUP($BD30,Programma!$F$3:$V$1101,17,0),"")</f>
        <v/>
      </c>
      <c r="BU30" s="114" t="str">
        <f>_xlfn.IFNA(VLOOKUP($BD30,Programma!$F$3:$W$1101,18,0),"")</f>
        <v/>
      </c>
      <c r="BV30" s="114" t="str">
        <f>_xlfn.IFNA(VLOOKUP($BD30,Programma!$F$3:$X$1101,19,0),"")</f>
        <v/>
      </c>
      <c r="BW30" s="114" t="str">
        <f>_xlfn.IFNA(VLOOKUP($BD30,Programma!$F$3:$Y$1101,20,0),"")</f>
        <v/>
      </c>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row>
    <row r="31" spans="1:220" ht="15" customHeight="1">
      <c r="A31" s="73">
        <v>1</v>
      </c>
      <c r="B31" s="105" t="str">
        <f>VLOOKUP(Ruimtestaat[[#This Row],[Code]],Locaties[[Code]:[Locatie]],2,FALSE)</f>
        <v>IKC Kameleon</v>
      </c>
      <c r="C31" s="105" t="str">
        <f>VLOOKUP(Ruimtestaat[[#This Row],[Code]],Locaties[[#All],[Code]:[Adres]],4,FALSE)</f>
        <v>Mondriaanstraat 15</v>
      </c>
      <c r="D31" s="105" t="str">
        <f>VLOOKUP(Ruimtestaat[[#This Row],[Code]],Locaties[[#All],[Code]:[Postcode]],5,FALSE)</f>
        <v>6921 MJ</v>
      </c>
      <c r="E31" s="105" t="str">
        <f>VLOOKUP(Ruimtestaat[[#This Row],[Code]],Locaties[#All],6,FALSE)</f>
        <v>Duiven</v>
      </c>
      <c r="F31" s="73"/>
      <c r="G31" s="73" t="s">
        <v>1645</v>
      </c>
      <c r="H31" s="272"/>
      <c r="I31" s="273" t="s">
        <v>1986</v>
      </c>
      <c r="J31" s="31">
        <v>2</v>
      </c>
      <c r="K31" s="113" t="str">
        <f>VLOOKUP(Ruimtestaat[[#This Row],[Ruimte code]],Ruimtegroepen[[#All],[Code]:[Ruimte omschrijving]],2,FALSE)</f>
        <v>Kantoren</v>
      </c>
      <c r="L31" s="73" t="s">
        <v>99</v>
      </c>
      <c r="M31" s="273" t="s">
        <v>36</v>
      </c>
      <c r="N31" s="106">
        <v>4</v>
      </c>
      <c r="O31" s="112"/>
      <c r="P31" s="112"/>
      <c r="Q31" s="107" t="str">
        <f>VLOOKUP(Ruimtestaat[[#This Row],[Ruimte code]],Ruimtegroepen[],4,FALSE)</f>
        <v>Bu</v>
      </c>
      <c r="R31" s="73">
        <v>40</v>
      </c>
      <c r="S31" s="73" t="s">
        <v>15</v>
      </c>
      <c r="T31" s="73">
        <f>IF(R31&gt;0,IF(RIGHT(Ruimtestaat[[#This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1" s="73">
        <f>IF(T31&gt;0,VLOOKUP($J31,Ruimtegroepen[],3,FALSE)*VLOOKUP($L31,Vloersoorten[],3,FALSE)*VLOOKUP($S31,Frequenties[],3,FALSE)*VLOOKUP($A31,Locaties[],3,FALSE),0)</f>
        <v>0</v>
      </c>
      <c r="V31" s="73">
        <f>Ruimtestaat[[#This Row],[Uitvoeringen werkdagen]]*Ruimtestaat[[#This Row],[Oppervlak (netto)]]</f>
        <v>160</v>
      </c>
      <c r="W31" s="108">
        <f>IF(U31&gt;0,Ruimtestaat[[#This Row],[Prest. (m2 /jaar) werkdagen]]/Ruimtestaat[[#This Row],[Norm (m2/uur) werkdagen]],0)</f>
        <v>0</v>
      </c>
      <c r="X31" s="109">
        <f>Ruimtestaat[[#This Row],[uren / jaar werkdagen]]*Tariefsopbouw!$E$35</f>
        <v>0</v>
      </c>
      <c r="Y31" s="73"/>
      <c r="Z31" s="73">
        <f>IF(Ruimtestaat[[#This Row],[Frequentie weekend]]&gt;0,VALUE(LEFT(Y31,1))*R31,0)</f>
        <v>0</v>
      </c>
      <c r="AA31" s="72">
        <f>IF($Z31&gt;0,VLOOKUP($J31,Ruimtegroepen[],3,FALSE)*VLOOKUP($L31,Vloersoorten[],3,FALSE)*VLOOKUP($Y31,Frequenties[],3,FALSE)*VLOOKUP(Ruimtestaat[[#This Row],[Code]],Locaties[],3,FALSE),0)</f>
        <v>0</v>
      </c>
      <c r="AB31" s="72">
        <f>Ruimtestaat[[#This Row],[Uitvoeringen weekend]]*Ruimtestaat[[#This Row],[Oppervlak (netto)]]</f>
        <v>0</v>
      </c>
      <c r="AC31" s="72">
        <f>IF(AA31&gt;0,Ruimtestaat[[#This Row],[Prest. (m2 /jaar) weekend]]/Ruimtestaat[[#This Row],[Norm (m2/uur) weekend]],0)</f>
        <v>0</v>
      </c>
      <c r="AD31" s="109">
        <f>Ruimtestaat[[#This Row],[uren / jaar weekend]]*Tariefsopbouw!$D$40</f>
        <v>0</v>
      </c>
      <c r="AE31" s="108">
        <f>Ruimtestaat[[#This Row],[Prest. (m2 /jaar) weekend]]+Ruimtestaat[[#This Row],[Prest. (m2 /jaar) werkdagen]]</f>
        <v>160</v>
      </c>
      <c r="AF31" s="108">
        <f>Ruimtestaat[[#This Row],[uren / jaar weekend]]+Ruimtestaat[[#This Row],[uren / jaar werkdagen]]</f>
        <v>0</v>
      </c>
      <c r="AG31" s="103">
        <f>Ruimtestaat[[#This Row],[kosten / jaar weekend]]+Ruimtestaat[[#This Row],[kosten / jaar werkdagen]]</f>
        <v>0</v>
      </c>
      <c r="AH31" s="103"/>
      <c r="AI31" s="110" t="str">
        <f>IF(Ruimtestaat[[#This Row],[Frequentie werkdagen]]="","",_xlfn.CONCAT(Ruimtestaat[[#This Row],[Ruimte code]],"-",Ruimtestaat[[#This Row],[Frequentie werkdagen]]," ",Ruimtestaat[[#This Row],[Vloer code]]))</f>
        <v>2-1w T</v>
      </c>
      <c r="AJ31" s="114" t="str">
        <f>_xlfn.IFNA(VLOOKUP($AI31,Programma!$F$3:$G$1101,2,0),"")</f>
        <v>_</v>
      </c>
      <c r="AK31" s="114" t="str">
        <f>_xlfn.IFNA(VLOOKUP($AI31,Programma!$F$3:$H$1101,3,0),"")</f>
        <v>1w</v>
      </c>
      <c r="AL31" s="114" t="str">
        <f>_xlfn.IFNA(VLOOKUP($AI31,Programma!$F$3:$I$1101,4,0),"")</f>
        <v>_</v>
      </c>
      <c r="AM31" s="114" t="str">
        <f>_xlfn.IFNA(VLOOKUP($AI31,Programma!$F$3:$J$1101,5,0),"")</f>
        <v>_</v>
      </c>
      <c r="AN31" s="114" t="str">
        <f>_xlfn.IFNA(VLOOKUP($AI31,Programma!$F$3:$K$1101,6,0),"")</f>
        <v>_</v>
      </c>
      <c r="AO31" s="114" t="str">
        <f>_xlfn.IFNA(VLOOKUP($AI31,Programma!$F$3:$L$1101,7,0),"")</f>
        <v>_</v>
      </c>
      <c r="AP31" s="114" t="str">
        <f>_xlfn.IFNA(VLOOKUP($AI31,Programma!$F$3:$M$1101,8,0),"")</f>
        <v>_</v>
      </c>
      <c r="AQ31" s="114" t="str">
        <f>_xlfn.IFNA(VLOOKUP($AI31,Programma!$F$3:$N$1101,9,0),"")</f>
        <v>_</v>
      </c>
      <c r="AR31" s="114" t="str">
        <f>_xlfn.IFNA(VLOOKUP($AI31,Programma!$F$3:$O$1101,10,0),"")</f>
        <v>1w</v>
      </c>
      <c r="AS31" s="114" t="str">
        <f>_xlfn.IFNA(VLOOKUP($AI31,Programma!$F$3:$P$1101,11,0),"")</f>
        <v>1w</v>
      </c>
      <c r="AT31" s="114" t="str">
        <f>_xlfn.IFNA(VLOOKUP($AI31,Programma!$F$3:$Q$1101,12,0),"")</f>
        <v>1w</v>
      </c>
      <c r="AU31" s="114" t="str">
        <f>_xlfn.IFNA(VLOOKUP($AI31,Programma!$F$3:$R$1101,13,0),"")</f>
        <v>1w</v>
      </c>
      <c r="AV31" s="114" t="str">
        <f>_xlfn.IFNA(VLOOKUP($AI31,Programma!$F$3:$S$1101,14,0),"")</f>
        <v>1m</v>
      </c>
      <c r="AW31" s="114" t="str">
        <f>_xlfn.IFNA(VLOOKUP($AI31,Programma!$F$3:$T$1101,15,0),"")</f>
        <v>2j</v>
      </c>
      <c r="AX31" s="114" t="str">
        <f>_xlfn.IFNA(VLOOKUP($AI31,Programma!$F$3:$U$1101,16,0),"")</f>
        <v>1j</v>
      </c>
      <c r="AY31" s="114" t="str">
        <f>_xlfn.IFNA(VLOOKUP($AI31,Programma!$F$3:$V$1101,17,0),"")</f>
        <v>_</v>
      </c>
      <c r="AZ31" s="114" t="str">
        <f>_xlfn.IFNA(VLOOKUP($AI31,Programma!$F$3:$W$1101,18,0),"")</f>
        <v>_</v>
      </c>
      <c r="BA31" s="114" t="str">
        <f>_xlfn.IFNA(VLOOKUP($AI31,Programma!$F$3:$X$1101,19,0),"")</f>
        <v>_</v>
      </c>
      <c r="BB31" s="114" t="str">
        <f>_xlfn.IFNA(VLOOKUP($AI31,Programma!$F$3:$Y$1101,20,0),"")</f>
        <v>_</v>
      </c>
      <c r="BC31" s="111"/>
      <c r="BD31" s="110" t="str">
        <f>IF(Ruimtestaat[[#This Row],[Frequentie weekend]]="","",_xlfn.CONCAT(Ruimtestaat[[#This Row],[Ruimte code]],"-",Ruimtestaat[[#This Row],[Frequentie weekend]]," ",Ruimtestaat[[#This Row],[Vloer code]]))</f>
        <v/>
      </c>
      <c r="BE31" s="114" t="str">
        <f>_xlfn.IFNA(VLOOKUP($BD31,Programma!$F$3:$G$1101,2,0),"")</f>
        <v/>
      </c>
      <c r="BF31" s="114" t="str">
        <f>_xlfn.IFNA(VLOOKUP($BD31,Programma!$F$3:$H$1101,3,0),"")</f>
        <v/>
      </c>
      <c r="BG31" s="114" t="str">
        <f>_xlfn.IFNA(VLOOKUP($BD31,Programma!$F$3:$I$1101,4,0),"")</f>
        <v/>
      </c>
      <c r="BH31" s="114" t="str">
        <f>_xlfn.IFNA(VLOOKUP($BD31,Programma!$F$3:$J$1101,5,0),"")</f>
        <v/>
      </c>
      <c r="BI31" s="114" t="str">
        <f>_xlfn.IFNA(VLOOKUP($BD31,Programma!$F$3:$K$1101,6,0),"")</f>
        <v/>
      </c>
      <c r="BJ31" s="114" t="str">
        <f>_xlfn.IFNA(VLOOKUP($BD31,Programma!$F$3:$L$1101,7,0),"")</f>
        <v/>
      </c>
      <c r="BK31" s="114" t="str">
        <f>_xlfn.IFNA(VLOOKUP($BD31,Programma!$F$3:$M$1101,8,0),"")</f>
        <v/>
      </c>
      <c r="BL31" s="114" t="str">
        <f>_xlfn.IFNA(VLOOKUP($BD31,Programma!$F$3:$N$1101,9,0),"")</f>
        <v/>
      </c>
      <c r="BM31" s="114" t="str">
        <f>_xlfn.IFNA(VLOOKUP($BD31,Programma!$F$3:$O$1101,10,0),"")</f>
        <v/>
      </c>
      <c r="BN31" s="114" t="str">
        <f>_xlfn.IFNA(VLOOKUP($BD31,Programma!$F$3:$P$1101,11,0),"")</f>
        <v/>
      </c>
      <c r="BO31" s="114" t="str">
        <f>_xlfn.IFNA(VLOOKUP($BD31,Programma!$F$3:$Q$1101,12,0),"")</f>
        <v/>
      </c>
      <c r="BP31" s="114" t="str">
        <f>_xlfn.IFNA(VLOOKUP($BD31,Programma!$F$3:$R$1101,13,0),"")</f>
        <v/>
      </c>
      <c r="BQ31" s="114" t="str">
        <f>_xlfn.IFNA(VLOOKUP($BD31,Programma!$F$3:$S$1101,14,0),"")</f>
        <v/>
      </c>
      <c r="BR31" s="114" t="str">
        <f>_xlfn.IFNA(VLOOKUP($BD31,Programma!$F$3:$T$1101,15,0),"")</f>
        <v/>
      </c>
      <c r="BS31" s="114" t="str">
        <f>_xlfn.IFNA(VLOOKUP($BD31,Programma!$F$3:$U$1101,16,0),"")</f>
        <v/>
      </c>
      <c r="BT31" s="114" t="str">
        <f>_xlfn.IFNA(VLOOKUP($BD31,Programma!$F$3:$V$1101,17,0),"")</f>
        <v/>
      </c>
      <c r="BU31" s="114" t="str">
        <f>_xlfn.IFNA(VLOOKUP($BD31,Programma!$F$3:$W$1101,18,0),"")</f>
        <v/>
      </c>
      <c r="BV31" s="114" t="str">
        <f>_xlfn.IFNA(VLOOKUP($BD31,Programma!$F$3:$X$1101,19,0),"")</f>
        <v/>
      </c>
      <c r="BW31" s="114" t="str">
        <f>_xlfn.IFNA(VLOOKUP($BD31,Programma!$F$3:$Y$1101,20,0),"")</f>
        <v/>
      </c>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row>
    <row r="32" spans="1:220" ht="15" customHeight="1">
      <c r="A32" s="73">
        <v>1</v>
      </c>
      <c r="B32" s="105" t="str">
        <f>VLOOKUP(Ruimtestaat[[#This Row],[Code]],Locaties[[Code]:[Locatie]],2,FALSE)</f>
        <v>IKC Kameleon</v>
      </c>
      <c r="C32" s="105" t="str">
        <f>VLOOKUP(Ruimtestaat[[#This Row],[Code]],Locaties[[#All],[Code]:[Adres]],4,FALSE)</f>
        <v>Mondriaanstraat 15</v>
      </c>
      <c r="D32" s="105" t="str">
        <f>VLOOKUP(Ruimtestaat[[#This Row],[Code]],Locaties[[#All],[Code]:[Postcode]],5,FALSE)</f>
        <v>6921 MJ</v>
      </c>
      <c r="E32" s="105" t="str">
        <f>VLOOKUP(Ruimtestaat[[#This Row],[Code]],Locaties[#All],6,FALSE)</f>
        <v>Duiven</v>
      </c>
      <c r="F32" s="73"/>
      <c r="G32" s="73" t="s">
        <v>1645</v>
      </c>
      <c r="H32" s="272"/>
      <c r="I32" s="273" t="s">
        <v>1669</v>
      </c>
      <c r="J32" s="31">
        <v>2</v>
      </c>
      <c r="K32" s="113" t="str">
        <f>VLOOKUP(Ruimtestaat[[#This Row],[Ruimte code]],Ruimtegroepen[[#All],[Code]:[Ruimte omschrijving]],2,FALSE)</f>
        <v>Kantoren</v>
      </c>
      <c r="L32" s="73" t="s">
        <v>99</v>
      </c>
      <c r="M32" s="273" t="s">
        <v>36</v>
      </c>
      <c r="N32" s="106">
        <v>6</v>
      </c>
      <c r="O32" s="73"/>
      <c r="P32" s="73"/>
      <c r="Q32" s="107" t="str">
        <f>VLOOKUP(Ruimtestaat[[#This Row],[Ruimte code]],Ruimtegroepen[],4,FALSE)</f>
        <v>Bu</v>
      </c>
      <c r="R32" s="73">
        <v>40</v>
      </c>
      <c r="S32" s="73" t="s">
        <v>15</v>
      </c>
      <c r="T32" s="73">
        <f>IF(R32&gt;0,IF(RIGHT(Ruimtestaat[[#This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 s="73">
        <f>IF(T32&gt;0,VLOOKUP($J32,Ruimtegroepen[],3,FALSE)*VLOOKUP($L32,Vloersoorten[],3,FALSE)*VLOOKUP($S32,Frequenties[],3,FALSE)*VLOOKUP($A32,Locaties[],3,FALSE),0)</f>
        <v>0</v>
      </c>
      <c r="V32" s="73">
        <f>Ruimtestaat[[#This Row],[Uitvoeringen werkdagen]]*Ruimtestaat[[#This Row],[Oppervlak (netto)]]</f>
        <v>240</v>
      </c>
      <c r="W32" s="108">
        <f>IF(U32&gt;0,Ruimtestaat[[#This Row],[Prest. (m2 /jaar) werkdagen]]/Ruimtestaat[[#This Row],[Norm (m2/uur) werkdagen]],0)</f>
        <v>0</v>
      </c>
      <c r="X32" s="109">
        <f>Ruimtestaat[[#This Row],[uren / jaar werkdagen]]*Tariefsopbouw!$E$35</f>
        <v>0</v>
      </c>
      <c r="Y32" s="73"/>
      <c r="Z32" s="73">
        <f>IF(Ruimtestaat[[#This Row],[Frequentie weekend]]&gt;0,VALUE(LEFT(Y32,1))*R32,0)</f>
        <v>0</v>
      </c>
      <c r="AA32" s="72">
        <f>IF($Z32&gt;0,VLOOKUP($J32,Ruimtegroepen[],3,FALSE)*VLOOKUP($L32,Vloersoorten[],3,FALSE)*VLOOKUP($Y32,Frequenties[],3,FALSE)*VLOOKUP(Ruimtestaat[[#This Row],[Code]],Locaties[],3,FALSE),0)</f>
        <v>0</v>
      </c>
      <c r="AB32" s="72">
        <f>Ruimtestaat[[#This Row],[Uitvoeringen weekend]]*Ruimtestaat[[#This Row],[Oppervlak (netto)]]</f>
        <v>0</v>
      </c>
      <c r="AC32" s="72">
        <f>IF(AA32&gt;0,Ruimtestaat[[#This Row],[Prest. (m2 /jaar) weekend]]/Ruimtestaat[[#This Row],[Norm (m2/uur) weekend]],0)</f>
        <v>0</v>
      </c>
      <c r="AD32" s="109">
        <f>Ruimtestaat[[#This Row],[uren / jaar weekend]]*Tariefsopbouw!$D$40</f>
        <v>0</v>
      </c>
      <c r="AE32" s="108">
        <f>Ruimtestaat[[#This Row],[Prest. (m2 /jaar) weekend]]+Ruimtestaat[[#This Row],[Prest. (m2 /jaar) werkdagen]]</f>
        <v>240</v>
      </c>
      <c r="AF32" s="108">
        <f>Ruimtestaat[[#This Row],[uren / jaar weekend]]+Ruimtestaat[[#This Row],[uren / jaar werkdagen]]</f>
        <v>0</v>
      </c>
      <c r="AG32" s="103">
        <f>Ruimtestaat[[#This Row],[kosten / jaar weekend]]+Ruimtestaat[[#This Row],[kosten / jaar werkdagen]]</f>
        <v>0</v>
      </c>
      <c r="AH32" s="103"/>
      <c r="AI32" s="110" t="str">
        <f>IF(Ruimtestaat[[#This Row],[Frequentie werkdagen]]="","",_xlfn.CONCAT(Ruimtestaat[[#This Row],[Ruimte code]],"-",Ruimtestaat[[#This Row],[Frequentie werkdagen]]," ",Ruimtestaat[[#This Row],[Vloer code]]))</f>
        <v>2-1w T</v>
      </c>
      <c r="AJ32" s="114" t="str">
        <f>_xlfn.IFNA(VLOOKUP($AI32,Programma!$F$3:$G$1101,2,0),"")</f>
        <v>_</v>
      </c>
      <c r="AK32" s="114" t="str">
        <f>_xlfn.IFNA(VLOOKUP($AI32,Programma!$F$3:$H$1101,3,0),"")</f>
        <v>1w</v>
      </c>
      <c r="AL32" s="114" t="str">
        <f>_xlfn.IFNA(VLOOKUP($AI32,Programma!$F$3:$I$1101,4,0),"")</f>
        <v>_</v>
      </c>
      <c r="AM32" s="114" t="str">
        <f>_xlfn.IFNA(VLOOKUP($AI32,Programma!$F$3:$J$1101,5,0),"")</f>
        <v>_</v>
      </c>
      <c r="AN32" s="114" t="str">
        <f>_xlfn.IFNA(VLOOKUP($AI32,Programma!$F$3:$K$1101,6,0),"")</f>
        <v>_</v>
      </c>
      <c r="AO32" s="114" t="str">
        <f>_xlfn.IFNA(VLOOKUP($AI32,Programma!$F$3:$L$1101,7,0),"")</f>
        <v>_</v>
      </c>
      <c r="AP32" s="114" t="str">
        <f>_xlfn.IFNA(VLOOKUP($AI32,Programma!$F$3:$M$1101,8,0),"")</f>
        <v>_</v>
      </c>
      <c r="AQ32" s="114" t="str">
        <f>_xlfn.IFNA(VLOOKUP($AI32,Programma!$F$3:$N$1101,9,0),"")</f>
        <v>_</v>
      </c>
      <c r="AR32" s="114" t="str">
        <f>_xlfn.IFNA(VLOOKUP($AI32,Programma!$F$3:$O$1101,10,0),"")</f>
        <v>1w</v>
      </c>
      <c r="AS32" s="114" t="str">
        <f>_xlfn.IFNA(VLOOKUP($AI32,Programma!$F$3:$P$1101,11,0),"")</f>
        <v>1w</v>
      </c>
      <c r="AT32" s="114" t="str">
        <f>_xlfn.IFNA(VLOOKUP($AI32,Programma!$F$3:$Q$1101,12,0),"")</f>
        <v>1w</v>
      </c>
      <c r="AU32" s="114" t="str">
        <f>_xlfn.IFNA(VLOOKUP($AI32,Programma!$F$3:$R$1101,13,0),"")</f>
        <v>1w</v>
      </c>
      <c r="AV32" s="114" t="str">
        <f>_xlfn.IFNA(VLOOKUP($AI32,Programma!$F$3:$S$1101,14,0),"")</f>
        <v>1m</v>
      </c>
      <c r="AW32" s="114" t="str">
        <f>_xlfn.IFNA(VLOOKUP($AI32,Programma!$F$3:$T$1101,15,0),"")</f>
        <v>2j</v>
      </c>
      <c r="AX32" s="114" t="str">
        <f>_xlfn.IFNA(VLOOKUP($AI32,Programma!$F$3:$U$1101,16,0),"")</f>
        <v>1j</v>
      </c>
      <c r="AY32" s="114" t="str">
        <f>_xlfn.IFNA(VLOOKUP($AI32,Programma!$F$3:$V$1101,17,0),"")</f>
        <v>_</v>
      </c>
      <c r="AZ32" s="114" t="str">
        <f>_xlfn.IFNA(VLOOKUP($AI32,Programma!$F$3:$W$1101,18,0),"")</f>
        <v>_</v>
      </c>
      <c r="BA32" s="114" t="str">
        <f>_xlfn.IFNA(VLOOKUP($AI32,Programma!$F$3:$X$1101,19,0),"")</f>
        <v>_</v>
      </c>
      <c r="BB32" s="114" t="str">
        <f>_xlfn.IFNA(VLOOKUP($AI32,Programma!$F$3:$Y$1101,20,0),"")</f>
        <v>_</v>
      </c>
      <c r="BC32" s="111"/>
      <c r="BD32" s="110" t="str">
        <f>IF(Ruimtestaat[[#This Row],[Frequentie weekend]]="","",_xlfn.CONCAT(Ruimtestaat[[#This Row],[Ruimte code]],"-",Ruimtestaat[[#This Row],[Frequentie weekend]]," ",Ruimtestaat[[#This Row],[Vloer code]]))</f>
        <v/>
      </c>
      <c r="BE32" s="114" t="str">
        <f>_xlfn.IFNA(VLOOKUP($BD32,Programma!$F$3:$G$1101,2,0),"")</f>
        <v/>
      </c>
      <c r="BF32" s="114" t="str">
        <f>_xlfn.IFNA(VLOOKUP($BD32,Programma!$F$3:$H$1101,3,0),"")</f>
        <v/>
      </c>
      <c r="BG32" s="114" t="str">
        <f>_xlfn.IFNA(VLOOKUP($BD32,Programma!$F$3:$I$1101,4,0),"")</f>
        <v/>
      </c>
      <c r="BH32" s="114" t="str">
        <f>_xlfn.IFNA(VLOOKUP($BD32,Programma!$F$3:$J$1101,5,0),"")</f>
        <v/>
      </c>
      <c r="BI32" s="114" t="str">
        <f>_xlfn.IFNA(VLOOKUP($BD32,Programma!$F$3:$K$1101,6,0),"")</f>
        <v/>
      </c>
      <c r="BJ32" s="114" t="str">
        <f>_xlfn.IFNA(VLOOKUP($BD32,Programma!$F$3:$L$1101,7,0),"")</f>
        <v/>
      </c>
      <c r="BK32" s="114" t="str">
        <f>_xlfn.IFNA(VLOOKUP($BD32,Programma!$F$3:$M$1101,8,0),"")</f>
        <v/>
      </c>
      <c r="BL32" s="114" t="str">
        <f>_xlfn.IFNA(VLOOKUP($BD32,Programma!$F$3:$N$1101,9,0),"")</f>
        <v/>
      </c>
      <c r="BM32" s="114" t="str">
        <f>_xlfn.IFNA(VLOOKUP($BD32,Programma!$F$3:$O$1101,10,0),"")</f>
        <v/>
      </c>
      <c r="BN32" s="114" t="str">
        <f>_xlfn.IFNA(VLOOKUP($BD32,Programma!$F$3:$P$1101,11,0),"")</f>
        <v/>
      </c>
      <c r="BO32" s="114" t="str">
        <f>_xlfn.IFNA(VLOOKUP($BD32,Programma!$F$3:$Q$1101,12,0),"")</f>
        <v/>
      </c>
      <c r="BP32" s="114" t="str">
        <f>_xlfn.IFNA(VLOOKUP($BD32,Programma!$F$3:$R$1101,13,0),"")</f>
        <v/>
      </c>
      <c r="BQ32" s="114" t="str">
        <f>_xlfn.IFNA(VLOOKUP($BD32,Programma!$F$3:$S$1101,14,0),"")</f>
        <v/>
      </c>
      <c r="BR32" s="114" t="str">
        <f>_xlfn.IFNA(VLOOKUP($BD32,Programma!$F$3:$T$1101,15,0),"")</f>
        <v/>
      </c>
      <c r="BS32" s="114" t="str">
        <f>_xlfn.IFNA(VLOOKUP($BD32,Programma!$F$3:$U$1101,16,0),"")</f>
        <v/>
      </c>
      <c r="BT32" s="114" t="str">
        <f>_xlfn.IFNA(VLOOKUP($BD32,Programma!$F$3:$V$1101,17,0),"")</f>
        <v/>
      </c>
      <c r="BU32" s="114" t="str">
        <f>_xlfn.IFNA(VLOOKUP($BD32,Programma!$F$3:$W$1101,18,0),"")</f>
        <v/>
      </c>
      <c r="BV32" s="114" t="str">
        <f>_xlfn.IFNA(VLOOKUP($BD32,Programma!$F$3:$X$1101,19,0),"")</f>
        <v/>
      </c>
      <c r="BW32" s="114" t="str">
        <f>_xlfn.IFNA(VLOOKUP($BD32,Programma!$F$3:$Y$1101,20,0),"")</f>
        <v/>
      </c>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row>
    <row r="33" spans="1:220" ht="15" customHeight="1">
      <c r="A33" s="73">
        <v>1</v>
      </c>
      <c r="B33" s="105" t="str">
        <f>VLOOKUP(Ruimtestaat[[#This Row],[Code]],Locaties[[Code]:[Locatie]],2,FALSE)</f>
        <v>IKC Kameleon</v>
      </c>
      <c r="C33" s="105" t="str">
        <f>VLOOKUP(Ruimtestaat[[#This Row],[Code]],Locaties[[#All],[Code]:[Adres]],4,FALSE)</f>
        <v>Mondriaanstraat 15</v>
      </c>
      <c r="D33" s="105" t="str">
        <f>VLOOKUP(Ruimtestaat[[#This Row],[Code]],Locaties[[#All],[Code]:[Postcode]],5,FALSE)</f>
        <v>6921 MJ</v>
      </c>
      <c r="E33" s="105" t="str">
        <f>VLOOKUP(Ruimtestaat[[#This Row],[Code]],Locaties[#All],6,FALSE)</f>
        <v>Duiven</v>
      </c>
      <c r="F33" s="73"/>
      <c r="G33" s="73" t="s">
        <v>1645</v>
      </c>
      <c r="H33" s="272"/>
      <c r="I33" s="273" t="s">
        <v>1987</v>
      </c>
      <c r="J33" s="31">
        <v>14</v>
      </c>
      <c r="K33" s="113" t="str">
        <f>VLOOKUP(Ruimtestaat[[#This Row],[Ruimte code]],Ruimtegroepen[[#All],[Code]:[Ruimte omschrijving]],2,FALSE)</f>
        <v>Praktijklokalen</v>
      </c>
      <c r="L33" s="73" t="s">
        <v>99</v>
      </c>
      <c r="M33" s="273" t="s">
        <v>36</v>
      </c>
      <c r="N33" s="106">
        <v>5</v>
      </c>
      <c r="O33" s="112"/>
      <c r="P33" s="112"/>
      <c r="Q33" s="107" t="str">
        <f>VLOOKUP(Ruimtestaat[[#This Row],[Ruimte code]],Ruimtegroepen[],4,FALSE)</f>
        <v>Le</v>
      </c>
      <c r="R33" s="73">
        <v>40</v>
      </c>
      <c r="S33" s="73" t="s">
        <v>2</v>
      </c>
      <c r="T33" s="73">
        <f>IF(R33&gt;0,IF(RIGHT(Ruimtestaat[[#This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 s="73">
        <f>IF(T33&gt;0,VLOOKUP($J33,Ruimtegroepen[],3,FALSE)*VLOOKUP($L33,Vloersoorten[],3,FALSE)*VLOOKUP($S33,Frequenties[],3,FALSE)*VLOOKUP($A33,Locaties[],3,FALSE),0)</f>
        <v>0</v>
      </c>
      <c r="V33" s="73">
        <f>Ruimtestaat[[#This Row],[Uitvoeringen werkdagen]]*Ruimtestaat[[#This Row],[Oppervlak (netto)]]</f>
        <v>1000</v>
      </c>
      <c r="W33" s="108">
        <f>IF(U33&gt;0,Ruimtestaat[[#This Row],[Prest. (m2 /jaar) werkdagen]]/Ruimtestaat[[#This Row],[Norm (m2/uur) werkdagen]],0)</f>
        <v>0</v>
      </c>
      <c r="X33" s="109">
        <f>Ruimtestaat[[#This Row],[uren / jaar werkdagen]]*Tariefsopbouw!$E$35</f>
        <v>0</v>
      </c>
      <c r="Y33" s="73"/>
      <c r="Z33" s="73">
        <f>IF(Ruimtestaat[[#This Row],[Frequentie weekend]]&gt;0,VALUE(LEFT(Y33,1))*R33,0)</f>
        <v>0</v>
      </c>
      <c r="AA33" s="72">
        <f>IF($Z33&gt;0,VLOOKUP($J33,Ruimtegroepen[],3,FALSE)*VLOOKUP($L33,Vloersoorten[],3,FALSE)*VLOOKUP($Y33,Frequenties[],3,FALSE)*VLOOKUP(Ruimtestaat[[#This Row],[Code]],Locaties[],3,FALSE),0)</f>
        <v>0</v>
      </c>
      <c r="AB33" s="72">
        <f>Ruimtestaat[[#This Row],[Uitvoeringen weekend]]*Ruimtestaat[[#This Row],[Oppervlak (netto)]]</f>
        <v>0</v>
      </c>
      <c r="AC33" s="72">
        <f>IF(AA33&gt;0,Ruimtestaat[[#This Row],[Prest. (m2 /jaar) weekend]]/Ruimtestaat[[#This Row],[Norm (m2/uur) weekend]],0)</f>
        <v>0</v>
      </c>
      <c r="AD33" s="109">
        <f>Ruimtestaat[[#This Row],[uren / jaar weekend]]*Tariefsopbouw!$D$40</f>
        <v>0</v>
      </c>
      <c r="AE33" s="108">
        <f>Ruimtestaat[[#This Row],[Prest. (m2 /jaar) weekend]]+Ruimtestaat[[#This Row],[Prest. (m2 /jaar) werkdagen]]</f>
        <v>1000</v>
      </c>
      <c r="AF33" s="108">
        <f>Ruimtestaat[[#This Row],[uren / jaar weekend]]+Ruimtestaat[[#This Row],[uren / jaar werkdagen]]</f>
        <v>0</v>
      </c>
      <c r="AG33" s="103">
        <f>Ruimtestaat[[#This Row],[kosten / jaar weekend]]+Ruimtestaat[[#This Row],[kosten / jaar werkdagen]]</f>
        <v>0</v>
      </c>
      <c r="AH33" s="103"/>
      <c r="AI33" s="110" t="str">
        <f>IF(Ruimtestaat[[#This Row],[Frequentie werkdagen]]="","",_xlfn.CONCAT(Ruimtestaat[[#This Row],[Ruimte code]],"-",Ruimtestaat[[#This Row],[Frequentie werkdagen]]," ",Ruimtestaat[[#This Row],[Vloer code]]))</f>
        <v>14-5w T</v>
      </c>
      <c r="AJ33" s="114" t="str">
        <f>_xlfn.IFNA(VLOOKUP($AI33,Programma!$F$3:$G$1101,2,0),"")</f>
        <v>3w</v>
      </c>
      <c r="AK33" s="114" t="str">
        <f>_xlfn.IFNA(VLOOKUP($AI33,Programma!$F$3:$H$1101,3,0),"")</f>
        <v>2w</v>
      </c>
      <c r="AL33" s="114" t="str">
        <f>_xlfn.IFNA(VLOOKUP($AI33,Programma!$F$3:$I$1101,4,0),"")</f>
        <v>_</v>
      </c>
      <c r="AM33" s="114" t="str">
        <f>_xlfn.IFNA(VLOOKUP($AI33,Programma!$F$3:$J$1101,5,0),"")</f>
        <v>_</v>
      </c>
      <c r="AN33" s="114" t="str">
        <f>_xlfn.IFNA(VLOOKUP($AI33,Programma!$F$3:$K$1101,6,0),"")</f>
        <v>_</v>
      </c>
      <c r="AO33" s="114" t="str">
        <f>_xlfn.IFNA(VLOOKUP($AI33,Programma!$F$3:$L$1101,7,0),"")</f>
        <v>_</v>
      </c>
      <c r="AP33" s="114" t="str">
        <f>_xlfn.IFNA(VLOOKUP($AI33,Programma!$F$3:$M$1101,8,0),"")</f>
        <v>_</v>
      </c>
      <c r="AQ33" s="114" t="str">
        <f>_xlfn.IFNA(VLOOKUP($AI33,Programma!$F$3:$N$1101,9,0),"")</f>
        <v>_</v>
      </c>
      <c r="AR33" s="114" t="str">
        <f>_xlfn.IFNA(VLOOKUP($AI33,Programma!$F$3:$O$1101,10,0),"")</f>
        <v>5w</v>
      </c>
      <c r="AS33" s="114" t="str">
        <f>_xlfn.IFNA(VLOOKUP($AI33,Programma!$F$3:$P$1101,11,0),"")</f>
        <v>5w</v>
      </c>
      <c r="AT33" s="114" t="str">
        <f>_xlfn.IFNA(VLOOKUP($AI33,Programma!$F$3:$Q$1101,12,0),"")</f>
        <v>1w</v>
      </c>
      <c r="AU33" s="114" t="str">
        <f>_xlfn.IFNA(VLOOKUP($AI33,Programma!$F$3:$R$1101,13,0),"")</f>
        <v>1w</v>
      </c>
      <c r="AV33" s="114" t="str">
        <f>_xlfn.IFNA(VLOOKUP($AI33,Programma!$F$3:$S$1101,14,0),"")</f>
        <v>1m</v>
      </c>
      <c r="AW33" s="114" t="str">
        <f>_xlfn.IFNA(VLOOKUP($AI33,Programma!$F$3:$T$1101,15,0),"")</f>
        <v>2j</v>
      </c>
      <c r="AX33" s="114" t="str">
        <f>_xlfn.IFNA(VLOOKUP($AI33,Programma!$F$3:$U$1101,16,0),"")</f>
        <v>1j</v>
      </c>
      <c r="AY33" s="114" t="str">
        <f>_xlfn.IFNA(VLOOKUP($AI33,Programma!$F$3:$V$1101,17,0),"")</f>
        <v>_</v>
      </c>
      <c r="AZ33" s="114" t="str">
        <f>_xlfn.IFNA(VLOOKUP($AI33,Programma!$F$3:$W$1101,18,0),"")</f>
        <v>_</v>
      </c>
      <c r="BA33" s="114" t="str">
        <f>_xlfn.IFNA(VLOOKUP($AI33,Programma!$F$3:$X$1101,19,0),"")</f>
        <v>_</v>
      </c>
      <c r="BB33" s="114" t="str">
        <f>_xlfn.IFNA(VLOOKUP($AI33,Programma!$F$3:$Y$1101,20,0),"")</f>
        <v>_</v>
      </c>
      <c r="BC33" s="111"/>
      <c r="BD33" s="110" t="str">
        <f>IF(Ruimtestaat[[#This Row],[Frequentie weekend]]="","",_xlfn.CONCAT(Ruimtestaat[[#This Row],[Ruimte code]],"-",Ruimtestaat[[#This Row],[Frequentie weekend]]," ",Ruimtestaat[[#This Row],[Vloer code]]))</f>
        <v/>
      </c>
      <c r="BE33" s="114" t="str">
        <f>_xlfn.IFNA(VLOOKUP($BD33,Programma!$F$3:$G$1101,2,0),"")</f>
        <v/>
      </c>
      <c r="BF33" s="114" t="str">
        <f>_xlfn.IFNA(VLOOKUP($BD33,Programma!$F$3:$H$1101,3,0),"")</f>
        <v/>
      </c>
      <c r="BG33" s="114" t="str">
        <f>_xlfn.IFNA(VLOOKUP($BD33,Programma!$F$3:$I$1101,4,0),"")</f>
        <v/>
      </c>
      <c r="BH33" s="114" t="str">
        <f>_xlfn.IFNA(VLOOKUP($BD33,Programma!$F$3:$J$1101,5,0),"")</f>
        <v/>
      </c>
      <c r="BI33" s="114" t="str">
        <f>_xlfn.IFNA(VLOOKUP($BD33,Programma!$F$3:$K$1101,6,0),"")</f>
        <v/>
      </c>
      <c r="BJ33" s="114" t="str">
        <f>_xlfn.IFNA(VLOOKUP($BD33,Programma!$F$3:$L$1101,7,0),"")</f>
        <v/>
      </c>
      <c r="BK33" s="114" t="str">
        <f>_xlfn.IFNA(VLOOKUP($BD33,Programma!$F$3:$M$1101,8,0),"")</f>
        <v/>
      </c>
      <c r="BL33" s="114" t="str">
        <f>_xlfn.IFNA(VLOOKUP($BD33,Programma!$F$3:$N$1101,9,0),"")</f>
        <v/>
      </c>
      <c r="BM33" s="114" t="str">
        <f>_xlfn.IFNA(VLOOKUP($BD33,Programma!$F$3:$O$1101,10,0),"")</f>
        <v/>
      </c>
      <c r="BN33" s="114" t="str">
        <f>_xlfn.IFNA(VLOOKUP($BD33,Programma!$F$3:$P$1101,11,0),"")</f>
        <v/>
      </c>
      <c r="BO33" s="114" t="str">
        <f>_xlfn.IFNA(VLOOKUP($BD33,Programma!$F$3:$Q$1101,12,0),"")</f>
        <v/>
      </c>
      <c r="BP33" s="114" t="str">
        <f>_xlfn.IFNA(VLOOKUP($BD33,Programma!$F$3:$R$1101,13,0),"")</f>
        <v/>
      </c>
      <c r="BQ33" s="114" t="str">
        <f>_xlfn.IFNA(VLOOKUP($BD33,Programma!$F$3:$S$1101,14,0),"")</f>
        <v/>
      </c>
      <c r="BR33" s="114" t="str">
        <f>_xlfn.IFNA(VLOOKUP($BD33,Programma!$F$3:$T$1101,15,0),"")</f>
        <v/>
      </c>
      <c r="BS33" s="114" t="str">
        <f>_xlfn.IFNA(VLOOKUP($BD33,Programma!$F$3:$U$1101,16,0),"")</f>
        <v/>
      </c>
      <c r="BT33" s="114" t="str">
        <f>_xlfn.IFNA(VLOOKUP($BD33,Programma!$F$3:$V$1101,17,0),"")</f>
        <v/>
      </c>
      <c r="BU33" s="114" t="str">
        <f>_xlfn.IFNA(VLOOKUP($BD33,Programma!$F$3:$W$1101,18,0),"")</f>
        <v/>
      </c>
      <c r="BV33" s="114" t="str">
        <f>_xlfn.IFNA(VLOOKUP($BD33,Programma!$F$3:$X$1101,19,0),"")</f>
        <v/>
      </c>
      <c r="BW33" s="114" t="str">
        <f>_xlfn.IFNA(VLOOKUP($BD33,Programma!$F$3:$Y$1101,20,0),"")</f>
        <v/>
      </c>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row>
    <row r="34" spans="1:220" ht="15" customHeight="1">
      <c r="A34" s="73">
        <v>1</v>
      </c>
      <c r="B34" s="105" t="str">
        <f>VLOOKUP(Ruimtestaat[[#This Row],[Code]],Locaties[[Code]:[Locatie]],2,FALSE)</f>
        <v>IKC Kameleon</v>
      </c>
      <c r="C34" s="105" t="str">
        <f>VLOOKUP(Ruimtestaat[[#This Row],[Code]],Locaties[[#All],[Code]:[Adres]],4,FALSE)</f>
        <v>Mondriaanstraat 15</v>
      </c>
      <c r="D34" s="105" t="str">
        <f>VLOOKUP(Ruimtestaat[[#This Row],[Code]],Locaties[[#All],[Code]:[Postcode]],5,FALSE)</f>
        <v>6921 MJ</v>
      </c>
      <c r="E34" s="105" t="str">
        <f>VLOOKUP(Ruimtestaat[[#This Row],[Code]],Locaties[#All],6,FALSE)</f>
        <v>Duiven</v>
      </c>
      <c r="F34" s="73"/>
      <c r="G34" s="73" t="s">
        <v>1645</v>
      </c>
      <c r="H34" s="272"/>
      <c r="I34" s="273" t="s">
        <v>1988</v>
      </c>
      <c r="J34" s="31">
        <v>1</v>
      </c>
      <c r="K34" s="113" t="str">
        <f>VLOOKUP(Ruimtestaat[[#This Row],[Ruimte code]],Ruimtegroepen[[#All],[Code]:[Ruimte omschrijving]],2,FALSE)</f>
        <v>Magazijnen/bergingen</v>
      </c>
      <c r="L34" s="73" t="s">
        <v>99</v>
      </c>
      <c r="M34" s="273" t="s">
        <v>36</v>
      </c>
      <c r="N34" s="106">
        <v>5</v>
      </c>
      <c r="O34" s="112"/>
      <c r="P34" s="112"/>
      <c r="Q34" s="107" t="str">
        <f>VLOOKUP(Ruimtestaat[[#This Row],[Ruimte code]],Ruimtegroepen[],4,FALSE)</f>
        <v>Ve</v>
      </c>
      <c r="R34" s="73">
        <v>40</v>
      </c>
      <c r="S34" s="73" t="s">
        <v>16</v>
      </c>
      <c r="T34" s="73">
        <f>IF(R34&gt;0,IF(RIGHT(Ruimtestaat[[#This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4" s="73">
        <f>IF(T34&gt;0,VLOOKUP($J34,Ruimtegroepen[],3,FALSE)*VLOOKUP($L34,Vloersoorten[],3,FALSE)*VLOOKUP($S34,Frequenties[],3,FALSE)*VLOOKUP($A34,Locaties[],3,FALSE),0)</f>
        <v>0</v>
      </c>
      <c r="V34" s="73">
        <f>Ruimtestaat[[#This Row],[Uitvoeringen werkdagen]]*Ruimtestaat[[#This Row],[Oppervlak (netto)]]</f>
        <v>60</v>
      </c>
      <c r="W34" s="108">
        <f>IF(U34&gt;0,Ruimtestaat[[#This Row],[Prest. (m2 /jaar) werkdagen]]/Ruimtestaat[[#This Row],[Norm (m2/uur) werkdagen]],0)</f>
        <v>0</v>
      </c>
      <c r="X34" s="109">
        <f>Ruimtestaat[[#This Row],[uren / jaar werkdagen]]*Tariefsopbouw!$E$35</f>
        <v>0</v>
      </c>
      <c r="Y34" s="73"/>
      <c r="Z34" s="73">
        <f>IF(Ruimtestaat[[#This Row],[Frequentie weekend]]&gt;0,VALUE(LEFT(Y34,1))*R34,0)</f>
        <v>0</v>
      </c>
      <c r="AA34" s="72">
        <f>IF($Z34&gt;0,VLOOKUP($J34,Ruimtegroepen[],3,FALSE)*VLOOKUP($L34,Vloersoorten[],3,FALSE)*VLOOKUP($Y34,Frequenties[],3,FALSE)*VLOOKUP(Ruimtestaat[[#This Row],[Code]],Locaties[],3,FALSE),0)</f>
        <v>0</v>
      </c>
      <c r="AB34" s="72">
        <f>Ruimtestaat[[#This Row],[Uitvoeringen weekend]]*Ruimtestaat[[#This Row],[Oppervlak (netto)]]</f>
        <v>0</v>
      </c>
      <c r="AC34" s="72">
        <f>IF(AA34&gt;0,Ruimtestaat[[#This Row],[Prest. (m2 /jaar) weekend]]/Ruimtestaat[[#This Row],[Norm (m2/uur) weekend]],0)</f>
        <v>0</v>
      </c>
      <c r="AD34" s="109">
        <f>Ruimtestaat[[#This Row],[uren / jaar weekend]]*Tariefsopbouw!$D$40</f>
        <v>0</v>
      </c>
      <c r="AE34" s="108">
        <f>Ruimtestaat[[#This Row],[Prest. (m2 /jaar) weekend]]+Ruimtestaat[[#This Row],[Prest. (m2 /jaar) werkdagen]]</f>
        <v>60</v>
      </c>
      <c r="AF34" s="108">
        <f>Ruimtestaat[[#This Row],[uren / jaar weekend]]+Ruimtestaat[[#This Row],[uren / jaar werkdagen]]</f>
        <v>0</v>
      </c>
      <c r="AG34" s="103">
        <f>Ruimtestaat[[#This Row],[kosten / jaar weekend]]+Ruimtestaat[[#This Row],[kosten / jaar werkdagen]]</f>
        <v>0</v>
      </c>
      <c r="AH34" s="103"/>
      <c r="AI34" s="110" t="str">
        <f>IF(Ruimtestaat[[#This Row],[Frequentie werkdagen]]="","",_xlfn.CONCAT(Ruimtestaat[[#This Row],[Ruimte code]],"-",Ruimtestaat[[#This Row],[Frequentie werkdagen]]," ",Ruimtestaat[[#This Row],[Vloer code]]))</f>
        <v>1-1m T</v>
      </c>
      <c r="AJ34" s="114" t="str">
        <f>_xlfn.IFNA(VLOOKUP($AI34,Programma!$F$3:$G$1101,2,0),"")</f>
        <v>_</v>
      </c>
      <c r="AK34" s="114" t="str">
        <f>_xlfn.IFNA(VLOOKUP($AI34,Programma!$F$3:$H$1101,3,0),"")</f>
        <v>1m</v>
      </c>
      <c r="AL34" s="114" t="str">
        <f>_xlfn.IFNA(VLOOKUP($AI34,Programma!$F$3:$I$1101,4,0),"")</f>
        <v>_</v>
      </c>
      <c r="AM34" s="114" t="str">
        <f>_xlfn.IFNA(VLOOKUP($AI34,Programma!$F$3:$J$1101,5,0),"")</f>
        <v>_</v>
      </c>
      <c r="AN34" s="114" t="str">
        <f>_xlfn.IFNA(VLOOKUP($AI34,Programma!$F$3:$K$1101,6,0),"")</f>
        <v>_</v>
      </c>
      <c r="AO34" s="114" t="str">
        <f>_xlfn.IFNA(VLOOKUP($AI34,Programma!$F$3:$L$1101,7,0),"")</f>
        <v>_</v>
      </c>
      <c r="AP34" s="114" t="str">
        <f>_xlfn.IFNA(VLOOKUP($AI34,Programma!$F$3:$M$1101,8,0),"")</f>
        <v>_</v>
      </c>
      <c r="AQ34" s="114" t="str">
        <f>_xlfn.IFNA(VLOOKUP($AI34,Programma!$F$3:$N$1101,9,0),"")</f>
        <v>_</v>
      </c>
      <c r="AR34" s="114" t="str">
        <f>_xlfn.IFNA(VLOOKUP($AI34,Programma!$F$3:$O$1101,10,0),"")</f>
        <v>_</v>
      </c>
      <c r="AS34" s="114" t="str">
        <f>_xlfn.IFNA(VLOOKUP($AI34,Programma!$F$3:$P$1101,11,0),"")</f>
        <v>_</v>
      </c>
      <c r="AT34" s="114" t="str">
        <f>_xlfn.IFNA(VLOOKUP($AI34,Programma!$F$3:$Q$1101,12,0),"")</f>
        <v>_</v>
      </c>
      <c r="AU34" s="114" t="str">
        <f>_xlfn.IFNA(VLOOKUP($AI34,Programma!$F$3:$R$1101,13,0),"")</f>
        <v>_</v>
      </c>
      <c r="AV34" s="114" t="str">
        <f>_xlfn.IFNA(VLOOKUP($AI34,Programma!$F$3:$S$1101,14,0),"")</f>
        <v>1m</v>
      </c>
      <c r="AW34" s="114" t="str">
        <f>_xlfn.IFNA(VLOOKUP($AI34,Programma!$F$3:$T$1101,15,0),"")</f>
        <v>4j</v>
      </c>
      <c r="AX34" s="114" t="str">
        <f>_xlfn.IFNA(VLOOKUP($AI34,Programma!$F$3:$U$1101,16,0),"")</f>
        <v>4j</v>
      </c>
      <c r="AY34" s="114" t="str">
        <f>_xlfn.IFNA(VLOOKUP($AI34,Programma!$F$3:$V$1101,17,0),"")</f>
        <v>_</v>
      </c>
      <c r="AZ34" s="114" t="str">
        <f>_xlfn.IFNA(VLOOKUP($AI34,Programma!$F$3:$W$1101,18,0),"")</f>
        <v>_</v>
      </c>
      <c r="BA34" s="114" t="str">
        <f>_xlfn.IFNA(VLOOKUP($AI34,Programma!$F$3:$X$1101,19,0),"")</f>
        <v>_</v>
      </c>
      <c r="BB34" s="114" t="str">
        <f>_xlfn.IFNA(VLOOKUP($AI34,Programma!$F$3:$Y$1101,20,0),"")</f>
        <v>_</v>
      </c>
      <c r="BC34" s="111"/>
      <c r="BD34" s="110" t="str">
        <f>IF(Ruimtestaat[[#This Row],[Frequentie weekend]]="","",_xlfn.CONCAT(Ruimtestaat[[#This Row],[Ruimte code]],"-",Ruimtestaat[[#This Row],[Frequentie weekend]]," ",Ruimtestaat[[#This Row],[Vloer code]]))</f>
        <v/>
      </c>
      <c r="BE34" s="114" t="str">
        <f>_xlfn.IFNA(VLOOKUP($BD34,Programma!$F$3:$G$1101,2,0),"")</f>
        <v/>
      </c>
      <c r="BF34" s="114" t="str">
        <f>_xlfn.IFNA(VLOOKUP($BD34,Programma!$F$3:$H$1101,3,0),"")</f>
        <v/>
      </c>
      <c r="BG34" s="114" t="str">
        <f>_xlfn.IFNA(VLOOKUP($BD34,Programma!$F$3:$I$1101,4,0),"")</f>
        <v/>
      </c>
      <c r="BH34" s="114" t="str">
        <f>_xlfn.IFNA(VLOOKUP($BD34,Programma!$F$3:$J$1101,5,0),"")</f>
        <v/>
      </c>
      <c r="BI34" s="114" t="str">
        <f>_xlfn.IFNA(VLOOKUP($BD34,Programma!$F$3:$K$1101,6,0),"")</f>
        <v/>
      </c>
      <c r="BJ34" s="114" t="str">
        <f>_xlfn.IFNA(VLOOKUP($BD34,Programma!$F$3:$L$1101,7,0),"")</f>
        <v/>
      </c>
      <c r="BK34" s="114" t="str">
        <f>_xlfn.IFNA(VLOOKUP($BD34,Programma!$F$3:$M$1101,8,0),"")</f>
        <v/>
      </c>
      <c r="BL34" s="114" t="str">
        <f>_xlfn.IFNA(VLOOKUP($BD34,Programma!$F$3:$N$1101,9,0),"")</f>
        <v/>
      </c>
      <c r="BM34" s="114" t="str">
        <f>_xlfn.IFNA(VLOOKUP($BD34,Programma!$F$3:$O$1101,10,0),"")</f>
        <v/>
      </c>
      <c r="BN34" s="114" t="str">
        <f>_xlfn.IFNA(VLOOKUP($BD34,Programma!$F$3:$P$1101,11,0),"")</f>
        <v/>
      </c>
      <c r="BO34" s="114" t="str">
        <f>_xlfn.IFNA(VLOOKUP($BD34,Programma!$F$3:$Q$1101,12,0),"")</f>
        <v/>
      </c>
      <c r="BP34" s="114" t="str">
        <f>_xlfn.IFNA(VLOOKUP($BD34,Programma!$F$3:$R$1101,13,0),"")</f>
        <v/>
      </c>
      <c r="BQ34" s="114" t="str">
        <f>_xlfn.IFNA(VLOOKUP($BD34,Programma!$F$3:$S$1101,14,0),"")</f>
        <v/>
      </c>
      <c r="BR34" s="114" t="str">
        <f>_xlfn.IFNA(VLOOKUP($BD34,Programma!$F$3:$T$1101,15,0),"")</f>
        <v/>
      </c>
      <c r="BS34" s="114" t="str">
        <f>_xlfn.IFNA(VLOOKUP($BD34,Programma!$F$3:$U$1101,16,0),"")</f>
        <v/>
      </c>
      <c r="BT34" s="114" t="str">
        <f>_xlfn.IFNA(VLOOKUP($BD34,Programma!$F$3:$V$1101,17,0),"")</f>
        <v/>
      </c>
      <c r="BU34" s="114" t="str">
        <f>_xlfn.IFNA(VLOOKUP($BD34,Programma!$F$3:$W$1101,18,0),"")</f>
        <v/>
      </c>
      <c r="BV34" s="114" t="str">
        <f>_xlfn.IFNA(VLOOKUP($BD34,Programma!$F$3:$X$1101,19,0),"")</f>
        <v/>
      </c>
      <c r="BW34" s="114" t="str">
        <f>_xlfn.IFNA(VLOOKUP($BD34,Programma!$F$3:$Y$1101,20,0),"")</f>
        <v/>
      </c>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row>
    <row r="35" spans="1:220" ht="15" customHeight="1">
      <c r="A35" s="73">
        <v>1</v>
      </c>
      <c r="B35" s="105" t="str">
        <f>VLOOKUP(Ruimtestaat[[#This Row],[Code]],Locaties[[Code]:[Locatie]],2,FALSE)</f>
        <v>IKC Kameleon</v>
      </c>
      <c r="C35" s="105" t="str">
        <f>VLOOKUP(Ruimtestaat[[#This Row],[Code]],Locaties[[#All],[Code]:[Adres]],4,FALSE)</f>
        <v>Mondriaanstraat 15</v>
      </c>
      <c r="D35" s="105" t="str">
        <f>VLOOKUP(Ruimtestaat[[#This Row],[Code]],Locaties[[#All],[Code]:[Postcode]],5,FALSE)</f>
        <v>6921 MJ</v>
      </c>
      <c r="E35" s="105" t="str">
        <f>VLOOKUP(Ruimtestaat[[#This Row],[Code]],Locaties[#All],6,FALSE)</f>
        <v>Duiven</v>
      </c>
      <c r="F35" s="73"/>
      <c r="G35" s="73" t="s">
        <v>1645</v>
      </c>
      <c r="H35" s="272"/>
      <c r="I35" s="273" t="s">
        <v>1671</v>
      </c>
      <c r="J35" s="31">
        <v>2</v>
      </c>
      <c r="K35" s="113" t="str">
        <f>VLOOKUP(Ruimtestaat[[#This Row],[Ruimte code]],Ruimtegroepen[[#All],[Code]:[Ruimte omschrijving]],2,FALSE)</f>
        <v>Kantoren</v>
      </c>
      <c r="L35" s="73" t="s">
        <v>99</v>
      </c>
      <c r="M35" s="273" t="s">
        <v>36</v>
      </c>
      <c r="N35" s="106">
        <v>9.5</v>
      </c>
      <c r="O35" s="73"/>
      <c r="P35" s="73"/>
      <c r="Q35" s="107" t="str">
        <f>VLOOKUP(Ruimtestaat[[#This Row],[Ruimte code]],Ruimtegroepen[],4,FALSE)</f>
        <v>Bu</v>
      </c>
      <c r="R35" s="73">
        <v>40</v>
      </c>
      <c r="S35" s="73" t="s">
        <v>15</v>
      </c>
      <c r="T35" s="73">
        <f>IF(R35&gt;0,IF(RIGHT(Ruimtestaat[[#This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5" s="73">
        <f>IF(T35&gt;0,VLOOKUP($J35,Ruimtegroepen[],3,FALSE)*VLOOKUP($L35,Vloersoorten[],3,FALSE)*VLOOKUP($S35,Frequenties[],3,FALSE)*VLOOKUP($A35,Locaties[],3,FALSE),0)</f>
        <v>0</v>
      </c>
      <c r="V35" s="73">
        <f>Ruimtestaat[[#This Row],[Uitvoeringen werkdagen]]*Ruimtestaat[[#This Row],[Oppervlak (netto)]]</f>
        <v>380</v>
      </c>
      <c r="W35" s="108">
        <f>IF(U35&gt;0,Ruimtestaat[[#This Row],[Prest. (m2 /jaar) werkdagen]]/Ruimtestaat[[#This Row],[Norm (m2/uur) werkdagen]],0)</f>
        <v>0</v>
      </c>
      <c r="X35" s="109">
        <f>Ruimtestaat[[#This Row],[uren / jaar werkdagen]]*Tariefsopbouw!$E$35</f>
        <v>0</v>
      </c>
      <c r="Y35" s="73"/>
      <c r="Z35" s="73">
        <f>IF(Ruimtestaat[[#This Row],[Frequentie weekend]]&gt;0,VALUE(LEFT(Y35,1))*R35,0)</f>
        <v>0</v>
      </c>
      <c r="AA35" s="72">
        <f>IF($Z35&gt;0,VLOOKUP($J35,Ruimtegroepen[],3,FALSE)*VLOOKUP($L35,Vloersoorten[],3,FALSE)*VLOOKUP($Y35,Frequenties[],3,FALSE)*VLOOKUP(Ruimtestaat[[#This Row],[Code]],Locaties[],3,FALSE),0)</f>
        <v>0</v>
      </c>
      <c r="AB35" s="72">
        <f>Ruimtestaat[[#This Row],[Uitvoeringen weekend]]*Ruimtestaat[[#This Row],[Oppervlak (netto)]]</f>
        <v>0</v>
      </c>
      <c r="AC35" s="72">
        <f>IF(AA35&gt;0,Ruimtestaat[[#This Row],[Prest. (m2 /jaar) weekend]]/Ruimtestaat[[#This Row],[Norm (m2/uur) weekend]],0)</f>
        <v>0</v>
      </c>
      <c r="AD35" s="109">
        <f>Ruimtestaat[[#This Row],[uren / jaar weekend]]*Tariefsopbouw!$D$40</f>
        <v>0</v>
      </c>
      <c r="AE35" s="108">
        <f>Ruimtestaat[[#This Row],[Prest. (m2 /jaar) weekend]]+Ruimtestaat[[#This Row],[Prest. (m2 /jaar) werkdagen]]</f>
        <v>380</v>
      </c>
      <c r="AF35" s="108">
        <f>Ruimtestaat[[#This Row],[uren / jaar weekend]]+Ruimtestaat[[#This Row],[uren / jaar werkdagen]]</f>
        <v>0</v>
      </c>
      <c r="AG35" s="103">
        <f>Ruimtestaat[[#This Row],[kosten / jaar weekend]]+Ruimtestaat[[#This Row],[kosten / jaar werkdagen]]</f>
        <v>0</v>
      </c>
      <c r="AH35" s="103"/>
      <c r="AI35" s="110" t="str">
        <f>IF(Ruimtestaat[[#This Row],[Frequentie werkdagen]]="","",_xlfn.CONCAT(Ruimtestaat[[#This Row],[Ruimte code]],"-",Ruimtestaat[[#This Row],[Frequentie werkdagen]]," ",Ruimtestaat[[#This Row],[Vloer code]]))</f>
        <v>2-1w T</v>
      </c>
      <c r="AJ35" s="114" t="str">
        <f>_xlfn.IFNA(VLOOKUP($AI35,Programma!$F$3:$G$1101,2,0),"")</f>
        <v>_</v>
      </c>
      <c r="AK35" s="114" t="str">
        <f>_xlfn.IFNA(VLOOKUP($AI35,Programma!$F$3:$H$1101,3,0),"")</f>
        <v>1w</v>
      </c>
      <c r="AL35" s="114" t="str">
        <f>_xlfn.IFNA(VLOOKUP($AI35,Programma!$F$3:$I$1101,4,0),"")</f>
        <v>_</v>
      </c>
      <c r="AM35" s="114" t="str">
        <f>_xlfn.IFNA(VLOOKUP($AI35,Programma!$F$3:$J$1101,5,0),"")</f>
        <v>_</v>
      </c>
      <c r="AN35" s="114" t="str">
        <f>_xlfn.IFNA(VLOOKUP($AI35,Programma!$F$3:$K$1101,6,0),"")</f>
        <v>_</v>
      </c>
      <c r="AO35" s="114" t="str">
        <f>_xlfn.IFNA(VLOOKUP($AI35,Programma!$F$3:$L$1101,7,0),"")</f>
        <v>_</v>
      </c>
      <c r="AP35" s="114" t="str">
        <f>_xlfn.IFNA(VLOOKUP($AI35,Programma!$F$3:$M$1101,8,0),"")</f>
        <v>_</v>
      </c>
      <c r="AQ35" s="114" t="str">
        <f>_xlfn.IFNA(VLOOKUP($AI35,Programma!$F$3:$N$1101,9,0),"")</f>
        <v>_</v>
      </c>
      <c r="AR35" s="114" t="str">
        <f>_xlfn.IFNA(VLOOKUP($AI35,Programma!$F$3:$O$1101,10,0),"")</f>
        <v>1w</v>
      </c>
      <c r="AS35" s="114" t="str">
        <f>_xlfn.IFNA(VLOOKUP($AI35,Programma!$F$3:$P$1101,11,0),"")</f>
        <v>1w</v>
      </c>
      <c r="AT35" s="114" t="str">
        <f>_xlfn.IFNA(VLOOKUP($AI35,Programma!$F$3:$Q$1101,12,0),"")</f>
        <v>1w</v>
      </c>
      <c r="AU35" s="114" t="str">
        <f>_xlfn.IFNA(VLOOKUP($AI35,Programma!$F$3:$R$1101,13,0),"")</f>
        <v>1w</v>
      </c>
      <c r="AV35" s="114" t="str">
        <f>_xlfn.IFNA(VLOOKUP($AI35,Programma!$F$3:$S$1101,14,0),"")</f>
        <v>1m</v>
      </c>
      <c r="AW35" s="114" t="str">
        <f>_xlfn.IFNA(VLOOKUP($AI35,Programma!$F$3:$T$1101,15,0),"")</f>
        <v>2j</v>
      </c>
      <c r="AX35" s="114" t="str">
        <f>_xlfn.IFNA(VLOOKUP($AI35,Programma!$F$3:$U$1101,16,0),"")</f>
        <v>1j</v>
      </c>
      <c r="AY35" s="114" t="str">
        <f>_xlfn.IFNA(VLOOKUP($AI35,Programma!$F$3:$V$1101,17,0),"")</f>
        <v>_</v>
      </c>
      <c r="AZ35" s="114" t="str">
        <f>_xlfn.IFNA(VLOOKUP($AI35,Programma!$F$3:$W$1101,18,0),"")</f>
        <v>_</v>
      </c>
      <c r="BA35" s="114" t="str">
        <f>_xlfn.IFNA(VLOOKUP($AI35,Programma!$F$3:$X$1101,19,0),"")</f>
        <v>_</v>
      </c>
      <c r="BB35" s="114" t="str">
        <f>_xlfn.IFNA(VLOOKUP($AI35,Programma!$F$3:$Y$1101,20,0),"")</f>
        <v>_</v>
      </c>
      <c r="BC35" s="111"/>
      <c r="BD35" s="110" t="str">
        <f>IF(Ruimtestaat[[#This Row],[Frequentie weekend]]="","",_xlfn.CONCAT(Ruimtestaat[[#This Row],[Ruimte code]],"-",Ruimtestaat[[#This Row],[Frequentie weekend]]," ",Ruimtestaat[[#This Row],[Vloer code]]))</f>
        <v/>
      </c>
      <c r="BE35" s="114" t="str">
        <f>_xlfn.IFNA(VLOOKUP($BD35,Programma!$F$3:$G$1101,2,0),"")</f>
        <v/>
      </c>
      <c r="BF35" s="114" t="str">
        <f>_xlfn.IFNA(VLOOKUP($BD35,Programma!$F$3:$H$1101,3,0),"")</f>
        <v/>
      </c>
      <c r="BG35" s="114" t="str">
        <f>_xlfn.IFNA(VLOOKUP($BD35,Programma!$F$3:$I$1101,4,0),"")</f>
        <v/>
      </c>
      <c r="BH35" s="114" t="str">
        <f>_xlfn.IFNA(VLOOKUP($BD35,Programma!$F$3:$J$1101,5,0),"")</f>
        <v/>
      </c>
      <c r="BI35" s="114" t="str">
        <f>_xlfn.IFNA(VLOOKUP($BD35,Programma!$F$3:$K$1101,6,0),"")</f>
        <v/>
      </c>
      <c r="BJ35" s="114" t="str">
        <f>_xlfn.IFNA(VLOOKUP($BD35,Programma!$F$3:$L$1101,7,0),"")</f>
        <v/>
      </c>
      <c r="BK35" s="114" t="str">
        <f>_xlfn.IFNA(VLOOKUP($BD35,Programma!$F$3:$M$1101,8,0),"")</f>
        <v/>
      </c>
      <c r="BL35" s="114" t="str">
        <f>_xlfn.IFNA(VLOOKUP($BD35,Programma!$F$3:$N$1101,9,0),"")</f>
        <v/>
      </c>
      <c r="BM35" s="114" t="str">
        <f>_xlfn.IFNA(VLOOKUP($BD35,Programma!$F$3:$O$1101,10,0),"")</f>
        <v/>
      </c>
      <c r="BN35" s="114" t="str">
        <f>_xlfn.IFNA(VLOOKUP($BD35,Programma!$F$3:$P$1101,11,0),"")</f>
        <v/>
      </c>
      <c r="BO35" s="114" t="str">
        <f>_xlfn.IFNA(VLOOKUP($BD35,Programma!$F$3:$Q$1101,12,0),"")</f>
        <v/>
      </c>
      <c r="BP35" s="114" t="str">
        <f>_xlfn.IFNA(VLOOKUP($BD35,Programma!$F$3:$R$1101,13,0),"")</f>
        <v/>
      </c>
      <c r="BQ35" s="114" t="str">
        <f>_xlfn.IFNA(VLOOKUP($BD35,Programma!$F$3:$S$1101,14,0),"")</f>
        <v/>
      </c>
      <c r="BR35" s="114" t="str">
        <f>_xlfn.IFNA(VLOOKUP($BD35,Programma!$F$3:$T$1101,15,0),"")</f>
        <v/>
      </c>
      <c r="BS35" s="114" t="str">
        <f>_xlfn.IFNA(VLOOKUP($BD35,Programma!$F$3:$U$1101,16,0),"")</f>
        <v/>
      </c>
      <c r="BT35" s="114" t="str">
        <f>_xlfn.IFNA(VLOOKUP($BD35,Programma!$F$3:$V$1101,17,0),"")</f>
        <v/>
      </c>
      <c r="BU35" s="114" t="str">
        <f>_xlfn.IFNA(VLOOKUP($BD35,Programma!$F$3:$W$1101,18,0),"")</f>
        <v/>
      </c>
      <c r="BV35" s="114" t="str">
        <f>_xlfn.IFNA(VLOOKUP($BD35,Programma!$F$3:$X$1101,19,0),"")</f>
        <v/>
      </c>
      <c r="BW35" s="114" t="str">
        <f>_xlfn.IFNA(VLOOKUP($BD35,Programma!$F$3:$Y$1101,20,0),"")</f>
        <v/>
      </c>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row>
    <row r="36" spans="1:220" ht="15" customHeight="1">
      <c r="A36" s="73">
        <v>1</v>
      </c>
      <c r="B36" s="105" t="str">
        <f>VLOOKUP(Ruimtestaat[[#This Row],[Code]],Locaties[[Code]:[Locatie]],2,FALSE)</f>
        <v>IKC Kameleon</v>
      </c>
      <c r="C36" s="105" t="str">
        <f>VLOOKUP(Ruimtestaat[[#This Row],[Code]],Locaties[[#All],[Code]:[Adres]],4,FALSE)</f>
        <v>Mondriaanstraat 15</v>
      </c>
      <c r="D36" s="105" t="str">
        <f>VLOOKUP(Ruimtestaat[[#This Row],[Code]],Locaties[[#All],[Code]:[Postcode]],5,FALSE)</f>
        <v>6921 MJ</v>
      </c>
      <c r="E36" s="105" t="str">
        <f>VLOOKUP(Ruimtestaat[[#This Row],[Code]],Locaties[#All],6,FALSE)</f>
        <v>Duiven</v>
      </c>
      <c r="F36" s="73"/>
      <c r="G36" s="73" t="s">
        <v>1645</v>
      </c>
      <c r="H36" s="272"/>
      <c r="I36" s="273" t="s">
        <v>1672</v>
      </c>
      <c r="J36" s="31">
        <v>7</v>
      </c>
      <c r="K36" s="113" t="str">
        <f>VLOOKUP(Ruimtestaat[[#This Row],[Ruimte code]],Ruimtegroepen[[#All],[Code]:[Ruimte omschrijving]],2,FALSE)</f>
        <v>Entree</v>
      </c>
      <c r="L36" s="73" t="s">
        <v>99</v>
      </c>
      <c r="M36" s="273" t="s">
        <v>1978</v>
      </c>
      <c r="N36" s="106">
        <v>12</v>
      </c>
      <c r="O36" s="112"/>
      <c r="P36" s="112"/>
      <c r="Q36" s="107" t="str">
        <f>VLOOKUP(Ruimtestaat[[#This Row],[Ruimte code]],Ruimtegroepen[],4,FALSE)</f>
        <v>Ve</v>
      </c>
      <c r="R36" s="73">
        <v>40</v>
      </c>
      <c r="S36" s="73" t="s">
        <v>2</v>
      </c>
      <c r="T36" s="73">
        <f>IF(R36&gt;0,IF(RIGHT(Ruimtestaat[[#This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 s="73">
        <f>IF(T36&gt;0,VLOOKUP($J36,Ruimtegroepen[],3,FALSE)*VLOOKUP($L36,Vloersoorten[],3,FALSE)*VLOOKUP($S36,Frequenties[],3,FALSE)*VLOOKUP($A36,Locaties[],3,FALSE),0)</f>
        <v>0</v>
      </c>
      <c r="V36" s="73">
        <f>Ruimtestaat[[#This Row],[Uitvoeringen werkdagen]]*Ruimtestaat[[#This Row],[Oppervlak (netto)]]</f>
        <v>2400</v>
      </c>
      <c r="W36" s="108">
        <f>IF(U36&gt;0,Ruimtestaat[[#This Row],[Prest. (m2 /jaar) werkdagen]]/Ruimtestaat[[#This Row],[Norm (m2/uur) werkdagen]],0)</f>
        <v>0</v>
      </c>
      <c r="X36" s="109">
        <f>Ruimtestaat[[#This Row],[uren / jaar werkdagen]]*Tariefsopbouw!$E$35</f>
        <v>0</v>
      </c>
      <c r="Y36" s="73"/>
      <c r="Z36" s="73">
        <f>IF(Ruimtestaat[[#This Row],[Frequentie weekend]]&gt;0,VALUE(LEFT(Y36,1))*R36,0)</f>
        <v>0</v>
      </c>
      <c r="AA36" s="72">
        <f>IF($Z36&gt;0,VLOOKUP($J36,Ruimtegroepen[],3,FALSE)*VLOOKUP($L36,Vloersoorten[],3,FALSE)*VLOOKUP($Y36,Frequenties[],3,FALSE)*VLOOKUP(Ruimtestaat[[#This Row],[Code]],Locaties[],3,FALSE),0)</f>
        <v>0</v>
      </c>
      <c r="AB36" s="72">
        <f>Ruimtestaat[[#This Row],[Uitvoeringen weekend]]*Ruimtestaat[[#This Row],[Oppervlak (netto)]]</f>
        <v>0</v>
      </c>
      <c r="AC36" s="72">
        <f>IF(AA36&gt;0,Ruimtestaat[[#This Row],[Prest. (m2 /jaar) weekend]]/Ruimtestaat[[#This Row],[Norm (m2/uur) weekend]],0)</f>
        <v>0</v>
      </c>
      <c r="AD36" s="109">
        <f>Ruimtestaat[[#This Row],[uren / jaar weekend]]*Tariefsopbouw!$D$40</f>
        <v>0</v>
      </c>
      <c r="AE36" s="108">
        <f>Ruimtestaat[[#This Row],[Prest. (m2 /jaar) weekend]]+Ruimtestaat[[#This Row],[Prest. (m2 /jaar) werkdagen]]</f>
        <v>2400</v>
      </c>
      <c r="AF36" s="108">
        <f>Ruimtestaat[[#This Row],[uren / jaar weekend]]+Ruimtestaat[[#This Row],[uren / jaar werkdagen]]</f>
        <v>0</v>
      </c>
      <c r="AG36" s="103">
        <f>Ruimtestaat[[#This Row],[kosten / jaar weekend]]+Ruimtestaat[[#This Row],[kosten / jaar werkdagen]]</f>
        <v>0</v>
      </c>
      <c r="AH36" s="103"/>
      <c r="AI36" s="110" t="str">
        <f>IF(Ruimtestaat[[#This Row],[Frequentie werkdagen]]="","",_xlfn.CONCAT(Ruimtestaat[[#This Row],[Ruimte code]],"-",Ruimtestaat[[#This Row],[Frequentie werkdagen]]," ",Ruimtestaat[[#This Row],[Vloer code]]))</f>
        <v>7-5w T</v>
      </c>
      <c r="AJ36" s="114" t="str">
        <f>_xlfn.IFNA(VLOOKUP($AI36,Programma!$F$3:$G$1101,2,0),"")</f>
        <v>_</v>
      </c>
      <c r="AK36" s="114" t="str">
        <f>_xlfn.IFNA(VLOOKUP($AI36,Programma!$F$3:$H$1101,3,0),"")</f>
        <v>5w</v>
      </c>
      <c r="AL36" s="114" t="str">
        <f>_xlfn.IFNA(VLOOKUP($AI36,Programma!$F$3:$I$1101,4,0),"")</f>
        <v>_</v>
      </c>
      <c r="AM36" s="114" t="str">
        <f>_xlfn.IFNA(VLOOKUP($AI36,Programma!$F$3:$J$1101,5,0),"")</f>
        <v>_</v>
      </c>
      <c r="AN36" s="114" t="str">
        <f>_xlfn.IFNA(VLOOKUP($AI36,Programma!$F$3:$K$1101,6,0),"")</f>
        <v>_</v>
      </c>
      <c r="AO36" s="114" t="str">
        <f>_xlfn.IFNA(VLOOKUP($AI36,Programma!$F$3:$L$1101,7,0),"")</f>
        <v>_</v>
      </c>
      <c r="AP36" s="114" t="str">
        <f>_xlfn.IFNA(VLOOKUP($AI36,Programma!$F$3:$M$1101,8,0),"")</f>
        <v>_</v>
      </c>
      <c r="AQ36" s="114" t="str">
        <f>_xlfn.IFNA(VLOOKUP($AI36,Programma!$F$3:$N$1101,9,0),"")</f>
        <v>_</v>
      </c>
      <c r="AR36" s="114" t="str">
        <f>_xlfn.IFNA(VLOOKUP($AI36,Programma!$F$3:$O$1101,10,0),"")</f>
        <v>5w</v>
      </c>
      <c r="AS36" s="114" t="str">
        <f>_xlfn.IFNA(VLOOKUP($AI36,Programma!$F$3:$P$1101,11,0),"")</f>
        <v>5w</v>
      </c>
      <c r="AT36" s="114" t="str">
        <f>_xlfn.IFNA(VLOOKUP($AI36,Programma!$F$3:$Q$1101,12,0),"")</f>
        <v>1w</v>
      </c>
      <c r="AU36" s="114" t="str">
        <f>_xlfn.IFNA(VLOOKUP($AI36,Programma!$F$3:$R$1101,13,0),"")</f>
        <v>1w</v>
      </c>
      <c r="AV36" s="114" t="str">
        <f>_xlfn.IFNA(VLOOKUP($AI36,Programma!$F$3:$S$1101,14,0),"")</f>
        <v>1m</v>
      </c>
      <c r="AW36" s="114" t="str">
        <f>_xlfn.IFNA(VLOOKUP($AI36,Programma!$F$3:$T$1101,15,0),"")</f>
        <v>2j</v>
      </c>
      <c r="AX36" s="114" t="str">
        <f>_xlfn.IFNA(VLOOKUP($AI36,Programma!$F$3:$U$1101,16,0),"")</f>
        <v>1j</v>
      </c>
      <c r="AY36" s="114" t="str">
        <f>_xlfn.IFNA(VLOOKUP($AI36,Programma!$F$3:$V$1101,17,0),"")</f>
        <v>_</v>
      </c>
      <c r="AZ36" s="114" t="str">
        <f>_xlfn.IFNA(VLOOKUP($AI36,Programma!$F$3:$W$1101,18,0),"")</f>
        <v>_</v>
      </c>
      <c r="BA36" s="114" t="str">
        <f>_xlfn.IFNA(VLOOKUP($AI36,Programma!$F$3:$X$1101,19,0),"")</f>
        <v>_</v>
      </c>
      <c r="BB36" s="114" t="str">
        <f>_xlfn.IFNA(VLOOKUP($AI36,Programma!$F$3:$Y$1101,20,0),"")</f>
        <v>_</v>
      </c>
      <c r="BC36" s="111"/>
      <c r="BD36" s="110" t="str">
        <f>IF(Ruimtestaat[[#This Row],[Frequentie weekend]]="","",_xlfn.CONCAT(Ruimtestaat[[#This Row],[Ruimte code]],"-",Ruimtestaat[[#This Row],[Frequentie weekend]]," ",Ruimtestaat[[#This Row],[Vloer code]]))</f>
        <v/>
      </c>
      <c r="BE36" s="114" t="str">
        <f>_xlfn.IFNA(VLOOKUP($BD36,Programma!$F$3:$G$1101,2,0),"")</f>
        <v/>
      </c>
      <c r="BF36" s="114" t="str">
        <f>_xlfn.IFNA(VLOOKUP($BD36,Programma!$F$3:$H$1101,3,0),"")</f>
        <v/>
      </c>
      <c r="BG36" s="114" t="str">
        <f>_xlfn.IFNA(VLOOKUP($BD36,Programma!$F$3:$I$1101,4,0),"")</f>
        <v/>
      </c>
      <c r="BH36" s="114" t="str">
        <f>_xlfn.IFNA(VLOOKUP($BD36,Programma!$F$3:$J$1101,5,0),"")</f>
        <v/>
      </c>
      <c r="BI36" s="114" t="str">
        <f>_xlfn.IFNA(VLOOKUP($BD36,Programma!$F$3:$K$1101,6,0),"")</f>
        <v/>
      </c>
      <c r="BJ36" s="114" t="str">
        <f>_xlfn.IFNA(VLOOKUP($BD36,Programma!$F$3:$L$1101,7,0),"")</f>
        <v/>
      </c>
      <c r="BK36" s="114" t="str">
        <f>_xlfn.IFNA(VLOOKUP($BD36,Programma!$F$3:$M$1101,8,0),"")</f>
        <v/>
      </c>
      <c r="BL36" s="114" t="str">
        <f>_xlfn.IFNA(VLOOKUP($BD36,Programma!$F$3:$N$1101,9,0),"")</f>
        <v/>
      </c>
      <c r="BM36" s="114" t="str">
        <f>_xlfn.IFNA(VLOOKUP($BD36,Programma!$F$3:$O$1101,10,0),"")</f>
        <v/>
      </c>
      <c r="BN36" s="114" t="str">
        <f>_xlfn.IFNA(VLOOKUP($BD36,Programma!$F$3:$P$1101,11,0),"")</f>
        <v/>
      </c>
      <c r="BO36" s="114" t="str">
        <f>_xlfn.IFNA(VLOOKUP($BD36,Programma!$F$3:$Q$1101,12,0),"")</f>
        <v/>
      </c>
      <c r="BP36" s="114" t="str">
        <f>_xlfn.IFNA(VLOOKUP($BD36,Programma!$F$3:$R$1101,13,0),"")</f>
        <v/>
      </c>
      <c r="BQ36" s="114" t="str">
        <f>_xlfn.IFNA(VLOOKUP($BD36,Programma!$F$3:$S$1101,14,0),"")</f>
        <v/>
      </c>
      <c r="BR36" s="114" t="str">
        <f>_xlfn.IFNA(VLOOKUP($BD36,Programma!$F$3:$T$1101,15,0),"")</f>
        <v/>
      </c>
      <c r="BS36" s="114" t="str">
        <f>_xlfn.IFNA(VLOOKUP($BD36,Programma!$F$3:$U$1101,16,0),"")</f>
        <v/>
      </c>
      <c r="BT36" s="114" t="str">
        <f>_xlfn.IFNA(VLOOKUP($BD36,Programma!$F$3:$V$1101,17,0),"")</f>
        <v/>
      </c>
      <c r="BU36" s="114" t="str">
        <f>_xlfn.IFNA(VLOOKUP($BD36,Programma!$F$3:$W$1101,18,0),"")</f>
        <v/>
      </c>
      <c r="BV36" s="114" t="str">
        <f>_xlfn.IFNA(VLOOKUP($BD36,Programma!$F$3:$X$1101,19,0),"")</f>
        <v/>
      </c>
      <c r="BW36" s="114" t="str">
        <f>_xlfn.IFNA(VLOOKUP($BD36,Programma!$F$3:$Y$1101,20,0),"")</f>
        <v/>
      </c>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row>
    <row r="37" spans="1:220" ht="15" customHeight="1">
      <c r="A37" s="73">
        <v>1</v>
      </c>
      <c r="B37" s="105" t="str">
        <f>VLOOKUP(Ruimtestaat[[#This Row],[Code]],Locaties[[Code]:[Locatie]],2,FALSE)</f>
        <v>IKC Kameleon</v>
      </c>
      <c r="C37" s="105" t="str">
        <f>VLOOKUP(Ruimtestaat[[#This Row],[Code]],Locaties[[#All],[Code]:[Adres]],4,FALSE)</f>
        <v>Mondriaanstraat 15</v>
      </c>
      <c r="D37" s="105" t="str">
        <f>VLOOKUP(Ruimtestaat[[#This Row],[Code]],Locaties[[#All],[Code]:[Postcode]],5,FALSE)</f>
        <v>6921 MJ</v>
      </c>
      <c r="E37" s="105" t="str">
        <f>VLOOKUP(Ruimtestaat[[#This Row],[Code]],Locaties[#All],6,FALSE)</f>
        <v>Duiven</v>
      </c>
      <c r="F37" s="73"/>
      <c r="G37" s="73" t="s">
        <v>1645</v>
      </c>
      <c r="H37" s="272"/>
      <c r="I37" s="273" t="s">
        <v>1723</v>
      </c>
      <c r="J37" s="31">
        <v>5</v>
      </c>
      <c r="K37" s="113" t="str">
        <f>VLOOKUP(Ruimtestaat[[#This Row],[Ruimte code]],Ruimtegroepen[[#All],[Code]:[Ruimte omschrijving]],2,FALSE)</f>
        <v>Sanitair</v>
      </c>
      <c r="L37" s="73" t="s">
        <v>99</v>
      </c>
      <c r="M37" s="273" t="s">
        <v>36</v>
      </c>
      <c r="N37" s="106">
        <v>4</v>
      </c>
      <c r="O37" s="112"/>
      <c r="P37" s="112"/>
      <c r="Q37" s="107" t="str">
        <f>VLOOKUP(Ruimtestaat[[#This Row],[Ruimte code]],Ruimtegroepen[],4,FALSE)</f>
        <v>Sa</v>
      </c>
      <c r="R37" s="73">
        <v>40</v>
      </c>
      <c r="S37" s="73" t="s">
        <v>2</v>
      </c>
      <c r="T37" s="73">
        <f>IF(R37&gt;0,IF(RIGHT(Ruimtestaat[[#This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 s="73">
        <f>IF(T37&gt;0,VLOOKUP($J37,Ruimtegroepen[],3,FALSE)*VLOOKUP($L37,Vloersoorten[],3,FALSE)*VLOOKUP($S37,Frequenties[],3,FALSE)*VLOOKUP($A37,Locaties[],3,FALSE),0)</f>
        <v>0</v>
      </c>
      <c r="V37" s="73">
        <f>Ruimtestaat[[#This Row],[Uitvoeringen werkdagen]]*Ruimtestaat[[#This Row],[Oppervlak (netto)]]</f>
        <v>800</v>
      </c>
      <c r="W37" s="108">
        <f>IF(U37&gt;0,Ruimtestaat[[#This Row],[Prest. (m2 /jaar) werkdagen]]/Ruimtestaat[[#This Row],[Norm (m2/uur) werkdagen]],0)</f>
        <v>0</v>
      </c>
      <c r="X37" s="109">
        <f>Ruimtestaat[[#This Row],[uren / jaar werkdagen]]*Tariefsopbouw!$E$35</f>
        <v>0</v>
      </c>
      <c r="Y37" s="73"/>
      <c r="Z37" s="73">
        <f>IF(Ruimtestaat[[#This Row],[Frequentie weekend]]&gt;0,VALUE(LEFT(Y37,1))*R37,0)</f>
        <v>0</v>
      </c>
      <c r="AA37" s="72">
        <f>IF($Z37&gt;0,VLOOKUP($J37,Ruimtegroepen[],3,FALSE)*VLOOKUP($L37,Vloersoorten[],3,FALSE)*VLOOKUP($Y37,Frequenties[],3,FALSE)*VLOOKUP(#REF!,Locaties[],3,FALSE),0)</f>
        <v>0</v>
      </c>
      <c r="AB37" s="72">
        <f>Ruimtestaat[[#This Row],[Uitvoeringen weekend]]*Ruimtestaat[[#This Row],[Oppervlak (netto)]]</f>
        <v>0</v>
      </c>
      <c r="AC37" s="72">
        <f>IF(AA37&gt;0,Ruimtestaat[[#This Row],[Prest. (m2 /jaar) weekend]]/Ruimtestaat[[#This Row],[Norm (m2/uur) weekend]],0)</f>
        <v>0</v>
      </c>
      <c r="AD37" s="109">
        <f>Ruimtestaat[[#This Row],[uren / jaar weekend]]*Tariefsopbouw!$D$40</f>
        <v>0</v>
      </c>
      <c r="AE37" s="108">
        <f>Ruimtestaat[[#This Row],[Prest. (m2 /jaar) weekend]]+Ruimtestaat[[#This Row],[Prest. (m2 /jaar) werkdagen]]</f>
        <v>800</v>
      </c>
      <c r="AF37" s="108">
        <f>Ruimtestaat[[#This Row],[uren / jaar weekend]]+Ruimtestaat[[#This Row],[uren / jaar werkdagen]]</f>
        <v>0</v>
      </c>
      <c r="AG37" s="103">
        <f>Ruimtestaat[[#This Row],[kosten / jaar weekend]]+Ruimtestaat[[#This Row],[kosten / jaar werkdagen]]</f>
        <v>0</v>
      </c>
      <c r="AH37" s="103"/>
      <c r="AI37" s="110" t="str">
        <f>IF(Ruimtestaat[[#This Row],[Frequentie werkdagen]]="","",_xlfn.CONCAT(Ruimtestaat[[#This Row],[Ruimte code]],"-",Ruimtestaat[[#This Row],[Frequentie werkdagen]]," ",Ruimtestaat[[#This Row],[Vloer code]]))</f>
        <v>5-5w T</v>
      </c>
      <c r="AJ37" s="114" t="str">
        <f>_xlfn.IFNA(VLOOKUP($AI37,Programma!$F$3:$G$1101,2,0),"")</f>
        <v>_</v>
      </c>
      <c r="AK37" s="114" t="str">
        <f>_xlfn.IFNA(VLOOKUP($AI37,Programma!$F$3:$H$1101,3,0),"")</f>
        <v>_</v>
      </c>
      <c r="AL37" s="114" t="str">
        <f>_xlfn.IFNA(VLOOKUP($AI37,Programma!$F$3:$I$1101,4,0),"")</f>
        <v>_</v>
      </c>
      <c r="AM37" s="114" t="str">
        <f>_xlfn.IFNA(VLOOKUP($AI37,Programma!$F$3:$J$1101,5,0),"")</f>
        <v>_</v>
      </c>
      <c r="AN37" s="114" t="str">
        <f>_xlfn.IFNA(VLOOKUP($AI37,Programma!$F$3:$K$1101,6,0),"")</f>
        <v>_</v>
      </c>
      <c r="AO37" s="114" t="str">
        <f>_xlfn.IFNA(VLOOKUP($AI37,Programma!$F$3:$L$1101,7,0),"")</f>
        <v>_</v>
      </c>
      <c r="AP37" s="114" t="str">
        <f>_xlfn.IFNA(VLOOKUP($AI37,Programma!$F$3:$M$1101,8,0),"")</f>
        <v>_</v>
      </c>
      <c r="AQ37" s="114" t="str">
        <f>_xlfn.IFNA(VLOOKUP($AI37,Programma!$F$3:$N$1101,9,0),"")</f>
        <v>_</v>
      </c>
      <c r="AR37" s="114" t="str">
        <f>_xlfn.IFNA(VLOOKUP($AI37,Programma!$F$3:$O$1101,10,0),"")</f>
        <v>_</v>
      </c>
      <c r="AS37" s="114" t="str">
        <f>_xlfn.IFNA(VLOOKUP($AI37,Programma!$F$3:$P$1101,11,0),"")</f>
        <v>_</v>
      </c>
      <c r="AT37" s="114" t="str">
        <f>_xlfn.IFNA(VLOOKUP($AI37,Programma!$F$3:$Q$1101,12,0),"")</f>
        <v>_</v>
      </c>
      <c r="AU37" s="114" t="str">
        <f>_xlfn.IFNA(VLOOKUP($AI37,Programma!$F$3:$R$1101,13,0),"")</f>
        <v>_</v>
      </c>
      <c r="AV37" s="114" t="str">
        <f>_xlfn.IFNA(VLOOKUP($AI37,Programma!$F$3:$S$1101,14,0),"")</f>
        <v>_</v>
      </c>
      <c r="AW37" s="114" t="str">
        <f>_xlfn.IFNA(VLOOKUP($AI37,Programma!$F$3:$T$1101,15,0),"")</f>
        <v>_</v>
      </c>
      <c r="AX37" s="114" t="str">
        <f>_xlfn.IFNA(VLOOKUP($AI37,Programma!$F$3:$U$1101,16,0),"")</f>
        <v>_</v>
      </c>
      <c r="AY37" s="114" t="str">
        <f>_xlfn.IFNA(VLOOKUP($AI37,Programma!$F$3:$V$1101,17,0),"")</f>
        <v>_</v>
      </c>
      <c r="AZ37" s="114" t="str">
        <f>_xlfn.IFNA(VLOOKUP($AI37,Programma!$F$3:$W$1101,18,0),"")</f>
        <v>_</v>
      </c>
      <c r="BA37" s="114" t="str">
        <f>_xlfn.IFNA(VLOOKUP($AI37,Programma!$F$3:$X$1101,19,0),"")</f>
        <v>_</v>
      </c>
      <c r="BB37" s="114" t="str">
        <f>_xlfn.IFNA(VLOOKUP($AI37,Programma!$F$3:$Y$1101,20,0),"")</f>
        <v>_</v>
      </c>
      <c r="BC37" s="111"/>
      <c r="BD37" s="110" t="str">
        <f>IF(Ruimtestaat[[#This Row],[Frequentie weekend]]="","",_xlfn.CONCAT(Ruimtestaat[[#This Row],[Ruimte code]],"-",Ruimtestaat[[#This Row],[Frequentie weekend]]," ",Ruimtestaat[[#This Row],[Vloer code]]))</f>
        <v/>
      </c>
      <c r="BE37" s="114" t="str">
        <f>_xlfn.IFNA(VLOOKUP($BD37,Programma!$F$3:$G$1101,2,0),"")</f>
        <v/>
      </c>
      <c r="BF37" s="114" t="str">
        <f>_xlfn.IFNA(VLOOKUP($BD37,Programma!$F$3:$H$1101,3,0),"")</f>
        <v/>
      </c>
      <c r="BG37" s="114" t="str">
        <f>_xlfn.IFNA(VLOOKUP($BD37,Programma!$F$3:$I$1101,4,0),"")</f>
        <v/>
      </c>
      <c r="BH37" s="114" t="str">
        <f>_xlfn.IFNA(VLOOKUP($BD37,Programma!$F$3:$J$1101,5,0),"")</f>
        <v/>
      </c>
      <c r="BI37" s="114" t="str">
        <f>_xlfn.IFNA(VLOOKUP($BD37,Programma!$F$3:$K$1101,6,0),"")</f>
        <v/>
      </c>
      <c r="BJ37" s="114" t="str">
        <f>_xlfn.IFNA(VLOOKUP($BD37,Programma!$F$3:$L$1101,7,0),"")</f>
        <v/>
      </c>
      <c r="BK37" s="114" t="str">
        <f>_xlfn.IFNA(VLOOKUP($BD37,Programma!$F$3:$M$1101,8,0),"")</f>
        <v/>
      </c>
      <c r="BL37" s="114" t="str">
        <f>_xlfn.IFNA(VLOOKUP($BD37,Programma!$F$3:$N$1101,9,0),"")</f>
        <v/>
      </c>
      <c r="BM37" s="114" t="str">
        <f>_xlfn.IFNA(VLOOKUP($BD37,Programma!$F$3:$O$1101,10,0),"")</f>
        <v/>
      </c>
      <c r="BN37" s="114" t="str">
        <f>_xlfn.IFNA(VLOOKUP($BD37,Programma!$F$3:$P$1101,11,0),"")</f>
        <v/>
      </c>
      <c r="BO37" s="114" t="str">
        <f>_xlfn.IFNA(VLOOKUP($BD37,Programma!$F$3:$Q$1101,12,0),"")</f>
        <v/>
      </c>
      <c r="BP37" s="114" t="str">
        <f>_xlfn.IFNA(VLOOKUP($BD37,Programma!$F$3:$R$1101,13,0),"")</f>
        <v/>
      </c>
      <c r="BQ37" s="114" t="str">
        <f>_xlfn.IFNA(VLOOKUP($BD37,Programma!$F$3:$S$1101,14,0),"")</f>
        <v/>
      </c>
      <c r="BR37" s="114" t="str">
        <f>_xlfn.IFNA(VLOOKUP($BD37,Programma!$F$3:$T$1101,15,0),"")</f>
        <v/>
      </c>
      <c r="BS37" s="114" t="str">
        <f>_xlfn.IFNA(VLOOKUP($BD37,Programma!$F$3:$U$1101,16,0),"")</f>
        <v/>
      </c>
      <c r="BT37" s="114" t="str">
        <f>_xlfn.IFNA(VLOOKUP($BD37,Programma!$F$3:$V$1101,17,0),"")</f>
        <v/>
      </c>
      <c r="BU37" s="114" t="str">
        <f>_xlfn.IFNA(VLOOKUP($BD37,Programma!$F$3:$W$1101,18,0),"")</f>
        <v/>
      </c>
      <c r="BV37" s="114" t="str">
        <f>_xlfn.IFNA(VLOOKUP($BD37,Programma!$F$3:$X$1101,19,0),"")</f>
        <v/>
      </c>
      <c r="BW37" s="114" t="str">
        <f>_xlfn.IFNA(VLOOKUP($BD37,Programma!$F$3:$Y$1101,20,0),"")</f>
        <v/>
      </c>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row>
    <row r="38" spans="1:220" ht="15" customHeight="1">
      <c r="A38" s="73">
        <v>1</v>
      </c>
      <c r="B38" s="105" t="str">
        <f>VLOOKUP(Ruimtestaat[[#This Row],[Code]],Locaties[[Code]:[Locatie]],2,FALSE)</f>
        <v>IKC Kameleon</v>
      </c>
      <c r="C38" s="105" t="str">
        <f>VLOOKUP(Ruimtestaat[[#This Row],[Code]],Locaties[[#All],[Code]:[Adres]],4,FALSE)</f>
        <v>Mondriaanstraat 15</v>
      </c>
      <c r="D38" s="105" t="str">
        <f>VLOOKUP(Ruimtestaat[[#This Row],[Code]],Locaties[[#All],[Code]:[Postcode]],5,FALSE)</f>
        <v>6921 MJ</v>
      </c>
      <c r="E38" s="105" t="str">
        <f>VLOOKUP(Ruimtestaat[[#This Row],[Code]],Locaties[#All],6,FALSE)</f>
        <v>Duiven</v>
      </c>
      <c r="F38" s="73"/>
      <c r="G38" s="73" t="s">
        <v>1645</v>
      </c>
      <c r="H38" s="272"/>
      <c r="I38" s="273" t="s">
        <v>1673</v>
      </c>
      <c r="J38" s="31">
        <v>16</v>
      </c>
      <c r="K38" s="102" t="str">
        <f>VLOOKUP(Ruimtestaat[[#This Row],[Ruimte code]],Ruimtegroepen[[#All],[Code]:[Ruimte omschrijving]],2,FALSE)</f>
        <v>Leslokalen</v>
      </c>
      <c r="L38" s="73" t="s">
        <v>99</v>
      </c>
      <c r="M38" s="273" t="s">
        <v>36</v>
      </c>
      <c r="N38" s="106">
        <v>56.25</v>
      </c>
      <c r="O38" s="112"/>
      <c r="P38" s="112"/>
      <c r="Q38" s="107" t="str">
        <f>VLOOKUP(Ruimtestaat[[#This Row],[Ruimte code]],Ruimtegroepen[],4,FALSE)</f>
        <v>Le</v>
      </c>
      <c r="R38" s="73">
        <v>40</v>
      </c>
      <c r="S38" s="73" t="s">
        <v>2</v>
      </c>
      <c r="T38" s="73">
        <f>IF(R38&gt;0,IF(RIGHT(Ruimtestaat[[#This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 s="73">
        <f>IF(T38&gt;0,VLOOKUP($J38,Ruimtegroepen[],3,FALSE)*VLOOKUP($L38,Vloersoorten[],3,FALSE)*VLOOKUP($S38,Frequenties[],3,FALSE)*VLOOKUP($A38,Locaties[],3,FALSE),0)</f>
        <v>0</v>
      </c>
      <c r="V38" s="73">
        <f>Ruimtestaat[[#This Row],[Uitvoeringen werkdagen]]*Ruimtestaat[[#This Row],[Oppervlak (netto)]]</f>
        <v>11250</v>
      </c>
      <c r="W38" s="108">
        <f>IF(U38&gt;0,Ruimtestaat[[#This Row],[Prest. (m2 /jaar) werkdagen]]/Ruimtestaat[[#This Row],[Norm (m2/uur) werkdagen]],0)</f>
        <v>0</v>
      </c>
      <c r="X38" s="109">
        <f>Ruimtestaat[[#This Row],[uren / jaar werkdagen]]*Tariefsopbouw!$E$35</f>
        <v>0</v>
      </c>
      <c r="Y38" s="73"/>
      <c r="Z38" s="73">
        <f>IF(Ruimtestaat[[#This Row],[Frequentie weekend]]&gt;0,VALUE(LEFT(Y38,1))*R38,0)</f>
        <v>0</v>
      </c>
      <c r="AA38" s="72">
        <f>IF($Z38&gt;0,VLOOKUP($J38,Ruimtegroepen[],3,FALSE)*VLOOKUP($L38,Vloersoorten[],3,FALSE)*VLOOKUP($Y38,Frequenties[],3,FALSE)*VLOOKUP(Ruimtestaat[[#This Row],[Code]],Locaties[],3,FALSE),0)</f>
        <v>0</v>
      </c>
      <c r="AB38" s="72">
        <f>Ruimtestaat[[#This Row],[Uitvoeringen weekend]]*Ruimtestaat[[#This Row],[Oppervlak (netto)]]</f>
        <v>0</v>
      </c>
      <c r="AC38" s="72">
        <f>IF(AA38&gt;0,Ruimtestaat[[#This Row],[Prest. (m2 /jaar) weekend]]/Ruimtestaat[[#This Row],[Norm (m2/uur) weekend]],0)</f>
        <v>0</v>
      </c>
      <c r="AD38" s="109">
        <f>Ruimtestaat[[#This Row],[uren / jaar weekend]]*Tariefsopbouw!$D$40</f>
        <v>0</v>
      </c>
      <c r="AE38" s="108">
        <f>Ruimtestaat[[#This Row],[Prest. (m2 /jaar) weekend]]+Ruimtestaat[[#This Row],[Prest. (m2 /jaar) werkdagen]]</f>
        <v>11250</v>
      </c>
      <c r="AF38" s="108">
        <f>Ruimtestaat[[#This Row],[uren / jaar weekend]]+Ruimtestaat[[#This Row],[uren / jaar werkdagen]]</f>
        <v>0</v>
      </c>
      <c r="AG38" s="103">
        <f>Ruimtestaat[[#This Row],[kosten / jaar weekend]]+Ruimtestaat[[#This Row],[kosten / jaar werkdagen]]</f>
        <v>0</v>
      </c>
      <c r="AH38" s="103"/>
      <c r="AI38" s="110" t="str">
        <f>IF(Ruimtestaat[[#This Row],[Frequentie werkdagen]]="","",_xlfn.CONCAT(Ruimtestaat[[#This Row],[Ruimte code]],"-",Ruimtestaat[[#This Row],[Frequentie werkdagen]]," ",Ruimtestaat[[#This Row],[Vloer code]]))</f>
        <v>16-5w T</v>
      </c>
      <c r="AJ38" s="114" t="str">
        <f>_xlfn.IFNA(VLOOKUP($AI38,Programma!$F$3:$G$1101,2,0),"")</f>
        <v>3w</v>
      </c>
      <c r="AK38" s="114" t="str">
        <f>_xlfn.IFNA(VLOOKUP($AI38,Programma!$F$3:$H$1101,3,0),"")</f>
        <v>2w</v>
      </c>
      <c r="AL38" s="114" t="str">
        <f>_xlfn.IFNA(VLOOKUP($AI38,Programma!$F$3:$I$1101,4,0),"")</f>
        <v>_</v>
      </c>
      <c r="AM38" s="114" t="str">
        <f>_xlfn.IFNA(VLOOKUP($AI38,Programma!$F$3:$J$1101,5,0),"")</f>
        <v>_</v>
      </c>
      <c r="AN38" s="114" t="str">
        <f>_xlfn.IFNA(VLOOKUP($AI38,Programma!$F$3:$K$1101,6,0),"")</f>
        <v>_</v>
      </c>
      <c r="AO38" s="114" t="str">
        <f>_xlfn.IFNA(VLOOKUP($AI38,Programma!$F$3:$L$1101,7,0),"")</f>
        <v>_</v>
      </c>
      <c r="AP38" s="114" t="str">
        <f>_xlfn.IFNA(VLOOKUP($AI38,Programma!$F$3:$M$1101,8,0),"")</f>
        <v>_</v>
      </c>
      <c r="AQ38" s="114" t="str">
        <f>_xlfn.IFNA(VLOOKUP($AI38,Programma!$F$3:$N$1101,9,0),"")</f>
        <v>_</v>
      </c>
      <c r="AR38" s="114" t="str">
        <f>_xlfn.IFNA(VLOOKUP($AI38,Programma!$F$3:$O$1101,10,0),"")</f>
        <v>5w</v>
      </c>
      <c r="AS38" s="114" t="str">
        <f>_xlfn.IFNA(VLOOKUP($AI38,Programma!$F$3:$P$1101,11,0),"")</f>
        <v>5w</v>
      </c>
      <c r="AT38" s="114" t="str">
        <f>_xlfn.IFNA(VLOOKUP($AI38,Programma!$F$3:$Q$1101,12,0),"")</f>
        <v>1w</v>
      </c>
      <c r="AU38" s="114" t="str">
        <f>_xlfn.IFNA(VLOOKUP($AI38,Programma!$F$3:$R$1101,13,0),"")</f>
        <v>1w</v>
      </c>
      <c r="AV38" s="114" t="str">
        <f>_xlfn.IFNA(VLOOKUP($AI38,Programma!$F$3:$S$1101,14,0),"")</f>
        <v>1m</v>
      </c>
      <c r="AW38" s="114" t="str">
        <f>_xlfn.IFNA(VLOOKUP($AI38,Programma!$F$3:$T$1101,15,0),"")</f>
        <v>2j</v>
      </c>
      <c r="AX38" s="114" t="str">
        <f>_xlfn.IFNA(VLOOKUP($AI38,Programma!$F$3:$U$1101,16,0),"")</f>
        <v>1j</v>
      </c>
      <c r="AY38" s="114" t="str">
        <f>_xlfn.IFNA(VLOOKUP($AI38,Programma!$F$3:$V$1101,17,0),"")</f>
        <v>_</v>
      </c>
      <c r="AZ38" s="114" t="str">
        <f>_xlfn.IFNA(VLOOKUP($AI38,Programma!$F$3:$W$1101,18,0),"")</f>
        <v>_</v>
      </c>
      <c r="BA38" s="114" t="str">
        <f>_xlfn.IFNA(VLOOKUP($AI38,Programma!$F$3:$X$1101,19,0),"")</f>
        <v>_</v>
      </c>
      <c r="BB38" s="114" t="str">
        <f>_xlfn.IFNA(VLOOKUP($AI38,Programma!$F$3:$Y$1101,20,0),"")</f>
        <v>_</v>
      </c>
      <c r="BC38" s="111"/>
      <c r="BD38" s="110" t="str">
        <f>IF(Ruimtestaat[[#This Row],[Frequentie weekend]]="","",_xlfn.CONCAT(Ruimtestaat[[#This Row],[Ruimte code]],"-",Ruimtestaat[[#This Row],[Frequentie weekend]]," ",Ruimtestaat[[#This Row],[Vloer code]]))</f>
        <v/>
      </c>
      <c r="BE38" s="114" t="str">
        <f>_xlfn.IFNA(VLOOKUP($BD38,Programma!$F$3:$G$1101,2,0),"")</f>
        <v/>
      </c>
      <c r="BF38" s="114" t="str">
        <f>_xlfn.IFNA(VLOOKUP($BD38,Programma!$F$3:$H$1101,3,0),"")</f>
        <v/>
      </c>
      <c r="BG38" s="114" t="str">
        <f>_xlfn.IFNA(VLOOKUP($BD38,Programma!$F$3:$I$1101,4,0),"")</f>
        <v/>
      </c>
      <c r="BH38" s="114" t="str">
        <f>_xlfn.IFNA(VLOOKUP($BD38,Programma!$F$3:$J$1101,5,0),"")</f>
        <v/>
      </c>
      <c r="BI38" s="114" t="str">
        <f>_xlfn.IFNA(VLOOKUP($BD38,Programma!$F$3:$K$1101,6,0),"")</f>
        <v/>
      </c>
      <c r="BJ38" s="114" t="str">
        <f>_xlfn.IFNA(VLOOKUP($BD38,Programma!$F$3:$L$1101,7,0),"")</f>
        <v/>
      </c>
      <c r="BK38" s="114" t="str">
        <f>_xlfn.IFNA(VLOOKUP($BD38,Programma!$F$3:$M$1101,8,0),"")</f>
        <v/>
      </c>
      <c r="BL38" s="114" t="str">
        <f>_xlfn.IFNA(VLOOKUP($BD38,Programma!$F$3:$N$1101,9,0),"")</f>
        <v/>
      </c>
      <c r="BM38" s="114" t="str">
        <f>_xlfn.IFNA(VLOOKUP($BD38,Programma!$F$3:$O$1101,10,0),"")</f>
        <v/>
      </c>
      <c r="BN38" s="114" t="str">
        <f>_xlfn.IFNA(VLOOKUP($BD38,Programma!$F$3:$P$1101,11,0),"")</f>
        <v/>
      </c>
      <c r="BO38" s="114" t="str">
        <f>_xlfn.IFNA(VLOOKUP($BD38,Programma!$F$3:$Q$1101,12,0),"")</f>
        <v/>
      </c>
      <c r="BP38" s="114" t="str">
        <f>_xlfn.IFNA(VLOOKUP($BD38,Programma!$F$3:$R$1101,13,0),"")</f>
        <v/>
      </c>
      <c r="BQ38" s="114" t="str">
        <f>_xlfn.IFNA(VLOOKUP($BD38,Programma!$F$3:$S$1101,14,0),"")</f>
        <v/>
      </c>
      <c r="BR38" s="114" t="str">
        <f>_xlfn.IFNA(VLOOKUP($BD38,Programma!$F$3:$T$1101,15,0),"")</f>
        <v/>
      </c>
      <c r="BS38" s="114" t="str">
        <f>_xlfn.IFNA(VLOOKUP($BD38,Programma!$F$3:$U$1101,16,0),"")</f>
        <v/>
      </c>
      <c r="BT38" s="114" t="str">
        <f>_xlfn.IFNA(VLOOKUP($BD38,Programma!$F$3:$V$1101,17,0),"")</f>
        <v/>
      </c>
      <c r="BU38" s="114" t="str">
        <f>_xlfn.IFNA(VLOOKUP($BD38,Programma!$F$3:$W$1101,18,0),"")</f>
        <v/>
      </c>
      <c r="BV38" s="114" t="str">
        <f>_xlfn.IFNA(VLOOKUP($BD38,Programma!$F$3:$X$1101,19,0),"")</f>
        <v/>
      </c>
      <c r="BW38" s="114" t="str">
        <f>_xlfn.IFNA(VLOOKUP($BD38,Programma!$F$3:$Y$1101,20,0),"")</f>
        <v/>
      </c>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row>
    <row r="39" spans="1:220" ht="15" customHeight="1">
      <c r="A39" s="73">
        <v>1</v>
      </c>
      <c r="B39" s="105" t="str">
        <f>VLOOKUP(Ruimtestaat[[#This Row],[Code]],Locaties[[Code]:[Locatie]],2,FALSE)</f>
        <v>IKC Kameleon</v>
      </c>
      <c r="C39" s="105" t="str">
        <f>VLOOKUP(Ruimtestaat[[#This Row],[Code]],Locaties[[#All],[Code]:[Adres]],4,FALSE)</f>
        <v>Mondriaanstraat 15</v>
      </c>
      <c r="D39" s="105" t="str">
        <f>VLOOKUP(Ruimtestaat[[#This Row],[Code]],Locaties[[#All],[Code]:[Postcode]],5,FALSE)</f>
        <v>6921 MJ</v>
      </c>
      <c r="E39" s="105" t="str">
        <f>VLOOKUP(Ruimtestaat[[#This Row],[Code]],Locaties[#All],6,FALSE)</f>
        <v>Duiven</v>
      </c>
      <c r="F39" s="73"/>
      <c r="G39" s="73" t="s">
        <v>1645</v>
      </c>
      <c r="H39" s="272"/>
      <c r="I39" s="273" t="s">
        <v>1674</v>
      </c>
      <c r="J39" s="31">
        <v>16</v>
      </c>
      <c r="K39" s="102" t="str">
        <f>VLOOKUP(Ruimtestaat[[#This Row],[Ruimte code]],Ruimtegroepen[[#All],[Code]:[Ruimte omschrijving]],2,FALSE)</f>
        <v>Leslokalen</v>
      </c>
      <c r="L39" s="73" t="s">
        <v>99</v>
      </c>
      <c r="M39" s="273" t="s">
        <v>36</v>
      </c>
      <c r="N39" s="106">
        <v>56.25</v>
      </c>
      <c r="O39" s="73"/>
      <c r="P39" s="73"/>
      <c r="Q39" s="107" t="str">
        <f>VLOOKUP(Ruimtestaat[[#This Row],[Ruimte code]],Ruimtegroepen[],4,FALSE)</f>
        <v>Le</v>
      </c>
      <c r="R39" s="73">
        <v>40</v>
      </c>
      <c r="S39" s="73" t="s">
        <v>2</v>
      </c>
      <c r="T39" s="73">
        <f>IF(R39&gt;0,IF(RIGHT(Ruimtestaat[[#This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 s="73">
        <f>IF(T39&gt;0,VLOOKUP($J39,Ruimtegroepen[],3,FALSE)*VLOOKUP($L39,Vloersoorten[],3,FALSE)*VLOOKUP($S39,Frequenties[],3,FALSE)*VLOOKUP($A39,Locaties[],3,FALSE),0)</f>
        <v>0</v>
      </c>
      <c r="V39" s="73">
        <f>Ruimtestaat[[#This Row],[Uitvoeringen werkdagen]]*Ruimtestaat[[#This Row],[Oppervlak (netto)]]</f>
        <v>11250</v>
      </c>
      <c r="W39" s="108">
        <f>IF(U39&gt;0,Ruimtestaat[[#This Row],[Prest. (m2 /jaar) werkdagen]]/Ruimtestaat[[#This Row],[Norm (m2/uur) werkdagen]],0)</f>
        <v>0</v>
      </c>
      <c r="X39" s="109">
        <f>Ruimtestaat[[#This Row],[uren / jaar werkdagen]]*Tariefsopbouw!$E$35</f>
        <v>0</v>
      </c>
      <c r="Y39" s="73"/>
      <c r="Z39" s="73">
        <f>IF(Ruimtestaat[[#This Row],[Frequentie weekend]]&gt;0,VALUE(LEFT(Y39,1))*R39,0)</f>
        <v>0</v>
      </c>
      <c r="AA39" s="72">
        <f>IF($Z39&gt;0,VLOOKUP($J39,Ruimtegroepen[],3,FALSE)*VLOOKUP($L39,Vloersoorten[],3,FALSE)*VLOOKUP($Y39,Frequenties[],3,FALSE)*VLOOKUP(Ruimtestaat[[#This Row],[Code]],Locaties[],3,FALSE),0)</f>
        <v>0</v>
      </c>
      <c r="AB39" s="72">
        <f>Ruimtestaat[[#This Row],[Uitvoeringen weekend]]*Ruimtestaat[[#This Row],[Oppervlak (netto)]]</f>
        <v>0</v>
      </c>
      <c r="AC39" s="72">
        <f>IF(AA39&gt;0,Ruimtestaat[[#This Row],[Prest. (m2 /jaar) weekend]]/Ruimtestaat[[#This Row],[Norm (m2/uur) weekend]],0)</f>
        <v>0</v>
      </c>
      <c r="AD39" s="109">
        <f>Ruimtestaat[[#This Row],[uren / jaar weekend]]*Tariefsopbouw!$D$40</f>
        <v>0</v>
      </c>
      <c r="AE39" s="108">
        <f>Ruimtestaat[[#This Row],[Prest. (m2 /jaar) weekend]]+Ruimtestaat[[#This Row],[Prest. (m2 /jaar) werkdagen]]</f>
        <v>11250</v>
      </c>
      <c r="AF39" s="108">
        <f>Ruimtestaat[[#This Row],[uren / jaar weekend]]+Ruimtestaat[[#This Row],[uren / jaar werkdagen]]</f>
        <v>0</v>
      </c>
      <c r="AG39" s="103">
        <f>Ruimtestaat[[#This Row],[kosten / jaar weekend]]+Ruimtestaat[[#This Row],[kosten / jaar werkdagen]]</f>
        <v>0</v>
      </c>
      <c r="AH39" s="103"/>
      <c r="AI39" s="110" t="str">
        <f>IF(Ruimtestaat[[#This Row],[Frequentie werkdagen]]="","",_xlfn.CONCAT(Ruimtestaat[[#This Row],[Ruimte code]],"-",Ruimtestaat[[#This Row],[Frequentie werkdagen]]," ",Ruimtestaat[[#This Row],[Vloer code]]))</f>
        <v>16-5w T</v>
      </c>
      <c r="AJ39" s="114" t="str">
        <f>_xlfn.IFNA(VLOOKUP($AI39,Programma!$F$3:$G$1101,2,0),"")</f>
        <v>3w</v>
      </c>
      <c r="AK39" s="114" t="str">
        <f>_xlfn.IFNA(VLOOKUP($AI39,Programma!$F$3:$H$1101,3,0),"")</f>
        <v>2w</v>
      </c>
      <c r="AL39" s="114" t="str">
        <f>_xlfn.IFNA(VLOOKUP($AI39,Programma!$F$3:$I$1101,4,0),"")</f>
        <v>_</v>
      </c>
      <c r="AM39" s="114" t="str">
        <f>_xlfn.IFNA(VLOOKUP($AI39,Programma!$F$3:$J$1101,5,0),"")</f>
        <v>_</v>
      </c>
      <c r="AN39" s="114" t="str">
        <f>_xlfn.IFNA(VLOOKUP($AI39,Programma!$F$3:$K$1101,6,0),"")</f>
        <v>_</v>
      </c>
      <c r="AO39" s="114" t="str">
        <f>_xlfn.IFNA(VLOOKUP($AI39,Programma!$F$3:$L$1101,7,0),"")</f>
        <v>_</v>
      </c>
      <c r="AP39" s="114" t="str">
        <f>_xlfn.IFNA(VLOOKUP($AI39,Programma!$F$3:$M$1101,8,0),"")</f>
        <v>_</v>
      </c>
      <c r="AQ39" s="114" t="str">
        <f>_xlfn.IFNA(VLOOKUP($AI39,Programma!$F$3:$N$1101,9,0),"")</f>
        <v>_</v>
      </c>
      <c r="AR39" s="114" t="str">
        <f>_xlfn.IFNA(VLOOKUP($AI39,Programma!$F$3:$O$1101,10,0),"")</f>
        <v>5w</v>
      </c>
      <c r="AS39" s="114" t="str">
        <f>_xlfn.IFNA(VLOOKUP($AI39,Programma!$F$3:$P$1101,11,0),"")</f>
        <v>5w</v>
      </c>
      <c r="AT39" s="114" t="str">
        <f>_xlfn.IFNA(VLOOKUP($AI39,Programma!$F$3:$Q$1101,12,0),"")</f>
        <v>1w</v>
      </c>
      <c r="AU39" s="114" t="str">
        <f>_xlfn.IFNA(VLOOKUP($AI39,Programma!$F$3:$R$1101,13,0),"")</f>
        <v>1w</v>
      </c>
      <c r="AV39" s="114" t="str">
        <f>_xlfn.IFNA(VLOOKUP($AI39,Programma!$F$3:$S$1101,14,0),"")</f>
        <v>1m</v>
      </c>
      <c r="AW39" s="114" t="str">
        <f>_xlfn.IFNA(VLOOKUP($AI39,Programma!$F$3:$T$1101,15,0),"")</f>
        <v>2j</v>
      </c>
      <c r="AX39" s="114" t="str">
        <f>_xlfn.IFNA(VLOOKUP($AI39,Programma!$F$3:$U$1101,16,0),"")</f>
        <v>1j</v>
      </c>
      <c r="AY39" s="114" t="str">
        <f>_xlfn.IFNA(VLOOKUP($AI39,Programma!$F$3:$V$1101,17,0),"")</f>
        <v>_</v>
      </c>
      <c r="AZ39" s="114" t="str">
        <f>_xlfn.IFNA(VLOOKUP($AI39,Programma!$F$3:$W$1101,18,0),"")</f>
        <v>_</v>
      </c>
      <c r="BA39" s="114" t="str">
        <f>_xlfn.IFNA(VLOOKUP($AI39,Programma!$F$3:$X$1101,19,0),"")</f>
        <v>_</v>
      </c>
      <c r="BB39" s="114" t="str">
        <f>_xlfn.IFNA(VLOOKUP($AI39,Programma!$F$3:$Y$1101,20,0),"")</f>
        <v>_</v>
      </c>
      <c r="BC39" s="111"/>
      <c r="BD39" s="110" t="str">
        <f>IF(Ruimtestaat[[#This Row],[Frequentie weekend]]="","",_xlfn.CONCAT(Ruimtestaat[[#This Row],[Ruimte code]],"-",Ruimtestaat[[#This Row],[Frequentie weekend]]," ",Ruimtestaat[[#This Row],[Vloer code]]))</f>
        <v/>
      </c>
      <c r="BE39" s="114" t="str">
        <f>_xlfn.IFNA(VLOOKUP($BD39,Programma!$F$3:$G$1101,2,0),"")</f>
        <v/>
      </c>
      <c r="BF39" s="114" t="str">
        <f>_xlfn.IFNA(VLOOKUP($BD39,Programma!$F$3:$H$1101,3,0),"")</f>
        <v/>
      </c>
      <c r="BG39" s="114" t="str">
        <f>_xlfn.IFNA(VLOOKUP($BD39,Programma!$F$3:$I$1101,4,0),"")</f>
        <v/>
      </c>
      <c r="BH39" s="114" t="str">
        <f>_xlfn.IFNA(VLOOKUP($BD39,Programma!$F$3:$J$1101,5,0),"")</f>
        <v/>
      </c>
      <c r="BI39" s="114" t="str">
        <f>_xlfn.IFNA(VLOOKUP($BD39,Programma!$F$3:$K$1101,6,0),"")</f>
        <v/>
      </c>
      <c r="BJ39" s="114" t="str">
        <f>_xlfn.IFNA(VLOOKUP($BD39,Programma!$F$3:$L$1101,7,0),"")</f>
        <v/>
      </c>
      <c r="BK39" s="114" t="str">
        <f>_xlfn.IFNA(VLOOKUP($BD39,Programma!$F$3:$M$1101,8,0),"")</f>
        <v/>
      </c>
      <c r="BL39" s="114" t="str">
        <f>_xlfn.IFNA(VLOOKUP($BD39,Programma!$F$3:$N$1101,9,0),"")</f>
        <v/>
      </c>
      <c r="BM39" s="114" t="str">
        <f>_xlfn.IFNA(VLOOKUP($BD39,Programma!$F$3:$O$1101,10,0),"")</f>
        <v/>
      </c>
      <c r="BN39" s="114" t="str">
        <f>_xlfn.IFNA(VLOOKUP($BD39,Programma!$F$3:$P$1101,11,0),"")</f>
        <v/>
      </c>
      <c r="BO39" s="114" t="str">
        <f>_xlfn.IFNA(VLOOKUP($BD39,Programma!$F$3:$Q$1101,12,0),"")</f>
        <v/>
      </c>
      <c r="BP39" s="114" t="str">
        <f>_xlfn.IFNA(VLOOKUP($BD39,Programma!$F$3:$R$1101,13,0),"")</f>
        <v/>
      </c>
      <c r="BQ39" s="114" t="str">
        <f>_xlfn.IFNA(VLOOKUP($BD39,Programma!$F$3:$S$1101,14,0),"")</f>
        <v/>
      </c>
      <c r="BR39" s="114" t="str">
        <f>_xlfn.IFNA(VLOOKUP($BD39,Programma!$F$3:$T$1101,15,0),"")</f>
        <v/>
      </c>
      <c r="BS39" s="114" t="str">
        <f>_xlfn.IFNA(VLOOKUP($BD39,Programma!$F$3:$U$1101,16,0),"")</f>
        <v/>
      </c>
      <c r="BT39" s="114" t="str">
        <f>_xlfn.IFNA(VLOOKUP($BD39,Programma!$F$3:$V$1101,17,0),"")</f>
        <v/>
      </c>
      <c r="BU39" s="114" t="str">
        <f>_xlfn.IFNA(VLOOKUP($BD39,Programma!$F$3:$W$1101,18,0),"")</f>
        <v/>
      </c>
      <c r="BV39" s="114" t="str">
        <f>_xlfn.IFNA(VLOOKUP($BD39,Programma!$F$3:$X$1101,19,0),"")</f>
        <v/>
      </c>
      <c r="BW39" s="114" t="str">
        <f>_xlfn.IFNA(VLOOKUP($BD39,Programma!$F$3:$Y$1101,20,0),"")</f>
        <v/>
      </c>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row>
    <row r="40" spans="1:220" ht="15" customHeight="1">
      <c r="A40" s="73">
        <v>1</v>
      </c>
      <c r="B40" s="105" t="str">
        <f>VLOOKUP(Ruimtestaat[[#This Row],[Code]],Locaties[[Code]:[Locatie]],2,FALSE)</f>
        <v>IKC Kameleon</v>
      </c>
      <c r="C40" s="105" t="str">
        <f>VLOOKUP(Ruimtestaat[[#This Row],[Code]],Locaties[[#All],[Code]:[Adres]],4,FALSE)</f>
        <v>Mondriaanstraat 15</v>
      </c>
      <c r="D40" s="105" t="str">
        <f>VLOOKUP(Ruimtestaat[[#This Row],[Code]],Locaties[[#All],[Code]:[Postcode]],5,FALSE)</f>
        <v>6921 MJ</v>
      </c>
      <c r="E40" s="105" t="str">
        <f>VLOOKUP(Ruimtestaat[[#This Row],[Code]],Locaties[#All],6,FALSE)</f>
        <v>Duiven</v>
      </c>
      <c r="F40" s="73"/>
      <c r="G40" s="73" t="s">
        <v>1645</v>
      </c>
      <c r="H40" s="272"/>
      <c r="I40" s="273" t="s">
        <v>1675</v>
      </c>
      <c r="J40" s="31">
        <v>7</v>
      </c>
      <c r="K40" s="113" t="str">
        <f>VLOOKUP(Ruimtestaat[[#This Row],[Ruimte code]],Ruimtegroepen[[#All],[Code]:[Ruimte omschrijving]],2,FALSE)</f>
        <v>Entree</v>
      </c>
      <c r="L40" s="73" t="s">
        <v>99</v>
      </c>
      <c r="M40" s="273" t="s">
        <v>1978</v>
      </c>
      <c r="N40" s="106">
        <v>12</v>
      </c>
      <c r="O40" s="112"/>
      <c r="P40" s="112"/>
      <c r="Q40" s="107" t="str">
        <f>VLOOKUP(Ruimtestaat[[#This Row],[Ruimte code]],Ruimtegroepen[],4,FALSE)</f>
        <v>Ve</v>
      </c>
      <c r="R40" s="73">
        <v>40</v>
      </c>
      <c r="S40" s="73" t="s">
        <v>2</v>
      </c>
      <c r="T40" s="73">
        <f>IF(R40&gt;0,IF(RIGHT(Ruimtestaat[[#This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 s="73">
        <f>IF(T40&gt;0,VLOOKUP($J40,Ruimtegroepen[],3,FALSE)*VLOOKUP($L40,Vloersoorten[],3,FALSE)*VLOOKUP($S40,Frequenties[],3,FALSE)*VLOOKUP($A40,Locaties[],3,FALSE),0)</f>
        <v>0</v>
      </c>
      <c r="V40" s="73">
        <f>Ruimtestaat[[#This Row],[Uitvoeringen werkdagen]]*Ruimtestaat[[#This Row],[Oppervlak (netto)]]</f>
        <v>2400</v>
      </c>
      <c r="W40" s="108">
        <f>IF(U40&gt;0,Ruimtestaat[[#This Row],[Prest. (m2 /jaar) werkdagen]]/Ruimtestaat[[#This Row],[Norm (m2/uur) werkdagen]],0)</f>
        <v>0</v>
      </c>
      <c r="X40" s="109">
        <f>Ruimtestaat[[#This Row],[uren / jaar werkdagen]]*Tariefsopbouw!$E$35</f>
        <v>0</v>
      </c>
      <c r="Y40" s="73"/>
      <c r="Z40" s="73">
        <f>IF(Ruimtestaat[[#This Row],[Frequentie weekend]]&gt;0,VALUE(LEFT(Y40,1))*R40,0)</f>
        <v>0</v>
      </c>
      <c r="AA40" s="72">
        <f>IF($Z40&gt;0,VLOOKUP($J40,Ruimtegroepen[],3,FALSE)*VLOOKUP($L40,Vloersoorten[],3,FALSE)*VLOOKUP($Y40,Frequenties[],3,FALSE)*VLOOKUP(Ruimtestaat[[#This Row],[Code]],Locaties[],3,FALSE),0)</f>
        <v>0</v>
      </c>
      <c r="AB40" s="72">
        <f>Ruimtestaat[[#This Row],[Uitvoeringen weekend]]*Ruimtestaat[[#This Row],[Oppervlak (netto)]]</f>
        <v>0</v>
      </c>
      <c r="AC40" s="72">
        <f>IF(AA40&gt;0,Ruimtestaat[[#This Row],[Prest. (m2 /jaar) weekend]]/Ruimtestaat[[#This Row],[Norm (m2/uur) weekend]],0)</f>
        <v>0</v>
      </c>
      <c r="AD40" s="109">
        <f>Ruimtestaat[[#This Row],[uren / jaar weekend]]*Tariefsopbouw!$D$40</f>
        <v>0</v>
      </c>
      <c r="AE40" s="108">
        <f>Ruimtestaat[[#This Row],[Prest. (m2 /jaar) weekend]]+Ruimtestaat[[#This Row],[Prest. (m2 /jaar) werkdagen]]</f>
        <v>2400</v>
      </c>
      <c r="AF40" s="108">
        <f>Ruimtestaat[[#This Row],[uren / jaar weekend]]+Ruimtestaat[[#This Row],[uren / jaar werkdagen]]</f>
        <v>0</v>
      </c>
      <c r="AG40" s="103">
        <f>Ruimtestaat[[#This Row],[kosten / jaar weekend]]+Ruimtestaat[[#This Row],[kosten / jaar werkdagen]]</f>
        <v>0</v>
      </c>
      <c r="AH40" s="103"/>
      <c r="AI40" s="110" t="str">
        <f>IF(Ruimtestaat[[#This Row],[Frequentie werkdagen]]="","",_xlfn.CONCAT(Ruimtestaat[[#This Row],[Ruimte code]],"-",Ruimtestaat[[#This Row],[Frequentie werkdagen]]," ",Ruimtestaat[[#This Row],[Vloer code]]))</f>
        <v>7-5w T</v>
      </c>
      <c r="AJ40" s="114" t="str">
        <f>_xlfn.IFNA(VLOOKUP($AI40,Programma!$F$3:$G$1101,2,0),"")</f>
        <v>_</v>
      </c>
      <c r="AK40" s="114" t="str">
        <f>_xlfn.IFNA(VLOOKUP($AI40,Programma!$F$3:$H$1101,3,0),"")</f>
        <v>5w</v>
      </c>
      <c r="AL40" s="114" t="str">
        <f>_xlfn.IFNA(VLOOKUP($AI40,Programma!$F$3:$I$1101,4,0),"")</f>
        <v>_</v>
      </c>
      <c r="AM40" s="114" t="str">
        <f>_xlfn.IFNA(VLOOKUP($AI40,Programma!$F$3:$J$1101,5,0),"")</f>
        <v>_</v>
      </c>
      <c r="AN40" s="114" t="str">
        <f>_xlfn.IFNA(VLOOKUP($AI40,Programma!$F$3:$K$1101,6,0),"")</f>
        <v>_</v>
      </c>
      <c r="AO40" s="114" t="str">
        <f>_xlfn.IFNA(VLOOKUP($AI40,Programma!$F$3:$L$1101,7,0),"")</f>
        <v>_</v>
      </c>
      <c r="AP40" s="114" t="str">
        <f>_xlfn.IFNA(VLOOKUP($AI40,Programma!$F$3:$M$1101,8,0),"")</f>
        <v>_</v>
      </c>
      <c r="AQ40" s="114" t="str">
        <f>_xlfn.IFNA(VLOOKUP($AI40,Programma!$F$3:$N$1101,9,0),"")</f>
        <v>_</v>
      </c>
      <c r="AR40" s="114" t="str">
        <f>_xlfn.IFNA(VLOOKUP($AI40,Programma!$F$3:$O$1101,10,0),"")</f>
        <v>5w</v>
      </c>
      <c r="AS40" s="114" t="str">
        <f>_xlfn.IFNA(VLOOKUP($AI40,Programma!$F$3:$P$1101,11,0),"")</f>
        <v>5w</v>
      </c>
      <c r="AT40" s="114" t="str">
        <f>_xlfn.IFNA(VLOOKUP($AI40,Programma!$F$3:$Q$1101,12,0),"")</f>
        <v>1w</v>
      </c>
      <c r="AU40" s="114" t="str">
        <f>_xlfn.IFNA(VLOOKUP($AI40,Programma!$F$3:$R$1101,13,0),"")</f>
        <v>1w</v>
      </c>
      <c r="AV40" s="114" t="str">
        <f>_xlfn.IFNA(VLOOKUP($AI40,Programma!$F$3:$S$1101,14,0),"")</f>
        <v>1m</v>
      </c>
      <c r="AW40" s="114" t="str">
        <f>_xlfn.IFNA(VLOOKUP($AI40,Programma!$F$3:$T$1101,15,0),"")</f>
        <v>2j</v>
      </c>
      <c r="AX40" s="114" t="str">
        <f>_xlfn.IFNA(VLOOKUP($AI40,Programma!$F$3:$U$1101,16,0),"")</f>
        <v>1j</v>
      </c>
      <c r="AY40" s="114" t="str">
        <f>_xlfn.IFNA(VLOOKUP($AI40,Programma!$F$3:$V$1101,17,0),"")</f>
        <v>_</v>
      </c>
      <c r="AZ40" s="114" t="str">
        <f>_xlfn.IFNA(VLOOKUP($AI40,Programma!$F$3:$W$1101,18,0),"")</f>
        <v>_</v>
      </c>
      <c r="BA40" s="114" t="str">
        <f>_xlfn.IFNA(VLOOKUP($AI40,Programma!$F$3:$X$1101,19,0),"")</f>
        <v>_</v>
      </c>
      <c r="BB40" s="114" t="str">
        <f>_xlfn.IFNA(VLOOKUP($AI40,Programma!$F$3:$Y$1101,20,0),"")</f>
        <v>_</v>
      </c>
      <c r="BC40" s="111"/>
      <c r="BD40" s="110" t="str">
        <f>IF(Ruimtestaat[[#This Row],[Frequentie weekend]]="","",_xlfn.CONCAT(Ruimtestaat[[#This Row],[Ruimte code]],"-",Ruimtestaat[[#This Row],[Frequentie weekend]]," ",Ruimtestaat[[#This Row],[Vloer code]]))</f>
        <v/>
      </c>
      <c r="BE40" s="114" t="str">
        <f>_xlfn.IFNA(VLOOKUP($BD40,Programma!$F$3:$G$1101,2,0),"")</f>
        <v/>
      </c>
      <c r="BF40" s="114" t="str">
        <f>_xlfn.IFNA(VLOOKUP($BD40,Programma!$F$3:$H$1101,3,0),"")</f>
        <v/>
      </c>
      <c r="BG40" s="114" t="str">
        <f>_xlfn.IFNA(VLOOKUP($BD40,Programma!$F$3:$I$1101,4,0),"")</f>
        <v/>
      </c>
      <c r="BH40" s="114" t="str">
        <f>_xlfn.IFNA(VLOOKUP($BD40,Programma!$F$3:$J$1101,5,0),"")</f>
        <v/>
      </c>
      <c r="BI40" s="114" t="str">
        <f>_xlfn.IFNA(VLOOKUP($BD40,Programma!$F$3:$K$1101,6,0),"")</f>
        <v/>
      </c>
      <c r="BJ40" s="114" t="str">
        <f>_xlfn.IFNA(VLOOKUP($BD40,Programma!$F$3:$L$1101,7,0),"")</f>
        <v/>
      </c>
      <c r="BK40" s="114" t="str">
        <f>_xlfn.IFNA(VLOOKUP($BD40,Programma!$F$3:$M$1101,8,0),"")</f>
        <v/>
      </c>
      <c r="BL40" s="114" t="str">
        <f>_xlfn.IFNA(VLOOKUP($BD40,Programma!$F$3:$N$1101,9,0),"")</f>
        <v/>
      </c>
      <c r="BM40" s="114" t="str">
        <f>_xlfn.IFNA(VLOOKUP($BD40,Programma!$F$3:$O$1101,10,0),"")</f>
        <v/>
      </c>
      <c r="BN40" s="114" t="str">
        <f>_xlfn.IFNA(VLOOKUP($BD40,Programma!$F$3:$P$1101,11,0),"")</f>
        <v/>
      </c>
      <c r="BO40" s="114" t="str">
        <f>_xlfn.IFNA(VLOOKUP($BD40,Programma!$F$3:$Q$1101,12,0),"")</f>
        <v/>
      </c>
      <c r="BP40" s="114" t="str">
        <f>_xlfn.IFNA(VLOOKUP($BD40,Programma!$F$3:$R$1101,13,0),"")</f>
        <v/>
      </c>
      <c r="BQ40" s="114" t="str">
        <f>_xlfn.IFNA(VLOOKUP($BD40,Programma!$F$3:$S$1101,14,0),"")</f>
        <v/>
      </c>
      <c r="BR40" s="114" t="str">
        <f>_xlfn.IFNA(VLOOKUP($BD40,Programma!$F$3:$T$1101,15,0),"")</f>
        <v/>
      </c>
      <c r="BS40" s="114" t="str">
        <f>_xlfn.IFNA(VLOOKUP($BD40,Programma!$F$3:$U$1101,16,0),"")</f>
        <v/>
      </c>
      <c r="BT40" s="114" t="str">
        <f>_xlfn.IFNA(VLOOKUP($BD40,Programma!$F$3:$V$1101,17,0),"")</f>
        <v/>
      </c>
      <c r="BU40" s="114" t="str">
        <f>_xlfn.IFNA(VLOOKUP($BD40,Programma!$F$3:$W$1101,18,0),"")</f>
        <v/>
      </c>
      <c r="BV40" s="114" t="str">
        <f>_xlfn.IFNA(VLOOKUP($BD40,Programma!$F$3:$X$1101,19,0),"")</f>
        <v/>
      </c>
      <c r="BW40" s="114" t="str">
        <f>_xlfn.IFNA(VLOOKUP($BD40,Programma!$F$3:$Y$1101,20,0),"")</f>
        <v/>
      </c>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row>
    <row r="41" spans="1:220" ht="15" customHeight="1">
      <c r="A41" s="73">
        <v>1</v>
      </c>
      <c r="B41" s="105" t="str">
        <f>VLOOKUP(Ruimtestaat[[#This Row],[Code]],Locaties[[Code]:[Locatie]],2,FALSE)</f>
        <v>IKC Kameleon</v>
      </c>
      <c r="C41" s="105" t="str">
        <f>VLOOKUP(Ruimtestaat[[#This Row],[Code]],Locaties[[#All],[Code]:[Adres]],4,FALSE)</f>
        <v>Mondriaanstraat 15</v>
      </c>
      <c r="D41" s="105" t="str">
        <f>VLOOKUP(Ruimtestaat[[#This Row],[Code]],Locaties[[#All],[Code]:[Postcode]],5,FALSE)</f>
        <v>6921 MJ</v>
      </c>
      <c r="E41" s="105" t="str">
        <f>VLOOKUP(Ruimtestaat[[#This Row],[Code]],Locaties[#All],6,FALSE)</f>
        <v>Duiven</v>
      </c>
      <c r="F41" s="73"/>
      <c r="G41" s="73" t="s">
        <v>1645</v>
      </c>
      <c r="H41" s="272"/>
      <c r="I41" s="273" t="s">
        <v>1723</v>
      </c>
      <c r="J41" s="31">
        <v>5</v>
      </c>
      <c r="K41" s="113" t="str">
        <f>VLOOKUP(Ruimtestaat[[#This Row],[Ruimte code]],Ruimtegroepen[[#All],[Code]:[Ruimte omschrijving]],2,FALSE)</f>
        <v>Sanitair</v>
      </c>
      <c r="L41" s="73" t="s">
        <v>99</v>
      </c>
      <c r="M41" s="273" t="s">
        <v>36</v>
      </c>
      <c r="N41" s="106">
        <v>4</v>
      </c>
      <c r="O41" s="112"/>
      <c r="P41" s="112"/>
      <c r="Q41" s="107" t="str">
        <f>VLOOKUP(Ruimtestaat[[#This Row],[Ruimte code]],Ruimtegroepen[],4,FALSE)</f>
        <v>Sa</v>
      </c>
      <c r="R41" s="73">
        <v>40</v>
      </c>
      <c r="S41" s="73" t="s">
        <v>2</v>
      </c>
      <c r="T41" s="73">
        <f>IF(R41&gt;0,IF(RIGHT(Ruimtestaat[[#This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 s="73">
        <f>IF(T41&gt;0,VLOOKUP($J41,Ruimtegroepen[],3,FALSE)*VLOOKUP($L41,Vloersoorten[],3,FALSE)*VLOOKUP($S41,Frequenties[],3,FALSE)*VLOOKUP($A41,Locaties[],3,FALSE),0)</f>
        <v>0</v>
      </c>
      <c r="V41" s="73">
        <f>Ruimtestaat[[#This Row],[Uitvoeringen werkdagen]]*Ruimtestaat[[#This Row],[Oppervlak (netto)]]</f>
        <v>800</v>
      </c>
      <c r="W41" s="108">
        <f>IF(U41&gt;0,Ruimtestaat[[#This Row],[Prest. (m2 /jaar) werkdagen]]/Ruimtestaat[[#This Row],[Norm (m2/uur) werkdagen]],0)</f>
        <v>0</v>
      </c>
      <c r="X41" s="109">
        <f>Ruimtestaat[[#This Row],[uren / jaar werkdagen]]*Tariefsopbouw!$E$35</f>
        <v>0</v>
      </c>
      <c r="Y41" s="73"/>
      <c r="Z41" s="73">
        <f>IF(Ruimtestaat[[#This Row],[Frequentie weekend]]&gt;0,VALUE(LEFT(Y41,1))*R41,0)</f>
        <v>0</v>
      </c>
      <c r="AA41" s="72">
        <f>IF($Z41&gt;0,VLOOKUP($J41,Ruimtegroepen[],3,FALSE)*VLOOKUP($L41,Vloersoorten[],3,FALSE)*VLOOKUP($Y41,Frequenties[],3,FALSE)*VLOOKUP(Ruimtestaat[[#This Row],[Code]],Locaties[],3,FALSE),0)</f>
        <v>0</v>
      </c>
      <c r="AB41" s="72">
        <f>Ruimtestaat[[#This Row],[Uitvoeringen weekend]]*Ruimtestaat[[#This Row],[Oppervlak (netto)]]</f>
        <v>0</v>
      </c>
      <c r="AC41" s="72">
        <f>IF(AA41&gt;0,Ruimtestaat[[#This Row],[Prest. (m2 /jaar) weekend]]/Ruimtestaat[[#This Row],[Norm (m2/uur) weekend]],0)</f>
        <v>0</v>
      </c>
      <c r="AD41" s="109">
        <f>Ruimtestaat[[#This Row],[uren / jaar weekend]]*Tariefsopbouw!$D$40</f>
        <v>0</v>
      </c>
      <c r="AE41" s="108">
        <f>Ruimtestaat[[#This Row],[Prest. (m2 /jaar) weekend]]+Ruimtestaat[[#This Row],[Prest. (m2 /jaar) werkdagen]]</f>
        <v>800</v>
      </c>
      <c r="AF41" s="108">
        <f>Ruimtestaat[[#This Row],[uren / jaar weekend]]+Ruimtestaat[[#This Row],[uren / jaar werkdagen]]</f>
        <v>0</v>
      </c>
      <c r="AG41" s="103">
        <f>Ruimtestaat[[#This Row],[kosten / jaar weekend]]+Ruimtestaat[[#This Row],[kosten / jaar werkdagen]]</f>
        <v>0</v>
      </c>
      <c r="AH41" s="103"/>
      <c r="AI41" s="110" t="str">
        <f>IF(Ruimtestaat[[#This Row],[Frequentie werkdagen]]="","",_xlfn.CONCAT(Ruimtestaat[[#This Row],[Ruimte code]],"-",Ruimtestaat[[#This Row],[Frequentie werkdagen]]," ",Ruimtestaat[[#This Row],[Vloer code]]))</f>
        <v>5-5w T</v>
      </c>
      <c r="AJ41" s="114" t="str">
        <f>_xlfn.IFNA(VLOOKUP($AI41,Programma!$F$3:$G$1101,2,0),"")</f>
        <v>_</v>
      </c>
      <c r="AK41" s="114" t="str">
        <f>_xlfn.IFNA(VLOOKUP($AI41,Programma!$F$3:$H$1101,3,0),"")</f>
        <v>_</v>
      </c>
      <c r="AL41" s="114" t="str">
        <f>_xlfn.IFNA(VLOOKUP($AI41,Programma!$F$3:$I$1101,4,0),"")</f>
        <v>_</v>
      </c>
      <c r="AM41" s="114" t="str">
        <f>_xlfn.IFNA(VLOOKUP($AI41,Programma!$F$3:$J$1101,5,0),"")</f>
        <v>_</v>
      </c>
      <c r="AN41" s="114" t="str">
        <f>_xlfn.IFNA(VLOOKUP($AI41,Programma!$F$3:$K$1101,6,0),"")</f>
        <v>_</v>
      </c>
      <c r="AO41" s="114" t="str">
        <f>_xlfn.IFNA(VLOOKUP($AI41,Programma!$F$3:$L$1101,7,0),"")</f>
        <v>_</v>
      </c>
      <c r="AP41" s="114" t="str">
        <f>_xlfn.IFNA(VLOOKUP($AI41,Programma!$F$3:$M$1101,8,0),"")</f>
        <v>_</v>
      </c>
      <c r="AQ41" s="114" t="str">
        <f>_xlfn.IFNA(VLOOKUP($AI41,Programma!$F$3:$N$1101,9,0),"")</f>
        <v>_</v>
      </c>
      <c r="AR41" s="114" t="str">
        <f>_xlfn.IFNA(VLOOKUP($AI41,Programma!$F$3:$O$1101,10,0),"")</f>
        <v>_</v>
      </c>
      <c r="AS41" s="114" t="str">
        <f>_xlfn.IFNA(VLOOKUP($AI41,Programma!$F$3:$P$1101,11,0),"")</f>
        <v>_</v>
      </c>
      <c r="AT41" s="114" t="str">
        <f>_xlfn.IFNA(VLOOKUP($AI41,Programma!$F$3:$Q$1101,12,0),"")</f>
        <v>_</v>
      </c>
      <c r="AU41" s="114" t="str">
        <f>_xlfn.IFNA(VLOOKUP($AI41,Programma!$F$3:$R$1101,13,0),"")</f>
        <v>_</v>
      </c>
      <c r="AV41" s="114" t="str">
        <f>_xlfn.IFNA(VLOOKUP($AI41,Programma!$F$3:$S$1101,14,0),"")</f>
        <v>_</v>
      </c>
      <c r="AW41" s="114" t="str">
        <f>_xlfn.IFNA(VLOOKUP($AI41,Programma!$F$3:$T$1101,15,0),"")</f>
        <v>_</v>
      </c>
      <c r="AX41" s="114" t="str">
        <f>_xlfn.IFNA(VLOOKUP($AI41,Programma!$F$3:$U$1101,16,0),"")</f>
        <v>_</v>
      </c>
      <c r="AY41" s="114" t="str">
        <f>_xlfn.IFNA(VLOOKUP($AI41,Programma!$F$3:$V$1101,17,0),"")</f>
        <v>_</v>
      </c>
      <c r="AZ41" s="114" t="str">
        <f>_xlfn.IFNA(VLOOKUP($AI41,Programma!$F$3:$W$1101,18,0),"")</f>
        <v>_</v>
      </c>
      <c r="BA41" s="114" t="str">
        <f>_xlfn.IFNA(VLOOKUP($AI41,Programma!$F$3:$X$1101,19,0),"")</f>
        <v>_</v>
      </c>
      <c r="BB41" s="114" t="str">
        <f>_xlfn.IFNA(VLOOKUP($AI41,Programma!$F$3:$Y$1101,20,0),"")</f>
        <v>_</v>
      </c>
      <c r="BC41" s="111"/>
      <c r="BD41" s="110" t="str">
        <f>IF(Ruimtestaat[[#This Row],[Frequentie weekend]]="","",_xlfn.CONCAT(Ruimtestaat[[#This Row],[Ruimte code]],"-",Ruimtestaat[[#This Row],[Frequentie weekend]]," ",Ruimtestaat[[#This Row],[Vloer code]]))</f>
        <v/>
      </c>
      <c r="BE41" s="114" t="str">
        <f>_xlfn.IFNA(VLOOKUP($BD41,Programma!$F$3:$G$1101,2,0),"")</f>
        <v/>
      </c>
      <c r="BF41" s="114" t="str">
        <f>_xlfn.IFNA(VLOOKUP($BD41,Programma!$F$3:$H$1101,3,0),"")</f>
        <v/>
      </c>
      <c r="BG41" s="114" t="str">
        <f>_xlfn.IFNA(VLOOKUP($BD41,Programma!$F$3:$I$1101,4,0),"")</f>
        <v/>
      </c>
      <c r="BH41" s="114" t="str">
        <f>_xlfn.IFNA(VLOOKUP($BD41,Programma!$F$3:$J$1101,5,0),"")</f>
        <v/>
      </c>
      <c r="BI41" s="114" t="str">
        <f>_xlfn.IFNA(VLOOKUP($BD41,Programma!$F$3:$K$1101,6,0),"")</f>
        <v/>
      </c>
      <c r="BJ41" s="114" t="str">
        <f>_xlfn.IFNA(VLOOKUP($BD41,Programma!$F$3:$L$1101,7,0),"")</f>
        <v/>
      </c>
      <c r="BK41" s="114" t="str">
        <f>_xlfn.IFNA(VLOOKUP($BD41,Programma!$F$3:$M$1101,8,0),"")</f>
        <v/>
      </c>
      <c r="BL41" s="114" t="str">
        <f>_xlfn.IFNA(VLOOKUP($BD41,Programma!$F$3:$N$1101,9,0),"")</f>
        <v/>
      </c>
      <c r="BM41" s="114" t="str">
        <f>_xlfn.IFNA(VLOOKUP($BD41,Programma!$F$3:$O$1101,10,0),"")</f>
        <v/>
      </c>
      <c r="BN41" s="114" t="str">
        <f>_xlfn.IFNA(VLOOKUP($BD41,Programma!$F$3:$P$1101,11,0),"")</f>
        <v/>
      </c>
      <c r="BO41" s="114" t="str">
        <f>_xlfn.IFNA(VLOOKUP($BD41,Programma!$F$3:$Q$1101,12,0),"")</f>
        <v/>
      </c>
      <c r="BP41" s="114" t="str">
        <f>_xlfn.IFNA(VLOOKUP($BD41,Programma!$F$3:$R$1101,13,0),"")</f>
        <v/>
      </c>
      <c r="BQ41" s="114" t="str">
        <f>_xlfn.IFNA(VLOOKUP($BD41,Programma!$F$3:$S$1101,14,0),"")</f>
        <v/>
      </c>
      <c r="BR41" s="114" t="str">
        <f>_xlfn.IFNA(VLOOKUP($BD41,Programma!$F$3:$T$1101,15,0),"")</f>
        <v/>
      </c>
      <c r="BS41" s="114" t="str">
        <f>_xlfn.IFNA(VLOOKUP($BD41,Programma!$F$3:$U$1101,16,0),"")</f>
        <v/>
      </c>
      <c r="BT41" s="114" t="str">
        <f>_xlfn.IFNA(VLOOKUP($BD41,Programma!$F$3:$V$1101,17,0),"")</f>
        <v/>
      </c>
      <c r="BU41" s="114" t="str">
        <f>_xlfn.IFNA(VLOOKUP($BD41,Programma!$F$3:$W$1101,18,0),"")</f>
        <v/>
      </c>
      <c r="BV41" s="114" t="str">
        <f>_xlfn.IFNA(VLOOKUP($BD41,Programma!$F$3:$X$1101,19,0),"")</f>
        <v/>
      </c>
      <c r="BW41" s="114" t="str">
        <f>_xlfn.IFNA(VLOOKUP($BD41,Programma!$F$3:$Y$1101,20,0),"")</f>
        <v/>
      </c>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row>
    <row r="42" spans="1:220" ht="15" customHeight="1">
      <c r="A42" s="73">
        <v>1</v>
      </c>
      <c r="B42" s="105" t="str">
        <f>VLOOKUP(Ruimtestaat[[#This Row],[Code]],Locaties[[Code]:[Locatie]],2,FALSE)</f>
        <v>IKC Kameleon</v>
      </c>
      <c r="C42" s="105" t="str">
        <f>VLOOKUP(Ruimtestaat[[#This Row],[Code]],Locaties[[#All],[Code]:[Adres]],4,FALSE)</f>
        <v>Mondriaanstraat 15</v>
      </c>
      <c r="D42" s="105" t="str">
        <f>VLOOKUP(Ruimtestaat[[#This Row],[Code]],Locaties[[#All],[Code]:[Postcode]],5,FALSE)</f>
        <v>6921 MJ</v>
      </c>
      <c r="E42" s="105" t="str">
        <f>VLOOKUP(Ruimtestaat[[#This Row],[Code]],Locaties[#All],6,FALSE)</f>
        <v>Duiven</v>
      </c>
      <c r="F42" s="73"/>
      <c r="G42" s="73" t="s">
        <v>1645</v>
      </c>
      <c r="H42" s="272"/>
      <c r="I42" s="273" t="s">
        <v>1676</v>
      </c>
      <c r="J42" s="31">
        <v>16</v>
      </c>
      <c r="K42" s="113" t="str">
        <f>VLOOKUP(Ruimtestaat[[#This Row],[Ruimte code]],Ruimtegroepen[[#All],[Code]:[Ruimte omschrijving]],2,FALSE)</f>
        <v>Leslokalen</v>
      </c>
      <c r="L42" s="73" t="s">
        <v>99</v>
      </c>
      <c r="M42" s="273" t="s">
        <v>36</v>
      </c>
      <c r="N42" s="106">
        <v>48.75</v>
      </c>
      <c r="O42" s="73"/>
      <c r="P42" s="73"/>
      <c r="Q42" s="107" t="str">
        <f>VLOOKUP(Ruimtestaat[[#This Row],[Ruimte code]],Ruimtegroepen[],4,FALSE)</f>
        <v>Le</v>
      </c>
      <c r="R42" s="73">
        <v>40</v>
      </c>
      <c r="S42" s="73" t="s">
        <v>2</v>
      </c>
      <c r="T42" s="73">
        <f>IF(R42&gt;0,IF(RIGHT(Ruimtestaat[[#This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 s="73">
        <f>IF(T42&gt;0,VLOOKUP($J42,Ruimtegroepen[],3,FALSE)*VLOOKUP($L42,Vloersoorten[],3,FALSE)*VLOOKUP($S42,Frequenties[],3,FALSE)*VLOOKUP($A42,Locaties[],3,FALSE),0)</f>
        <v>0</v>
      </c>
      <c r="V42" s="73">
        <f>Ruimtestaat[[#This Row],[Uitvoeringen werkdagen]]*Ruimtestaat[[#This Row],[Oppervlak (netto)]]</f>
        <v>9750</v>
      </c>
      <c r="W42" s="108">
        <f>IF(U42&gt;0,Ruimtestaat[[#This Row],[Prest. (m2 /jaar) werkdagen]]/Ruimtestaat[[#This Row],[Norm (m2/uur) werkdagen]],0)</f>
        <v>0</v>
      </c>
      <c r="X42" s="109">
        <f>Ruimtestaat[[#This Row],[uren / jaar werkdagen]]*Tariefsopbouw!$E$35</f>
        <v>0</v>
      </c>
      <c r="Y42" s="73"/>
      <c r="Z42" s="73">
        <f>IF(Ruimtestaat[[#This Row],[Frequentie weekend]]&gt;0,VALUE(LEFT(Y42,1))*R42,0)</f>
        <v>0</v>
      </c>
      <c r="AA42" s="72">
        <f>IF($Z42&gt;0,VLOOKUP($J42,Ruimtegroepen[],3,FALSE)*VLOOKUP($L42,Vloersoorten[],3,FALSE)*VLOOKUP($Y42,Frequenties[],3,FALSE)*VLOOKUP(Ruimtestaat[[#This Row],[Code]],Locaties[],3,FALSE),0)</f>
        <v>0</v>
      </c>
      <c r="AB42" s="72">
        <f>Ruimtestaat[[#This Row],[Uitvoeringen weekend]]*Ruimtestaat[[#This Row],[Oppervlak (netto)]]</f>
        <v>0</v>
      </c>
      <c r="AC42" s="72">
        <f>IF(AA42&gt;0,Ruimtestaat[[#This Row],[Prest. (m2 /jaar) weekend]]/Ruimtestaat[[#This Row],[Norm (m2/uur) weekend]],0)</f>
        <v>0</v>
      </c>
      <c r="AD42" s="109">
        <f>Ruimtestaat[[#This Row],[uren / jaar weekend]]*Tariefsopbouw!$D$40</f>
        <v>0</v>
      </c>
      <c r="AE42" s="108">
        <f>Ruimtestaat[[#This Row],[Prest. (m2 /jaar) weekend]]+Ruimtestaat[[#This Row],[Prest. (m2 /jaar) werkdagen]]</f>
        <v>9750</v>
      </c>
      <c r="AF42" s="108">
        <f>Ruimtestaat[[#This Row],[uren / jaar weekend]]+Ruimtestaat[[#This Row],[uren / jaar werkdagen]]</f>
        <v>0</v>
      </c>
      <c r="AG42" s="103">
        <f>Ruimtestaat[[#This Row],[kosten / jaar weekend]]+Ruimtestaat[[#This Row],[kosten / jaar werkdagen]]</f>
        <v>0</v>
      </c>
      <c r="AH42" s="103"/>
      <c r="AI42" s="110" t="str">
        <f>IF(Ruimtestaat[[#This Row],[Frequentie werkdagen]]="","",_xlfn.CONCAT(Ruimtestaat[[#This Row],[Ruimte code]],"-",Ruimtestaat[[#This Row],[Frequentie werkdagen]]," ",Ruimtestaat[[#This Row],[Vloer code]]))</f>
        <v>16-5w T</v>
      </c>
      <c r="AJ42" s="114" t="str">
        <f>_xlfn.IFNA(VLOOKUP($AI42,Programma!$F$3:$G$1101,2,0),"")</f>
        <v>3w</v>
      </c>
      <c r="AK42" s="114" t="str">
        <f>_xlfn.IFNA(VLOOKUP($AI42,Programma!$F$3:$H$1101,3,0),"")</f>
        <v>2w</v>
      </c>
      <c r="AL42" s="114" t="str">
        <f>_xlfn.IFNA(VLOOKUP($AI42,Programma!$F$3:$I$1101,4,0),"")</f>
        <v>_</v>
      </c>
      <c r="AM42" s="114" t="str">
        <f>_xlfn.IFNA(VLOOKUP($AI42,Programma!$F$3:$J$1101,5,0),"")</f>
        <v>_</v>
      </c>
      <c r="AN42" s="114" t="str">
        <f>_xlfn.IFNA(VLOOKUP($AI42,Programma!$F$3:$K$1101,6,0),"")</f>
        <v>_</v>
      </c>
      <c r="AO42" s="114" t="str">
        <f>_xlfn.IFNA(VLOOKUP($AI42,Programma!$F$3:$L$1101,7,0),"")</f>
        <v>_</v>
      </c>
      <c r="AP42" s="114" t="str">
        <f>_xlfn.IFNA(VLOOKUP($AI42,Programma!$F$3:$M$1101,8,0),"")</f>
        <v>_</v>
      </c>
      <c r="AQ42" s="114" t="str">
        <f>_xlfn.IFNA(VLOOKUP($AI42,Programma!$F$3:$N$1101,9,0),"")</f>
        <v>_</v>
      </c>
      <c r="AR42" s="114" t="str">
        <f>_xlfn.IFNA(VLOOKUP($AI42,Programma!$F$3:$O$1101,10,0),"")</f>
        <v>5w</v>
      </c>
      <c r="AS42" s="114" t="str">
        <f>_xlfn.IFNA(VLOOKUP($AI42,Programma!$F$3:$P$1101,11,0),"")</f>
        <v>5w</v>
      </c>
      <c r="AT42" s="114" t="str">
        <f>_xlfn.IFNA(VLOOKUP($AI42,Programma!$F$3:$Q$1101,12,0),"")</f>
        <v>1w</v>
      </c>
      <c r="AU42" s="114" t="str">
        <f>_xlfn.IFNA(VLOOKUP($AI42,Programma!$F$3:$R$1101,13,0),"")</f>
        <v>1w</v>
      </c>
      <c r="AV42" s="114" t="str">
        <f>_xlfn.IFNA(VLOOKUP($AI42,Programma!$F$3:$S$1101,14,0),"")</f>
        <v>1m</v>
      </c>
      <c r="AW42" s="114" t="str">
        <f>_xlfn.IFNA(VLOOKUP($AI42,Programma!$F$3:$T$1101,15,0),"")</f>
        <v>2j</v>
      </c>
      <c r="AX42" s="114" t="str">
        <f>_xlfn.IFNA(VLOOKUP($AI42,Programma!$F$3:$U$1101,16,0),"")</f>
        <v>1j</v>
      </c>
      <c r="AY42" s="114" t="str">
        <f>_xlfn.IFNA(VLOOKUP($AI42,Programma!$F$3:$V$1101,17,0),"")</f>
        <v>_</v>
      </c>
      <c r="AZ42" s="114" t="str">
        <f>_xlfn.IFNA(VLOOKUP($AI42,Programma!$F$3:$W$1101,18,0),"")</f>
        <v>_</v>
      </c>
      <c r="BA42" s="114" t="str">
        <f>_xlfn.IFNA(VLOOKUP($AI42,Programma!$F$3:$X$1101,19,0),"")</f>
        <v>_</v>
      </c>
      <c r="BB42" s="114" t="str">
        <f>_xlfn.IFNA(VLOOKUP($AI42,Programma!$F$3:$Y$1101,20,0),"")</f>
        <v>_</v>
      </c>
      <c r="BC42" s="111"/>
      <c r="BD42" s="110" t="str">
        <f>IF(Ruimtestaat[[#This Row],[Frequentie weekend]]="","",_xlfn.CONCAT(Ruimtestaat[[#This Row],[Ruimte code]],"-",Ruimtestaat[[#This Row],[Frequentie weekend]]," ",Ruimtestaat[[#This Row],[Vloer code]]))</f>
        <v/>
      </c>
      <c r="BE42" s="114" t="str">
        <f>_xlfn.IFNA(VLOOKUP($BD42,Programma!$F$3:$G$1101,2,0),"")</f>
        <v/>
      </c>
      <c r="BF42" s="114" t="str">
        <f>_xlfn.IFNA(VLOOKUP($BD42,Programma!$F$3:$H$1101,3,0),"")</f>
        <v/>
      </c>
      <c r="BG42" s="114" t="str">
        <f>_xlfn.IFNA(VLOOKUP($BD42,Programma!$F$3:$I$1101,4,0),"")</f>
        <v/>
      </c>
      <c r="BH42" s="114" t="str">
        <f>_xlfn.IFNA(VLOOKUP($BD42,Programma!$F$3:$J$1101,5,0),"")</f>
        <v/>
      </c>
      <c r="BI42" s="114" t="str">
        <f>_xlfn.IFNA(VLOOKUP($BD42,Programma!$F$3:$K$1101,6,0),"")</f>
        <v/>
      </c>
      <c r="BJ42" s="114" t="str">
        <f>_xlfn.IFNA(VLOOKUP($BD42,Programma!$F$3:$L$1101,7,0),"")</f>
        <v/>
      </c>
      <c r="BK42" s="114" t="str">
        <f>_xlfn.IFNA(VLOOKUP($BD42,Programma!$F$3:$M$1101,8,0),"")</f>
        <v/>
      </c>
      <c r="BL42" s="114" t="str">
        <f>_xlfn.IFNA(VLOOKUP($BD42,Programma!$F$3:$N$1101,9,0),"")</f>
        <v/>
      </c>
      <c r="BM42" s="114" t="str">
        <f>_xlfn.IFNA(VLOOKUP($BD42,Programma!$F$3:$O$1101,10,0),"")</f>
        <v/>
      </c>
      <c r="BN42" s="114" t="str">
        <f>_xlfn.IFNA(VLOOKUP($BD42,Programma!$F$3:$P$1101,11,0),"")</f>
        <v/>
      </c>
      <c r="BO42" s="114" t="str">
        <f>_xlfn.IFNA(VLOOKUP($BD42,Programma!$F$3:$Q$1101,12,0),"")</f>
        <v/>
      </c>
      <c r="BP42" s="114" t="str">
        <f>_xlfn.IFNA(VLOOKUP($BD42,Programma!$F$3:$R$1101,13,0),"")</f>
        <v/>
      </c>
      <c r="BQ42" s="114" t="str">
        <f>_xlfn.IFNA(VLOOKUP($BD42,Programma!$F$3:$S$1101,14,0),"")</f>
        <v/>
      </c>
      <c r="BR42" s="114" t="str">
        <f>_xlfn.IFNA(VLOOKUP($BD42,Programma!$F$3:$T$1101,15,0),"")</f>
        <v/>
      </c>
      <c r="BS42" s="114" t="str">
        <f>_xlfn.IFNA(VLOOKUP($BD42,Programma!$F$3:$U$1101,16,0),"")</f>
        <v/>
      </c>
      <c r="BT42" s="114" t="str">
        <f>_xlfn.IFNA(VLOOKUP($BD42,Programma!$F$3:$V$1101,17,0),"")</f>
        <v/>
      </c>
      <c r="BU42" s="114" t="str">
        <f>_xlfn.IFNA(VLOOKUP($BD42,Programma!$F$3:$W$1101,18,0),"")</f>
        <v/>
      </c>
      <c r="BV42" s="114" t="str">
        <f>_xlfn.IFNA(VLOOKUP($BD42,Programma!$F$3:$X$1101,19,0),"")</f>
        <v/>
      </c>
      <c r="BW42" s="114" t="str">
        <f>_xlfn.IFNA(VLOOKUP($BD42,Programma!$F$3:$Y$1101,20,0),"")</f>
        <v/>
      </c>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row>
    <row r="43" spans="1:220" ht="15" customHeight="1">
      <c r="A43" s="73">
        <v>1</v>
      </c>
      <c r="B43" s="105" t="str">
        <f>VLOOKUP(Ruimtestaat[[#This Row],[Code]],Locaties[[Code]:[Locatie]],2,FALSE)</f>
        <v>IKC Kameleon</v>
      </c>
      <c r="C43" s="105" t="str">
        <f>VLOOKUP(Ruimtestaat[[#This Row],[Code]],Locaties[[#All],[Code]:[Adres]],4,FALSE)</f>
        <v>Mondriaanstraat 15</v>
      </c>
      <c r="D43" s="105" t="str">
        <f>VLOOKUP(Ruimtestaat[[#This Row],[Code]],Locaties[[#All],[Code]:[Postcode]],5,FALSE)</f>
        <v>6921 MJ</v>
      </c>
      <c r="E43" s="105" t="str">
        <f>VLOOKUP(Ruimtestaat[[#This Row],[Code]],Locaties[#All],6,FALSE)</f>
        <v>Duiven</v>
      </c>
      <c r="F43" s="73"/>
      <c r="G43" s="73" t="s">
        <v>1645</v>
      </c>
      <c r="H43" s="272"/>
      <c r="I43" s="273" t="s">
        <v>1677</v>
      </c>
      <c r="J43" s="31">
        <v>16</v>
      </c>
      <c r="K43" s="113" t="str">
        <f>VLOOKUP(Ruimtestaat[[#This Row],[Ruimte code]],Ruimtegroepen[[#All],[Code]:[Ruimte omschrijving]],2,FALSE)</f>
        <v>Leslokalen</v>
      </c>
      <c r="L43" s="73" t="s">
        <v>99</v>
      </c>
      <c r="M43" s="273" t="s">
        <v>36</v>
      </c>
      <c r="N43" s="106">
        <v>48.75</v>
      </c>
      <c r="O43" s="112"/>
      <c r="P43" s="112"/>
      <c r="Q43" s="107" t="str">
        <f>VLOOKUP(Ruimtestaat[[#This Row],[Ruimte code]],Ruimtegroepen[],4,FALSE)</f>
        <v>Le</v>
      </c>
      <c r="R43" s="73">
        <v>40</v>
      </c>
      <c r="S43" s="73" t="s">
        <v>2</v>
      </c>
      <c r="T43" s="73">
        <f>IF(R43&gt;0,IF(RIGHT(Ruimtestaat[[#This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 s="73">
        <f>IF(T43&gt;0,VLOOKUP($J43,Ruimtegroepen[],3,FALSE)*VLOOKUP($L43,Vloersoorten[],3,FALSE)*VLOOKUP($S43,Frequenties[],3,FALSE)*VLOOKUP($A43,Locaties[],3,FALSE),0)</f>
        <v>0</v>
      </c>
      <c r="V43" s="73">
        <f>Ruimtestaat[[#This Row],[Uitvoeringen werkdagen]]*Ruimtestaat[[#This Row],[Oppervlak (netto)]]</f>
        <v>9750</v>
      </c>
      <c r="W43" s="108">
        <f>IF(U43&gt;0,Ruimtestaat[[#This Row],[Prest. (m2 /jaar) werkdagen]]/Ruimtestaat[[#This Row],[Norm (m2/uur) werkdagen]],0)</f>
        <v>0</v>
      </c>
      <c r="X43" s="109">
        <f>Ruimtestaat[[#This Row],[uren / jaar werkdagen]]*Tariefsopbouw!$E$35</f>
        <v>0</v>
      </c>
      <c r="Y43" s="73"/>
      <c r="Z43" s="73">
        <f>IF(Ruimtestaat[[#This Row],[Frequentie weekend]]&gt;0,VALUE(LEFT(Y43,1))*R43,0)</f>
        <v>0</v>
      </c>
      <c r="AA43" s="72">
        <f>IF($Z43&gt;0,VLOOKUP($J43,Ruimtegroepen[],3,FALSE)*VLOOKUP($L43,Vloersoorten[],3,FALSE)*VLOOKUP($Y43,Frequenties[],3,FALSE)*VLOOKUP(Ruimtestaat[[#This Row],[Code]],Locaties[],3,FALSE),0)</f>
        <v>0</v>
      </c>
      <c r="AB43" s="72">
        <f>Ruimtestaat[[#This Row],[Uitvoeringen weekend]]*Ruimtestaat[[#This Row],[Oppervlak (netto)]]</f>
        <v>0</v>
      </c>
      <c r="AC43" s="72">
        <f>IF(AA43&gt;0,Ruimtestaat[[#This Row],[Prest. (m2 /jaar) weekend]]/Ruimtestaat[[#This Row],[Norm (m2/uur) weekend]],0)</f>
        <v>0</v>
      </c>
      <c r="AD43" s="109">
        <f>Ruimtestaat[[#This Row],[uren / jaar weekend]]*Tariefsopbouw!$D$40</f>
        <v>0</v>
      </c>
      <c r="AE43" s="108">
        <f>Ruimtestaat[[#This Row],[Prest. (m2 /jaar) weekend]]+Ruimtestaat[[#This Row],[Prest. (m2 /jaar) werkdagen]]</f>
        <v>9750</v>
      </c>
      <c r="AF43" s="108">
        <f>Ruimtestaat[[#This Row],[uren / jaar weekend]]+Ruimtestaat[[#This Row],[uren / jaar werkdagen]]</f>
        <v>0</v>
      </c>
      <c r="AG43" s="103">
        <f>Ruimtestaat[[#This Row],[kosten / jaar weekend]]+Ruimtestaat[[#This Row],[kosten / jaar werkdagen]]</f>
        <v>0</v>
      </c>
      <c r="AH43" s="103"/>
      <c r="AI43" s="110" t="str">
        <f>IF(Ruimtestaat[[#This Row],[Frequentie werkdagen]]="","",_xlfn.CONCAT(Ruimtestaat[[#This Row],[Ruimte code]],"-",Ruimtestaat[[#This Row],[Frequentie werkdagen]]," ",Ruimtestaat[[#This Row],[Vloer code]]))</f>
        <v>16-5w T</v>
      </c>
      <c r="AJ43" s="114" t="str">
        <f>_xlfn.IFNA(VLOOKUP($AI43,Programma!$F$3:$G$1101,2,0),"")</f>
        <v>3w</v>
      </c>
      <c r="AK43" s="114" t="str">
        <f>_xlfn.IFNA(VLOOKUP($AI43,Programma!$F$3:$H$1101,3,0),"")</f>
        <v>2w</v>
      </c>
      <c r="AL43" s="114" t="str">
        <f>_xlfn.IFNA(VLOOKUP($AI43,Programma!$F$3:$I$1101,4,0),"")</f>
        <v>_</v>
      </c>
      <c r="AM43" s="114" t="str">
        <f>_xlfn.IFNA(VLOOKUP($AI43,Programma!$F$3:$J$1101,5,0),"")</f>
        <v>_</v>
      </c>
      <c r="AN43" s="114" t="str">
        <f>_xlfn.IFNA(VLOOKUP($AI43,Programma!$F$3:$K$1101,6,0),"")</f>
        <v>_</v>
      </c>
      <c r="AO43" s="114" t="str">
        <f>_xlfn.IFNA(VLOOKUP($AI43,Programma!$F$3:$L$1101,7,0),"")</f>
        <v>_</v>
      </c>
      <c r="AP43" s="114" t="str">
        <f>_xlfn.IFNA(VLOOKUP($AI43,Programma!$F$3:$M$1101,8,0),"")</f>
        <v>_</v>
      </c>
      <c r="AQ43" s="114" t="str">
        <f>_xlfn.IFNA(VLOOKUP($AI43,Programma!$F$3:$N$1101,9,0),"")</f>
        <v>_</v>
      </c>
      <c r="AR43" s="114" t="str">
        <f>_xlfn.IFNA(VLOOKUP($AI43,Programma!$F$3:$O$1101,10,0),"")</f>
        <v>5w</v>
      </c>
      <c r="AS43" s="114" t="str">
        <f>_xlfn.IFNA(VLOOKUP($AI43,Programma!$F$3:$P$1101,11,0),"")</f>
        <v>5w</v>
      </c>
      <c r="AT43" s="114" t="str">
        <f>_xlfn.IFNA(VLOOKUP($AI43,Programma!$F$3:$Q$1101,12,0),"")</f>
        <v>1w</v>
      </c>
      <c r="AU43" s="114" t="str">
        <f>_xlfn.IFNA(VLOOKUP($AI43,Programma!$F$3:$R$1101,13,0),"")</f>
        <v>1w</v>
      </c>
      <c r="AV43" s="114" t="str">
        <f>_xlfn.IFNA(VLOOKUP($AI43,Programma!$F$3:$S$1101,14,0),"")</f>
        <v>1m</v>
      </c>
      <c r="AW43" s="114" t="str">
        <f>_xlfn.IFNA(VLOOKUP($AI43,Programma!$F$3:$T$1101,15,0),"")</f>
        <v>2j</v>
      </c>
      <c r="AX43" s="114" t="str">
        <f>_xlfn.IFNA(VLOOKUP($AI43,Programma!$F$3:$U$1101,16,0),"")</f>
        <v>1j</v>
      </c>
      <c r="AY43" s="114" t="str">
        <f>_xlfn.IFNA(VLOOKUP($AI43,Programma!$F$3:$V$1101,17,0),"")</f>
        <v>_</v>
      </c>
      <c r="AZ43" s="114" t="str">
        <f>_xlfn.IFNA(VLOOKUP($AI43,Programma!$F$3:$W$1101,18,0),"")</f>
        <v>_</v>
      </c>
      <c r="BA43" s="114" t="str">
        <f>_xlfn.IFNA(VLOOKUP($AI43,Programma!$F$3:$X$1101,19,0),"")</f>
        <v>_</v>
      </c>
      <c r="BB43" s="114" t="str">
        <f>_xlfn.IFNA(VLOOKUP($AI43,Programma!$F$3:$Y$1101,20,0),"")</f>
        <v>_</v>
      </c>
      <c r="BC43" s="111"/>
      <c r="BD43" s="110" t="str">
        <f>IF(Ruimtestaat[[#This Row],[Frequentie weekend]]="","",_xlfn.CONCAT(Ruimtestaat[[#This Row],[Ruimte code]],"-",Ruimtestaat[[#This Row],[Frequentie weekend]]," ",Ruimtestaat[[#This Row],[Vloer code]]))</f>
        <v/>
      </c>
      <c r="BE43" s="114" t="str">
        <f>_xlfn.IFNA(VLOOKUP($BD43,Programma!$F$3:$G$1101,2,0),"")</f>
        <v/>
      </c>
      <c r="BF43" s="114" t="str">
        <f>_xlfn.IFNA(VLOOKUP($BD43,Programma!$F$3:$H$1101,3,0),"")</f>
        <v/>
      </c>
      <c r="BG43" s="114" t="str">
        <f>_xlfn.IFNA(VLOOKUP($BD43,Programma!$F$3:$I$1101,4,0),"")</f>
        <v/>
      </c>
      <c r="BH43" s="114" t="str">
        <f>_xlfn.IFNA(VLOOKUP($BD43,Programma!$F$3:$J$1101,5,0),"")</f>
        <v/>
      </c>
      <c r="BI43" s="114" t="str">
        <f>_xlfn.IFNA(VLOOKUP($BD43,Programma!$F$3:$K$1101,6,0),"")</f>
        <v/>
      </c>
      <c r="BJ43" s="114" t="str">
        <f>_xlfn.IFNA(VLOOKUP($BD43,Programma!$F$3:$L$1101,7,0),"")</f>
        <v/>
      </c>
      <c r="BK43" s="114" t="str">
        <f>_xlfn.IFNA(VLOOKUP($BD43,Programma!$F$3:$M$1101,8,0),"")</f>
        <v/>
      </c>
      <c r="BL43" s="114" t="str">
        <f>_xlfn.IFNA(VLOOKUP($BD43,Programma!$F$3:$N$1101,9,0),"")</f>
        <v/>
      </c>
      <c r="BM43" s="114" t="str">
        <f>_xlfn.IFNA(VLOOKUP($BD43,Programma!$F$3:$O$1101,10,0),"")</f>
        <v/>
      </c>
      <c r="BN43" s="114" t="str">
        <f>_xlfn.IFNA(VLOOKUP($BD43,Programma!$F$3:$P$1101,11,0),"")</f>
        <v/>
      </c>
      <c r="BO43" s="114" t="str">
        <f>_xlfn.IFNA(VLOOKUP($BD43,Programma!$F$3:$Q$1101,12,0),"")</f>
        <v/>
      </c>
      <c r="BP43" s="114" t="str">
        <f>_xlfn.IFNA(VLOOKUP($BD43,Programma!$F$3:$R$1101,13,0),"")</f>
        <v/>
      </c>
      <c r="BQ43" s="114" t="str">
        <f>_xlfn.IFNA(VLOOKUP($BD43,Programma!$F$3:$S$1101,14,0),"")</f>
        <v/>
      </c>
      <c r="BR43" s="114" t="str">
        <f>_xlfn.IFNA(VLOOKUP($BD43,Programma!$F$3:$T$1101,15,0),"")</f>
        <v/>
      </c>
      <c r="BS43" s="114" t="str">
        <f>_xlfn.IFNA(VLOOKUP($BD43,Programma!$F$3:$U$1101,16,0),"")</f>
        <v/>
      </c>
      <c r="BT43" s="114" t="str">
        <f>_xlfn.IFNA(VLOOKUP($BD43,Programma!$F$3:$V$1101,17,0),"")</f>
        <v/>
      </c>
      <c r="BU43" s="114" t="str">
        <f>_xlfn.IFNA(VLOOKUP($BD43,Programma!$F$3:$W$1101,18,0),"")</f>
        <v/>
      </c>
      <c r="BV43" s="114" t="str">
        <f>_xlfn.IFNA(VLOOKUP($BD43,Programma!$F$3:$X$1101,19,0),"")</f>
        <v/>
      </c>
      <c r="BW43" s="114" t="str">
        <f>_xlfn.IFNA(VLOOKUP($BD43,Programma!$F$3:$Y$1101,20,0),"")</f>
        <v/>
      </c>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row>
    <row r="44" spans="1:220" ht="15" customHeight="1">
      <c r="A44" s="73">
        <v>1</v>
      </c>
      <c r="B44" s="105" t="str">
        <f>VLOOKUP(Ruimtestaat[[#This Row],[Code]],Locaties[[Code]:[Locatie]],2,FALSE)</f>
        <v>IKC Kameleon</v>
      </c>
      <c r="C44" s="105" t="str">
        <f>VLOOKUP(Ruimtestaat[[#This Row],[Code]],Locaties[[#All],[Code]:[Adres]],4,FALSE)</f>
        <v>Mondriaanstraat 15</v>
      </c>
      <c r="D44" s="105" t="str">
        <f>VLOOKUP(Ruimtestaat[[#This Row],[Code]],Locaties[[#All],[Code]:[Postcode]],5,FALSE)</f>
        <v>6921 MJ</v>
      </c>
      <c r="E44" s="105" t="str">
        <f>VLOOKUP(Ruimtestaat[[#This Row],[Code]],Locaties[#All],6,FALSE)</f>
        <v>Duiven</v>
      </c>
      <c r="F44" s="73"/>
      <c r="G44" s="73" t="s">
        <v>1826</v>
      </c>
      <c r="H44" s="272"/>
      <c r="I44" s="273" t="s">
        <v>1990</v>
      </c>
      <c r="J44" s="31">
        <v>10</v>
      </c>
      <c r="K44" s="113" t="str">
        <f>VLOOKUP(Ruimtestaat[[#This Row],[Ruimte code]],Ruimtegroepen[[#All],[Code]:[Ruimte omschrijving]],2,FALSE)</f>
        <v>Trappenhuizen/lift</v>
      </c>
      <c r="L44" s="73" t="s">
        <v>99</v>
      </c>
      <c r="M44" s="273" t="s">
        <v>36</v>
      </c>
      <c r="N44" s="106">
        <v>10</v>
      </c>
      <c r="O44" s="112"/>
      <c r="P44" s="112"/>
      <c r="Q44" s="107" t="str">
        <f>VLOOKUP(Ruimtestaat[[#This Row],[Ruimte code]],Ruimtegroepen[],4,FALSE)</f>
        <v>Ve</v>
      </c>
      <c r="R44" s="73">
        <v>40</v>
      </c>
      <c r="S44" s="73" t="s">
        <v>2</v>
      </c>
      <c r="T44" s="73">
        <f>IF(R44&gt;0,IF(RIGHT(Ruimtestaat[[#This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 s="73">
        <f>IF(T44&gt;0,VLOOKUP($J44,Ruimtegroepen[],3,FALSE)*VLOOKUP($L44,Vloersoorten[],3,FALSE)*VLOOKUP($S44,Frequenties[],3,FALSE)*VLOOKUP($A44,Locaties[],3,FALSE),0)</f>
        <v>0</v>
      </c>
      <c r="V44" s="73">
        <f>Ruimtestaat[[#This Row],[Uitvoeringen werkdagen]]*Ruimtestaat[[#This Row],[Oppervlak (netto)]]</f>
        <v>2000</v>
      </c>
      <c r="W44" s="108">
        <f>IF(U44&gt;0,Ruimtestaat[[#This Row],[Prest. (m2 /jaar) werkdagen]]/Ruimtestaat[[#This Row],[Norm (m2/uur) werkdagen]],0)</f>
        <v>0</v>
      </c>
      <c r="X44" s="109">
        <f>Ruimtestaat[[#This Row],[uren / jaar werkdagen]]*Tariefsopbouw!$E$35</f>
        <v>0</v>
      </c>
      <c r="Y44" s="73"/>
      <c r="Z44" s="73">
        <f>IF(Ruimtestaat[[#This Row],[Frequentie weekend]]&gt;0,VALUE(LEFT(Y44,1))*R44,0)</f>
        <v>0</v>
      </c>
      <c r="AA44" s="72">
        <f>IF($Z44&gt;0,VLOOKUP($J44,Ruimtegroepen[],3,FALSE)*VLOOKUP($L44,Vloersoorten[],3,FALSE)*VLOOKUP($Y44,Frequenties[],3,FALSE)*VLOOKUP(Ruimtestaat[[#This Row],[Code]],Locaties[],3,FALSE),0)</f>
        <v>0</v>
      </c>
      <c r="AB44" s="72">
        <f>Ruimtestaat[[#This Row],[Uitvoeringen weekend]]*Ruimtestaat[[#This Row],[Oppervlak (netto)]]</f>
        <v>0</v>
      </c>
      <c r="AC44" s="72">
        <f>IF(AA44&gt;0,Ruimtestaat[[#This Row],[Prest. (m2 /jaar) weekend]]/Ruimtestaat[[#This Row],[Norm (m2/uur) weekend]],0)</f>
        <v>0</v>
      </c>
      <c r="AD44" s="109">
        <f>Ruimtestaat[[#This Row],[uren / jaar weekend]]*Tariefsopbouw!$D$40</f>
        <v>0</v>
      </c>
      <c r="AE44" s="108">
        <f>Ruimtestaat[[#This Row],[Prest. (m2 /jaar) weekend]]+Ruimtestaat[[#This Row],[Prest. (m2 /jaar) werkdagen]]</f>
        <v>2000</v>
      </c>
      <c r="AF44" s="108">
        <f>Ruimtestaat[[#This Row],[uren / jaar weekend]]+Ruimtestaat[[#This Row],[uren / jaar werkdagen]]</f>
        <v>0</v>
      </c>
      <c r="AG44" s="103">
        <f>Ruimtestaat[[#This Row],[kosten / jaar weekend]]+Ruimtestaat[[#This Row],[kosten / jaar werkdagen]]</f>
        <v>0</v>
      </c>
      <c r="AH44" s="103"/>
      <c r="AI44" s="110" t="str">
        <f>IF(Ruimtestaat[[#This Row],[Frequentie werkdagen]]="","",_xlfn.CONCAT(Ruimtestaat[[#This Row],[Ruimte code]],"-",Ruimtestaat[[#This Row],[Frequentie werkdagen]]," ",Ruimtestaat[[#This Row],[Vloer code]]))</f>
        <v>10-5w T</v>
      </c>
      <c r="AJ44" s="114" t="str">
        <f>_xlfn.IFNA(VLOOKUP($AI44,Programma!$F$3:$G$1101,2,0),"")</f>
        <v>_</v>
      </c>
      <c r="AK44" s="114" t="str">
        <f>_xlfn.IFNA(VLOOKUP($AI44,Programma!$F$3:$H$1101,3,0),"")</f>
        <v>5w</v>
      </c>
      <c r="AL44" s="114" t="str">
        <f>_xlfn.IFNA(VLOOKUP($AI44,Programma!$F$3:$I$1101,4,0),"")</f>
        <v>_</v>
      </c>
      <c r="AM44" s="114" t="str">
        <f>_xlfn.IFNA(VLOOKUP($AI44,Programma!$F$3:$J$1101,5,0),"")</f>
        <v>_</v>
      </c>
      <c r="AN44" s="114" t="str">
        <f>_xlfn.IFNA(VLOOKUP($AI44,Programma!$F$3:$K$1101,6,0),"")</f>
        <v>_</v>
      </c>
      <c r="AO44" s="114" t="str">
        <f>_xlfn.IFNA(VLOOKUP($AI44,Programma!$F$3:$L$1101,7,0),"")</f>
        <v>_</v>
      </c>
      <c r="AP44" s="114" t="str">
        <f>_xlfn.IFNA(VLOOKUP($AI44,Programma!$F$3:$M$1101,8,0),"")</f>
        <v>_</v>
      </c>
      <c r="AQ44" s="114" t="str">
        <f>_xlfn.IFNA(VLOOKUP($AI44,Programma!$F$3:$N$1101,9,0),"")</f>
        <v>_</v>
      </c>
      <c r="AR44" s="114" t="str">
        <f>_xlfn.IFNA(VLOOKUP($AI44,Programma!$F$3:$O$1101,10,0),"")</f>
        <v>5w</v>
      </c>
      <c r="AS44" s="114" t="str">
        <f>_xlfn.IFNA(VLOOKUP($AI44,Programma!$F$3:$P$1101,11,0),"")</f>
        <v>5w</v>
      </c>
      <c r="AT44" s="114" t="str">
        <f>_xlfn.IFNA(VLOOKUP($AI44,Programma!$F$3:$Q$1101,12,0),"")</f>
        <v>1w</v>
      </c>
      <c r="AU44" s="114" t="str">
        <f>_xlfn.IFNA(VLOOKUP($AI44,Programma!$F$3:$R$1101,13,0),"")</f>
        <v>1w</v>
      </c>
      <c r="AV44" s="114" t="str">
        <f>_xlfn.IFNA(VLOOKUP($AI44,Programma!$F$3:$S$1101,14,0),"")</f>
        <v>1m</v>
      </c>
      <c r="AW44" s="114" t="str">
        <f>_xlfn.IFNA(VLOOKUP($AI44,Programma!$F$3:$T$1101,15,0),"")</f>
        <v>2j</v>
      </c>
      <c r="AX44" s="114" t="str">
        <f>_xlfn.IFNA(VLOOKUP($AI44,Programma!$F$3:$U$1101,16,0),"")</f>
        <v>1j</v>
      </c>
      <c r="AY44" s="114" t="str">
        <f>_xlfn.IFNA(VLOOKUP($AI44,Programma!$F$3:$V$1101,17,0),"")</f>
        <v>_</v>
      </c>
      <c r="AZ44" s="114" t="str">
        <f>_xlfn.IFNA(VLOOKUP($AI44,Programma!$F$3:$W$1101,18,0),"")</f>
        <v>_</v>
      </c>
      <c r="BA44" s="114" t="str">
        <f>_xlfn.IFNA(VLOOKUP($AI44,Programma!$F$3:$X$1101,19,0),"")</f>
        <v>_</v>
      </c>
      <c r="BB44" s="114" t="str">
        <f>_xlfn.IFNA(VLOOKUP($AI44,Programma!$F$3:$Y$1101,20,0),"")</f>
        <v>_</v>
      </c>
      <c r="BC44" s="111"/>
      <c r="BD44" s="110" t="str">
        <f>IF(Ruimtestaat[[#This Row],[Frequentie weekend]]="","",_xlfn.CONCAT(Ruimtestaat[[#This Row],[Ruimte code]],"-",Ruimtestaat[[#This Row],[Frequentie weekend]]," ",Ruimtestaat[[#This Row],[Vloer code]]))</f>
        <v/>
      </c>
      <c r="BE44" s="114" t="str">
        <f>_xlfn.IFNA(VLOOKUP($BD44,Programma!$F$3:$G$1101,2,0),"")</f>
        <v/>
      </c>
      <c r="BF44" s="114" t="str">
        <f>_xlfn.IFNA(VLOOKUP($BD44,Programma!$F$3:$H$1101,3,0),"")</f>
        <v/>
      </c>
      <c r="BG44" s="114" t="str">
        <f>_xlfn.IFNA(VLOOKUP($BD44,Programma!$F$3:$I$1101,4,0),"")</f>
        <v/>
      </c>
      <c r="BH44" s="114" t="str">
        <f>_xlfn.IFNA(VLOOKUP($BD44,Programma!$F$3:$J$1101,5,0),"")</f>
        <v/>
      </c>
      <c r="BI44" s="114" t="str">
        <f>_xlfn.IFNA(VLOOKUP($BD44,Programma!$F$3:$K$1101,6,0),"")</f>
        <v/>
      </c>
      <c r="BJ44" s="114" t="str">
        <f>_xlfn.IFNA(VLOOKUP($BD44,Programma!$F$3:$L$1101,7,0),"")</f>
        <v/>
      </c>
      <c r="BK44" s="114" t="str">
        <f>_xlfn.IFNA(VLOOKUP($BD44,Programma!$F$3:$M$1101,8,0),"")</f>
        <v/>
      </c>
      <c r="BL44" s="114" t="str">
        <f>_xlfn.IFNA(VLOOKUP($BD44,Programma!$F$3:$N$1101,9,0),"")</f>
        <v/>
      </c>
      <c r="BM44" s="114" t="str">
        <f>_xlfn.IFNA(VLOOKUP($BD44,Programma!$F$3:$O$1101,10,0),"")</f>
        <v/>
      </c>
      <c r="BN44" s="114" t="str">
        <f>_xlfn.IFNA(VLOOKUP($BD44,Programma!$F$3:$P$1101,11,0),"")</f>
        <v/>
      </c>
      <c r="BO44" s="114" t="str">
        <f>_xlfn.IFNA(VLOOKUP($BD44,Programma!$F$3:$Q$1101,12,0),"")</f>
        <v/>
      </c>
      <c r="BP44" s="114" t="str">
        <f>_xlfn.IFNA(VLOOKUP($BD44,Programma!$F$3:$R$1101,13,0),"")</f>
        <v/>
      </c>
      <c r="BQ44" s="114" t="str">
        <f>_xlfn.IFNA(VLOOKUP($BD44,Programma!$F$3:$S$1101,14,0),"")</f>
        <v/>
      </c>
      <c r="BR44" s="114" t="str">
        <f>_xlfn.IFNA(VLOOKUP($BD44,Programma!$F$3:$T$1101,15,0),"")</f>
        <v/>
      </c>
      <c r="BS44" s="114" t="str">
        <f>_xlfn.IFNA(VLOOKUP($BD44,Programma!$F$3:$U$1101,16,0),"")</f>
        <v/>
      </c>
      <c r="BT44" s="114" t="str">
        <f>_xlfn.IFNA(VLOOKUP($BD44,Programma!$F$3:$V$1101,17,0),"")</f>
        <v/>
      </c>
      <c r="BU44" s="114" t="str">
        <f>_xlfn.IFNA(VLOOKUP($BD44,Programma!$F$3:$W$1101,18,0),"")</f>
        <v/>
      </c>
      <c r="BV44" s="114" t="str">
        <f>_xlfn.IFNA(VLOOKUP($BD44,Programma!$F$3:$X$1101,19,0),"")</f>
        <v/>
      </c>
      <c r="BW44" s="114" t="str">
        <f>_xlfn.IFNA(VLOOKUP($BD44,Programma!$F$3:$Y$1101,20,0),"")</f>
        <v/>
      </c>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row>
    <row r="45" spans="1:220" ht="15" customHeight="1">
      <c r="A45" s="73">
        <v>1</v>
      </c>
      <c r="B45" s="105" t="str">
        <f>VLOOKUP(Ruimtestaat[[#This Row],[Code]],Locaties[[Code]:[Locatie]],2,FALSE)</f>
        <v>IKC Kameleon</v>
      </c>
      <c r="C45" s="105" t="str">
        <f>VLOOKUP(Ruimtestaat[[#This Row],[Code]],Locaties[[#All],[Code]:[Adres]],4,FALSE)</f>
        <v>Mondriaanstraat 15</v>
      </c>
      <c r="D45" s="105" t="str">
        <f>VLOOKUP(Ruimtestaat[[#This Row],[Code]],Locaties[[#All],[Code]:[Postcode]],5,FALSE)</f>
        <v>6921 MJ</v>
      </c>
      <c r="E45" s="105" t="str">
        <f>VLOOKUP(Ruimtestaat[[#This Row],[Code]],Locaties[#All],6,FALSE)</f>
        <v>Duiven</v>
      </c>
      <c r="F45" s="73"/>
      <c r="G45" s="73" t="s">
        <v>1826</v>
      </c>
      <c r="H45" s="272"/>
      <c r="I45" s="273" t="s">
        <v>1989</v>
      </c>
      <c r="J45" s="31">
        <v>6</v>
      </c>
      <c r="K45" s="113" t="str">
        <f>VLOOKUP(Ruimtestaat[[#This Row],[Ruimte code]],Ruimtegroepen[[#All],[Code]:[Ruimte omschrijving]],2,FALSE)</f>
        <v>Gangen/hallen</v>
      </c>
      <c r="L45" s="73" t="s">
        <v>99</v>
      </c>
      <c r="M45" s="273" t="s">
        <v>36</v>
      </c>
      <c r="N45" s="106">
        <v>80</v>
      </c>
      <c r="O45" s="73"/>
      <c r="P45" s="73"/>
      <c r="Q45" s="107" t="str">
        <f>VLOOKUP(Ruimtestaat[[#This Row],[Ruimte code]],Ruimtegroepen[],4,FALSE)</f>
        <v>Ve</v>
      </c>
      <c r="R45" s="73">
        <v>40</v>
      </c>
      <c r="S45" s="73" t="s">
        <v>2</v>
      </c>
      <c r="T45" s="73">
        <f>IF(R45&gt;0,IF(RIGHT(Ruimtestaat[[#This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 s="73">
        <f>IF(T45&gt;0,VLOOKUP($J45,Ruimtegroepen[],3,FALSE)*VLOOKUP($L45,Vloersoorten[],3,FALSE)*VLOOKUP($S45,Frequenties[],3,FALSE)*VLOOKUP($A45,Locaties[],3,FALSE),0)</f>
        <v>0</v>
      </c>
      <c r="V45" s="73">
        <f>Ruimtestaat[[#This Row],[Uitvoeringen werkdagen]]*Ruimtestaat[[#This Row],[Oppervlak (netto)]]</f>
        <v>16000</v>
      </c>
      <c r="W45" s="108">
        <f>IF(U45&gt;0,Ruimtestaat[[#This Row],[Prest. (m2 /jaar) werkdagen]]/Ruimtestaat[[#This Row],[Norm (m2/uur) werkdagen]],0)</f>
        <v>0</v>
      </c>
      <c r="X45" s="109">
        <f>Ruimtestaat[[#This Row],[uren / jaar werkdagen]]*Tariefsopbouw!$E$35</f>
        <v>0</v>
      </c>
      <c r="Y45" s="73"/>
      <c r="Z45" s="73">
        <f>IF(Ruimtestaat[[#This Row],[Frequentie weekend]]&gt;0,VALUE(LEFT(Y45,1))*R45,0)</f>
        <v>0</v>
      </c>
      <c r="AA45" s="72">
        <f>IF($Z45&gt;0,VLOOKUP($J45,Ruimtegroepen[],3,FALSE)*VLOOKUP($L45,Vloersoorten[],3,FALSE)*VLOOKUP($Y45,Frequenties[],3,FALSE)*VLOOKUP(Ruimtestaat[[#This Row],[Code]],Locaties[],3,FALSE),0)</f>
        <v>0</v>
      </c>
      <c r="AB45" s="72">
        <f>Ruimtestaat[[#This Row],[Uitvoeringen weekend]]*Ruimtestaat[[#This Row],[Oppervlak (netto)]]</f>
        <v>0</v>
      </c>
      <c r="AC45" s="72">
        <f>IF(AA45&gt;0,Ruimtestaat[[#This Row],[Prest. (m2 /jaar) weekend]]/Ruimtestaat[[#This Row],[Norm (m2/uur) weekend]],0)</f>
        <v>0</v>
      </c>
      <c r="AD45" s="109">
        <f>Ruimtestaat[[#This Row],[uren / jaar weekend]]*Tariefsopbouw!$D$40</f>
        <v>0</v>
      </c>
      <c r="AE45" s="108">
        <f>Ruimtestaat[[#This Row],[Prest. (m2 /jaar) weekend]]+Ruimtestaat[[#This Row],[Prest. (m2 /jaar) werkdagen]]</f>
        <v>16000</v>
      </c>
      <c r="AF45" s="108">
        <f>Ruimtestaat[[#This Row],[uren / jaar weekend]]+Ruimtestaat[[#This Row],[uren / jaar werkdagen]]</f>
        <v>0</v>
      </c>
      <c r="AG45" s="103">
        <f>Ruimtestaat[[#This Row],[kosten / jaar weekend]]+Ruimtestaat[[#This Row],[kosten / jaar werkdagen]]</f>
        <v>0</v>
      </c>
      <c r="AH45" s="103"/>
      <c r="AI45" s="110" t="str">
        <f>IF(Ruimtestaat[[#This Row],[Frequentie werkdagen]]="","",_xlfn.CONCAT(Ruimtestaat[[#This Row],[Ruimte code]],"-",Ruimtestaat[[#This Row],[Frequentie werkdagen]]," ",Ruimtestaat[[#This Row],[Vloer code]]))</f>
        <v>6-5w T</v>
      </c>
      <c r="AJ45" s="114" t="str">
        <f>_xlfn.IFNA(VLOOKUP($AI45,Programma!$F$3:$G$1101,2,0),"")</f>
        <v>_</v>
      </c>
      <c r="AK45" s="114" t="str">
        <f>_xlfn.IFNA(VLOOKUP($AI45,Programma!$F$3:$H$1101,3,0),"")</f>
        <v>5w</v>
      </c>
      <c r="AL45" s="114" t="str">
        <f>_xlfn.IFNA(VLOOKUP($AI45,Programma!$F$3:$I$1101,4,0),"")</f>
        <v>_</v>
      </c>
      <c r="AM45" s="114" t="str">
        <f>_xlfn.IFNA(VLOOKUP($AI45,Programma!$F$3:$J$1101,5,0),"")</f>
        <v>_</v>
      </c>
      <c r="AN45" s="114" t="str">
        <f>_xlfn.IFNA(VLOOKUP($AI45,Programma!$F$3:$K$1101,6,0),"")</f>
        <v>_</v>
      </c>
      <c r="AO45" s="114" t="str">
        <f>_xlfn.IFNA(VLOOKUP($AI45,Programma!$F$3:$L$1101,7,0),"")</f>
        <v>_</v>
      </c>
      <c r="AP45" s="114" t="str">
        <f>_xlfn.IFNA(VLOOKUP($AI45,Programma!$F$3:$M$1101,8,0),"")</f>
        <v>_</v>
      </c>
      <c r="AQ45" s="114" t="str">
        <f>_xlfn.IFNA(VLOOKUP($AI45,Programma!$F$3:$N$1101,9,0),"")</f>
        <v>_</v>
      </c>
      <c r="AR45" s="114" t="str">
        <f>_xlfn.IFNA(VLOOKUP($AI45,Programma!$F$3:$O$1101,10,0),"")</f>
        <v>5w</v>
      </c>
      <c r="AS45" s="114" t="str">
        <f>_xlfn.IFNA(VLOOKUP($AI45,Programma!$F$3:$P$1101,11,0),"")</f>
        <v>5w</v>
      </c>
      <c r="AT45" s="114" t="str">
        <f>_xlfn.IFNA(VLOOKUP($AI45,Programma!$F$3:$Q$1101,12,0),"")</f>
        <v>1w</v>
      </c>
      <c r="AU45" s="114" t="str">
        <f>_xlfn.IFNA(VLOOKUP($AI45,Programma!$F$3:$R$1101,13,0),"")</f>
        <v>1w</v>
      </c>
      <c r="AV45" s="114" t="str">
        <f>_xlfn.IFNA(VLOOKUP($AI45,Programma!$F$3:$S$1101,14,0),"")</f>
        <v>1m</v>
      </c>
      <c r="AW45" s="114" t="str">
        <f>_xlfn.IFNA(VLOOKUP($AI45,Programma!$F$3:$T$1101,15,0),"")</f>
        <v>2j</v>
      </c>
      <c r="AX45" s="114" t="str">
        <f>_xlfn.IFNA(VLOOKUP($AI45,Programma!$F$3:$U$1101,16,0),"")</f>
        <v>1j</v>
      </c>
      <c r="AY45" s="114" t="str">
        <f>_xlfn.IFNA(VLOOKUP($AI45,Programma!$F$3:$V$1101,17,0),"")</f>
        <v>_</v>
      </c>
      <c r="AZ45" s="114" t="str">
        <f>_xlfn.IFNA(VLOOKUP($AI45,Programma!$F$3:$W$1101,18,0),"")</f>
        <v>_</v>
      </c>
      <c r="BA45" s="114" t="str">
        <f>_xlfn.IFNA(VLOOKUP($AI45,Programma!$F$3:$X$1101,19,0),"")</f>
        <v>_</v>
      </c>
      <c r="BB45" s="114" t="str">
        <f>_xlfn.IFNA(VLOOKUP($AI45,Programma!$F$3:$Y$1101,20,0),"")</f>
        <v>_</v>
      </c>
      <c r="BC45" s="111"/>
      <c r="BD45" s="110" t="str">
        <f>IF(Ruimtestaat[[#This Row],[Frequentie weekend]]="","",_xlfn.CONCAT(Ruimtestaat[[#This Row],[Ruimte code]],"-",Ruimtestaat[[#This Row],[Frequentie weekend]]," ",Ruimtestaat[[#This Row],[Vloer code]]))</f>
        <v/>
      </c>
      <c r="BE45" s="114" t="str">
        <f>_xlfn.IFNA(VLOOKUP($BD45,Programma!$F$3:$G$1101,2,0),"")</f>
        <v/>
      </c>
      <c r="BF45" s="114" t="str">
        <f>_xlfn.IFNA(VLOOKUP($BD45,Programma!$F$3:$H$1101,3,0),"")</f>
        <v/>
      </c>
      <c r="BG45" s="114" t="str">
        <f>_xlfn.IFNA(VLOOKUP($BD45,Programma!$F$3:$I$1101,4,0),"")</f>
        <v/>
      </c>
      <c r="BH45" s="114" t="str">
        <f>_xlfn.IFNA(VLOOKUP($BD45,Programma!$F$3:$J$1101,5,0),"")</f>
        <v/>
      </c>
      <c r="BI45" s="114" t="str">
        <f>_xlfn.IFNA(VLOOKUP($BD45,Programma!$F$3:$K$1101,6,0),"")</f>
        <v/>
      </c>
      <c r="BJ45" s="114" t="str">
        <f>_xlfn.IFNA(VLOOKUP($BD45,Programma!$F$3:$L$1101,7,0),"")</f>
        <v/>
      </c>
      <c r="BK45" s="114" t="str">
        <f>_xlfn.IFNA(VLOOKUP($BD45,Programma!$F$3:$M$1101,8,0),"")</f>
        <v/>
      </c>
      <c r="BL45" s="114" t="str">
        <f>_xlfn.IFNA(VLOOKUP($BD45,Programma!$F$3:$N$1101,9,0),"")</f>
        <v/>
      </c>
      <c r="BM45" s="114" t="str">
        <f>_xlfn.IFNA(VLOOKUP($BD45,Programma!$F$3:$O$1101,10,0),"")</f>
        <v/>
      </c>
      <c r="BN45" s="114" t="str">
        <f>_xlfn.IFNA(VLOOKUP($BD45,Programma!$F$3:$P$1101,11,0),"")</f>
        <v/>
      </c>
      <c r="BO45" s="114" t="str">
        <f>_xlfn.IFNA(VLOOKUP($BD45,Programma!$F$3:$Q$1101,12,0),"")</f>
        <v/>
      </c>
      <c r="BP45" s="114" t="str">
        <f>_xlfn.IFNA(VLOOKUP($BD45,Programma!$F$3:$R$1101,13,0),"")</f>
        <v/>
      </c>
      <c r="BQ45" s="114" t="str">
        <f>_xlfn.IFNA(VLOOKUP($BD45,Programma!$F$3:$S$1101,14,0),"")</f>
        <v/>
      </c>
      <c r="BR45" s="114" t="str">
        <f>_xlfn.IFNA(VLOOKUP($BD45,Programma!$F$3:$T$1101,15,0),"")</f>
        <v/>
      </c>
      <c r="BS45" s="114" t="str">
        <f>_xlfn.IFNA(VLOOKUP($BD45,Programma!$F$3:$U$1101,16,0),"")</f>
        <v/>
      </c>
      <c r="BT45" s="114" t="str">
        <f>_xlfn.IFNA(VLOOKUP($BD45,Programma!$F$3:$V$1101,17,0),"")</f>
        <v/>
      </c>
      <c r="BU45" s="114" t="str">
        <f>_xlfn.IFNA(VLOOKUP($BD45,Programma!$F$3:$W$1101,18,0),"")</f>
        <v/>
      </c>
      <c r="BV45" s="114" t="str">
        <f>_xlfn.IFNA(VLOOKUP($BD45,Programma!$F$3:$X$1101,19,0),"")</f>
        <v/>
      </c>
      <c r="BW45" s="114" t="str">
        <f>_xlfn.IFNA(VLOOKUP($BD45,Programma!$F$3:$Y$1101,20,0),"")</f>
        <v/>
      </c>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row>
    <row r="46" spans="1:220" ht="15" customHeight="1">
      <c r="A46" s="73">
        <v>1</v>
      </c>
      <c r="B46" s="105" t="str">
        <f>VLOOKUP(Ruimtestaat[[#This Row],[Code]],Locaties[[Code]:[Locatie]],2,FALSE)</f>
        <v>IKC Kameleon</v>
      </c>
      <c r="C46" s="105" t="str">
        <f>VLOOKUP(Ruimtestaat[[#This Row],[Code]],Locaties[[#All],[Code]:[Adres]],4,FALSE)</f>
        <v>Mondriaanstraat 15</v>
      </c>
      <c r="D46" s="105" t="str">
        <f>VLOOKUP(Ruimtestaat[[#This Row],[Code]],Locaties[[#All],[Code]:[Postcode]],5,FALSE)</f>
        <v>6921 MJ</v>
      </c>
      <c r="E46" s="105" t="str">
        <f>VLOOKUP(Ruimtestaat[[#This Row],[Code]],Locaties[#All],6,FALSE)</f>
        <v>Duiven</v>
      </c>
      <c r="F46" s="73"/>
      <c r="G46" s="73" t="s">
        <v>1826</v>
      </c>
      <c r="H46" s="272"/>
      <c r="I46" s="273" t="s">
        <v>1897</v>
      </c>
      <c r="J46" s="31">
        <v>11</v>
      </c>
      <c r="K46" s="113" t="str">
        <f>VLOOKUP(Ruimtestaat[[#This Row],[Ruimte code]],Ruimtegroepen[[#All],[Code]:[Ruimte omschrijving]],2,FALSE)</f>
        <v>Garderobes</v>
      </c>
      <c r="L46" s="73" t="s">
        <v>99</v>
      </c>
      <c r="M46" s="273" t="s">
        <v>36</v>
      </c>
      <c r="N46" s="106">
        <v>6</v>
      </c>
      <c r="O46" s="112"/>
      <c r="P46" s="112"/>
      <c r="Q46" s="107" t="str">
        <f>VLOOKUP(Ruimtestaat[[#This Row],[Ruimte code]],Ruimtegroepen[],4,FALSE)</f>
        <v>Ve</v>
      </c>
      <c r="R46" s="73">
        <v>40</v>
      </c>
      <c r="S46" s="73" t="s">
        <v>15</v>
      </c>
      <c r="T46" s="73">
        <f>IF(R46&gt;0,IF(RIGHT(Ruimtestaat[[#This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6" s="73">
        <f>IF(T46&gt;0,VLOOKUP($J46,Ruimtegroepen[],3,FALSE)*VLOOKUP($L46,Vloersoorten[],3,FALSE)*VLOOKUP($S46,Frequenties[],3,FALSE)*VLOOKUP($A46,Locaties[],3,FALSE),0)</f>
        <v>0</v>
      </c>
      <c r="V46" s="73">
        <f>Ruimtestaat[[#This Row],[Uitvoeringen werkdagen]]*Ruimtestaat[[#This Row],[Oppervlak (netto)]]</f>
        <v>240</v>
      </c>
      <c r="W46" s="108">
        <f>IF(U46&gt;0,Ruimtestaat[[#This Row],[Prest. (m2 /jaar) werkdagen]]/Ruimtestaat[[#This Row],[Norm (m2/uur) werkdagen]],0)</f>
        <v>0</v>
      </c>
      <c r="X46" s="109">
        <f>Ruimtestaat[[#This Row],[uren / jaar werkdagen]]*Tariefsopbouw!$E$35</f>
        <v>0</v>
      </c>
      <c r="Y46" s="73"/>
      <c r="Z46" s="73">
        <f>IF(Ruimtestaat[[#This Row],[Frequentie weekend]]&gt;0,VALUE(LEFT(Y46,1))*R46,0)</f>
        <v>0</v>
      </c>
      <c r="AA46" s="72">
        <f>IF($Z46&gt;0,VLOOKUP($J46,Ruimtegroepen[],3,FALSE)*VLOOKUP($L46,Vloersoorten[],3,FALSE)*VLOOKUP($Y46,Frequenties[],3,FALSE)*VLOOKUP(Ruimtestaat[[#This Row],[Code]],Locaties[],3,FALSE),0)</f>
        <v>0</v>
      </c>
      <c r="AB46" s="72">
        <f>Ruimtestaat[[#This Row],[Uitvoeringen weekend]]*Ruimtestaat[[#This Row],[Oppervlak (netto)]]</f>
        <v>0</v>
      </c>
      <c r="AC46" s="72">
        <f>IF(AA46&gt;0,Ruimtestaat[[#This Row],[Prest. (m2 /jaar) weekend]]/Ruimtestaat[[#This Row],[Norm (m2/uur) weekend]],0)</f>
        <v>0</v>
      </c>
      <c r="AD46" s="109">
        <f>Ruimtestaat[[#This Row],[uren / jaar weekend]]*Tariefsopbouw!$D$40</f>
        <v>0</v>
      </c>
      <c r="AE46" s="108">
        <f>Ruimtestaat[[#This Row],[Prest. (m2 /jaar) weekend]]+Ruimtestaat[[#This Row],[Prest. (m2 /jaar) werkdagen]]</f>
        <v>240</v>
      </c>
      <c r="AF46" s="108">
        <f>Ruimtestaat[[#This Row],[uren / jaar weekend]]+Ruimtestaat[[#This Row],[uren / jaar werkdagen]]</f>
        <v>0</v>
      </c>
      <c r="AG46" s="103">
        <f>Ruimtestaat[[#This Row],[kosten / jaar weekend]]+Ruimtestaat[[#This Row],[kosten / jaar werkdagen]]</f>
        <v>0</v>
      </c>
      <c r="AH46" s="103"/>
      <c r="AI46" s="110" t="str">
        <f>IF(Ruimtestaat[[#This Row],[Frequentie werkdagen]]="","",_xlfn.CONCAT(Ruimtestaat[[#This Row],[Ruimte code]],"-",Ruimtestaat[[#This Row],[Frequentie werkdagen]]," ",Ruimtestaat[[#This Row],[Vloer code]]))</f>
        <v>11-1w T</v>
      </c>
      <c r="AJ46" s="114" t="str">
        <f>_xlfn.IFNA(VLOOKUP($AI46,Programma!$F$3:$G$1101,2,0),"")</f>
        <v>_</v>
      </c>
      <c r="AK46" s="114" t="str">
        <f>_xlfn.IFNA(VLOOKUP($AI46,Programma!$F$3:$H$1101,3,0),"")</f>
        <v>1w</v>
      </c>
      <c r="AL46" s="114" t="str">
        <f>_xlfn.IFNA(VLOOKUP($AI46,Programma!$F$3:$I$1101,4,0),"")</f>
        <v>_</v>
      </c>
      <c r="AM46" s="114" t="str">
        <f>_xlfn.IFNA(VLOOKUP($AI46,Programma!$F$3:$J$1101,5,0),"")</f>
        <v>_</v>
      </c>
      <c r="AN46" s="114" t="str">
        <f>_xlfn.IFNA(VLOOKUP($AI46,Programma!$F$3:$K$1101,6,0),"")</f>
        <v>_</v>
      </c>
      <c r="AO46" s="114" t="str">
        <f>_xlfn.IFNA(VLOOKUP($AI46,Programma!$F$3:$L$1101,7,0),"")</f>
        <v>_</v>
      </c>
      <c r="AP46" s="114" t="str">
        <f>_xlfn.IFNA(VLOOKUP($AI46,Programma!$F$3:$M$1101,8,0),"")</f>
        <v>_</v>
      </c>
      <c r="AQ46" s="114" t="str">
        <f>_xlfn.IFNA(VLOOKUP($AI46,Programma!$F$3:$N$1101,9,0),"")</f>
        <v>_</v>
      </c>
      <c r="AR46" s="114" t="str">
        <f>_xlfn.IFNA(VLOOKUP($AI46,Programma!$F$3:$O$1101,10,0),"")</f>
        <v>1w</v>
      </c>
      <c r="AS46" s="114" t="str">
        <f>_xlfn.IFNA(VLOOKUP($AI46,Programma!$F$3:$P$1101,11,0),"")</f>
        <v>1w</v>
      </c>
      <c r="AT46" s="114" t="str">
        <f>_xlfn.IFNA(VLOOKUP($AI46,Programma!$F$3:$Q$1101,12,0),"")</f>
        <v>1w</v>
      </c>
      <c r="AU46" s="114" t="str">
        <f>_xlfn.IFNA(VLOOKUP($AI46,Programma!$F$3:$R$1101,13,0),"")</f>
        <v>1w</v>
      </c>
      <c r="AV46" s="114" t="str">
        <f>_xlfn.IFNA(VLOOKUP($AI46,Programma!$F$3:$S$1101,14,0),"")</f>
        <v>1m</v>
      </c>
      <c r="AW46" s="114" t="str">
        <f>_xlfn.IFNA(VLOOKUP($AI46,Programma!$F$3:$T$1101,15,0),"")</f>
        <v>2j</v>
      </c>
      <c r="AX46" s="114" t="str">
        <f>_xlfn.IFNA(VLOOKUP($AI46,Programma!$F$3:$U$1101,16,0),"")</f>
        <v>1j</v>
      </c>
      <c r="AY46" s="114" t="str">
        <f>_xlfn.IFNA(VLOOKUP($AI46,Programma!$F$3:$V$1101,17,0),"")</f>
        <v>_</v>
      </c>
      <c r="AZ46" s="114" t="str">
        <f>_xlfn.IFNA(VLOOKUP($AI46,Programma!$F$3:$W$1101,18,0),"")</f>
        <v>_</v>
      </c>
      <c r="BA46" s="114" t="str">
        <f>_xlfn.IFNA(VLOOKUP($AI46,Programma!$F$3:$X$1101,19,0),"")</f>
        <v>_</v>
      </c>
      <c r="BB46" s="114" t="str">
        <f>_xlfn.IFNA(VLOOKUP($AI46,Programma!$F$3:$Y$1101,20,0),"")</f>
        <v>_</v>
      </c>
      <c r="BC46" s="111"/>
      <c r="BD46" s="110" t="str">
        <f>IF(Ruimtestaat[[#This Row],[Frequentie weekend]]="","",_xlfn.CONCAT(Ruimtestaat[[#This Row],[Ruimte code]],"-",Ruimtestaat[[#This Row],[Frequentie weekend]]," ",Ruimtestaat[[#This Row],[Vloer code]]))</f>
        <v/>
      </c>
      <c r="BE46" s="114" t="str">
        <f>_xlfn.IFNA(VLOOKUP($BD46,Programma!$F$3:$G$1101,2,0),"")</f>
        <v/>
      </c>
      <c r="BF46" s="114" t="str">
        <f>_xlfn.IFNA(VLOOKUP($BD46,Programma!$F$3:$H$1101,3,0),"")</f>
        <v/>
      </c>
      <c r="BG46" s="114" t="str">
        <f>_xlfn.IFNA(VLOOKUP($BD46,Programma!$F$3:$I$1101,4,0),"")</f>
        <v/>
      </c>
      <c r="BH46" s="114" t="str">
        <f>_xlfn.IFNA(VLOOKUP($BD46,Programma!$F$3:$J$1101,5,0),"")</f>
        <v/>
      </c>
      <c r="BI46" s="114" t="str">
        <f>_xlfn.IFNA(VLOOKUP($BD46,Programma!$F$3:$K$1101,6,0),"")</f>
        <v/>
      </c>
      <c r="BJ46" s="114" t="str">
        <f>_xlfn.IFNA(VLOOKUP($BD46,Programma!$F$3:$L$1101,7,0),"")</f>
        <v/>
      </c>
      <c r="BK46" s="114" t="str">
        <f>_xlfn.IFNA(VLOOKUP($BD46,Programma!$F$3:$M$1101,8,0),"")</f>
        <v/>
      </c>
      <c r="BL46" s="114" t="str">
        <f>_xlfn.IFNA(VLOOKUP($BD46,Programma!$F$3:$N$1101,9,0),"")</f>
        <v/>
      </c>
      <c r="BM46" s="114" t="str">
        <f>_xlfn.IFNA(VLOOKUP($BD46,Programma!$F$3:$O$1101,10,0),"")</f>
        <v/>
      </c>
      <c r="BN46" s="114" t="str">
        <f>_xlfn.IFNA(VLOOKUP($BD46,Programma!$F$3:$P$1101,11,0),"")</f>
        <v/>
      </c>
      <c r="BO46" s="114" t="str">
        <f>_xlfn.IFNA(VLOOKUP($BD46,Programma!$F$3:$Q$1101,12,0),"")</f>
        <v/>
      </c>
      <c r="BP46" s="114" t="str">
        <f>_xlfn.IFNA(VLOOKUP($BD46,Programma!$F$3:$R$1101,13,0),"")</f>
        <v/>
      </c>
      <c r="BQ46" s="114" t="str">
        <f>_xlfn.IFNA(VLOOKUP($BD46,Programma!$F$3:$S$1101,14,0),"")</f>
        <v/>
      </c>
      <c r="BR46" s="114" t="str">
        <f>_xlfn.IFNA(VLOOKUP($BD46,Programma!$F$3:$T$1101,15,0),"")</f>
        <v/>
      </c>
      <c r="BS46" s="114" t="str">
        <f>_xlfn.IFNA(VLOOKUP($BD46,Programma!$F$3:$U$1101,16,0),"")</f>
        <v/>
      </c>
      <c r="BT46" s="114" t="str">
        <f>_xlfn.IFNA(VLOOKUP($BD46,Programma!$F$3:$V$1101,17,0),"")</f>
        <v/>
      </c>
      <c r="BU46" s="114" t="str">
        <f>_xlfn.IFNA(VLOOKUP($BD46,Programma!$F$3:$W$1101,18,0),"")</f>
        <v/>
      </c>
      <c r="BV46" s="114" t="str">
        <f>_xlfn.IFNA(VLOOKUP($BD46,Programma!$F$3:$X$1101,19,0),"")</f>
        <v/>
      </c>
      <c r="BW46" s="114" t="str">
        <f>_xlfn.IFNA(VLOOKUP($BD46,Programma!$F$3:$Y$1101,20,0),"")</f>
        <v/>
      </c>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row>
    <row r="47" spans="1:220" ht="15" customHeight="1">
      <c r="A47" s="73">
        <v>1</v>
      </c>
      <c r="B47" s="105" t="str">
        <f>VLOOKUP(Ruimtestaat[[#This Row],[Code]],Locaties[[Code]:[Locatie]],2,FALSE)</f>
        <v>IKC Kameleon</v>
      </c>
      <c r="C47" s="105" t="str">
        <f>VLOOKUP(Ruimtestaat[[#This Row],[Code]],Locaties[[#All],[Code]:[Adres]],4,FALSE)</f>
        <v>Mondriaanstraat 15</v>
      </c>
      <c r="D47" s="105" t="str">
        <f>VLOOKUP(Ruimtestaat[[#This Row],[Code]],Locaties[[#All],[Code]:[Postcode]],5,FALSE)</f>
        <v>6921 MJ</v>
      </c>
      <c r="E47" s="105" t="str">
        <f>VLOOKUP(Ruimtestaat[[#This Row],[Code]],Locaties[#All],6,FALSE)</f>
        <v>Duiven</v>
      </c>
      <c r="F47" s="73"/>
      <c r="G47" s="73" t="s">
        <v>1826</v>
      </c>
      <c r="H47" s="272"/>
      <c r="I47" s="273" t="s">
        <v>1723</v>
      </c>
      <c r="J47" s="31">
        <v>5</v>
      </c>
      <c r="K47" s="113" t="str">
        <f>VLOOKUP(Ruimtestaat[[#This Row],[Ruimte code]],Ruimtegroepen[[#All],[Code]:[Ruimte omschrijving]],2,FALSE)</f>
        <v>Sanitair</v>
      </c>
      <c r="L47" s="73" t="s">
        <v>99</v>
      </c>
      <c r="M47" s="273" t="s">
        <v>36</v>
      </c>
      <c r="N47" s="106">
        <v>8</v>
      </c>
      <c r="O47" s="112"/>
      <c r="P47" s="112"/>
      <c r="Q47" s="107" t="str">
        <f>VLOOKUP(Ruimtestaat[[#This Row],[Ruimte code]],Ruimtegroepen[],4,FALSE)</f>
        <v>Sa</v>
      </c>
      <c r="R47" s="73">
        <v>40</v>
      </c>
      <c r="S47" s="73" t="s">
        <v>2</v>
      </c>
      <c r="T47" s="73">
        <f>IF(R47&gt;0,IF(RIGHT(Ruimtestaat[[#This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 s="73">
        <f>IF(T47&gt;0,VLOOKUP($J47,Ruimtegroepen[],3,FALSE)*VLOOKUP($L47,Vloersoorten[],3,FALSE)*VLOOKUP($S47,Frequenties[],3,FALSE)*VLOOKUP($A47,Locaties[],3,FALSE),0)</f>
        <v>0</v>
      </c>
      <c r="V47" s="73">
        <f>Ruimtestaat[[#This Row],[Uitvoeringen werkdagen]]*Ruimtestaat[[#This Row],[Oppervlak (netto)]]</f>
        <v>1600</v>
      </c>
      <c r="W47" s="108">
        <f>IF(U47&gt;0,Ruimtestaat[[#This Row],[Prest. (m2 /jaar) werkdagen]]/Ruimtestaat[[#This Row],[Norm (m2/uur) werkdagen]],0)</f>
        <v>0</v>
      </c>
      <c r="X47" s="109">
        <f>Ruimtestaat[[#This Row],[uren / jaar werkdagen]]*Tariefsopbouw!$E$35</f>
        <v>0</v>
      </c>
      <c r="Y47" s="73"/>
      <c r="Z47" s="73">
        <f>IF(Ruimtestaat[[#This Row],[Frequentie weekend]]&gt;0,VALUE(LEFT(Y47,1))*R47,0)</f>
        <v>0</v>
      </c>
      <c r="AA47" s="72">
        <f>IF($Z47&gt;0,VLOOKUP($J47,Ruimtegroepen[],3,FALSE)*VLOOKUP($L47,Vloersoorten[],3,FALSE)*VLOOKUP($Y47,Frequenties[],3,FALSE)*VLOOKUP(Ruimtestaat[[#This Row],[Code]],Locaties[],3,FALSE),0)</f>
        <v>0</v>
      </c>
      <c r="AB47" s="72">
        <f>Ruimtestaat[[#This Row],[Uitvoeringen weekend]]*Ruimtestaat[[#This Row],[Oppervlak (netto)]]</f>
        <v>0</v>
      </c>
      <c r="AC47" s="72">
        <f>IF(AA47&gt;0,Ruimtestaat[[#This Row],[Prest. (m2 /jaar) weekend]]/Ruimtestaat[[#This Row],[Norm (m2/uur) weekend]],0)</f>
        <v>0</v>
      </c>
      <c r="AD47" s="109">
        <f>Ruimtestaat[[#This Row],[uren / jaar weekend]]*Tariefsopbouw!$D$40</f>
        <v>0</v>
      </c>
      <c r="AE47" s="108">
        <f>Ruimtestaat[[#This Row],[Prest. (m2 /jaar) weekend]]+Ruimtestaat[[#This Row],[Prest. (m2 /jaar) werkdagen]]</f>
        <v>1600</v>
      </c>
      <c r="AF47" s="108">
        <f>Ruimtestaat[[#This Row],[uren / jaar weekend]]+Ruimtestaat[[#This Row],[uren / jaar werkdagen]]</f>
        <v>0</v>
      </c>
      <c r="AG47" s="103">
        <f>Ruimtestaat[[#This Row],[kosten / jaar weekend]]+Ruimtestaat[[#This Row],[kosten / jaar werkdagen]]</f>
        <v>0</v>
      </c>
      <c r="AH47" s="103"/>
      <c r="AI47" s="110" t="str">
        <f>IF(Ruimtestaat[[#This Row],[Frequentie werkdagen]]="","",_xlfn.CONCAT(Ruimtestaat[[#This Row],[Ruimte code]],"-",Ruimtestaat[[#This Row],[Frequentie werkdagen]]," ",Ruimtestaat[[#This Row],[Vloer code]]))</f>
        <v>5-5w T</v>
      </c>
      <c r="AJ47" s="114" t="str">
        <f>_xlfn.IFNA(VLOOKUP($AI47,Programma!$F$3:$G$1101,2,0),"")</f>
        <v>_</v>
      </c>
      <c r="AK47" s="114" t="str">
        <f>_xlfn.IFNA(VLOOKUP($AI47,Programma!$F$3:$H$1101,3,0),"")</f>
        <v>_</v>
      </c>
      <c r="AL47" s="114" t="str">
        <f>_xlfn.IFNA(VLOOKUP($AI47,Programma!$F$3:$I$1101,4,0),"")</f>
        <v>_</v>
      </c>
      <c r="AM47" s="114" t="str">
        <f>_xlfn.IFNA(VLOOKUP($AI47,Programma!$F$3:$J$1101,5,0),"")</f>
        <v>_</v>
      </c>
      <c r="AN47" s="114" t="str">
        <f>_xlfn.IFNA(VLOOKUP($AI47,Programma!$F$3:$K$1101,6,0),"")</f>
        <v>_</v>
      </c>
      <c r="AO47" s="114" t="str">
        <f>_xlfn.IFNA(VLOOKUP($AI47,Programma!$F$3:$L$1101,7,0),"")</f>
        <v>_</v>
      </c>
      <c r="AP47" s="114" t="str">
        <f>_xlfn.IFNA(VLOOKUP($AI47,Programma!$F$3:$M$1101,8,0),"")</f>
        <v>_</v>
      </c>
      <c r="AQ47" s="114" t="str">
        <f>_xlfn.IFNA(VLOOKUP($AI47,Programma!$F$3:$N$1101,9,0),"")</f>
        <v>_</v>
      </c>
      <c r="AR47" s="114" t="str">
        <f>_xlfn.IFNA(VLOOKUP($AI47,Programma!$F$3:$O$1101,10,0),"")</f>
        <v>_</v>
      </c>
      <c r="AS47" s="114" t="str">
        <f>_xlfn.IFNA(VLOOKUP($AI47,Programma!$F$3:$P$1101,11,0),"")</f>
        <v>_</v>
      </c>
      <c r="AT47" s="114" t="str">
        <f>_xlfn.IFNA(VLOOKUP($AI47,Programma!$F$3:$Q$1101,12,0),"")</f>
        <v>_</v>
      </c>
      <c r="AU47" s="114" t="str">
        <f>_xlfn.IFNA(VLOOKUP($AI47,Programma!$F$3:$R$1101,13,0),"")</f>
        <v>_</v>
      </c>
      <c r="AV47" s="114" t="str">
        <f>_xlfn.IFNA(VLOOKUP($AI47,Programma!$F$3:$S$1101,14,0),"")</f>
        <v>_</v>
      </c>
      <c r="AW47" s="114" t="str">
        <f>_xlfn.IFNA(VLOOKUP($AI47,Programma!$F$3:$T$1101,15,0),"")</f>
        <v>_</v>
      </c>
      <c r="AX47" s="114" t="str">
        <f>_xlfn.IFNA(VLOOKUP($AI47,Programma!$F$3:$U$1101,16,0),"")</f>
        <v>_</v>
      </c>
      <c r="AY47" s="114" t="str">
        <f>_xlfn.IFNA(VLOOKUP($AI47,Programma!$F$3:$V$1101,17,0),"")</f>
        <v>_</v>
      </c>
      <c r="AZ47" s="114" t="str">
        <f>_xlfn.IFNA(VLOOKUP($AI47,Programma!$F$3:$W$1101,18,0),"")</f>
        <v>_</v>
      </c>
      <c r="BA47" s="114" t="str">
        <f>_xlfn.IFNA(VLOOKUP($AI47,Programma!$F$3:$X$1101,19,0),"")</f>
        <v>_</v>
      </c>
      <c r="BB47" s="114" t="str">
        <f>_xlfn.IFNA(VLOOKUP($AI47,Programma!$F$3:$Y$1101,20,0),"")</f>
        <v>_</v>
      </c>
      <c r="BC47" s="111"/>
      <c r="BD47" s="110" t="str">
        <f>IF(Ruimtestaat[[#This Row],[Frequentie weekend]]="","",_xlfn.CONCAT(Ruimtestaat[[#This Row],[Ruimte code]],"-",Ruimtestaat[[#This Row],[Frequentie weekend]]," ",Ruimtestaat[[#This Row],[Vloer code]]))</f>
        <v/>
      </c>
      <c r="BE47" s="114" t="str">
        <f>_xlfn.IFNA(VLOOKUP($BD47,Programma!$F$3:$G$1101,2,0),"")</f>
        <v/>
      </c>
      <c r="BF47" s="114" t="str">
        <f>_xlfn.IFNA(VLOOKUP($BD47,Programma!$F$3:$H$1101,3,0),"")</f>
        <v/>
      </c>
      <c r="BG47" s="114" t="str">
        <f>_xlfn.IFNA(VLOOKUP($BD47,Programma!$F$3:$I$1101,4,0),"")</f>
        <v/>
      </c>
      <c r="BH47" s="114" t="str">
        <f>_xlfn.IFNA(VLOOKUP($BD47,Programma!$F$3:$J$1101,5,0),"")</f>
        <v/>
      </c>
      <c r="BI47" s="114" t="str">
        <f>_xlfn.IFNA(VLOOKUP($BD47,Programma!$F$3:$K$1101,6,0),"")</f>
        <v/>
      </c>
      <c r="BJ47" s="114" t="str">
        <f>_xlfn.IFNA(VLOOKUP($BD47,Programma!$F$3:$L$1101,7,0),"")</f>
        <v/>
      </c>
      <c r="BK47" s="114" t="str">
        <f>_xlfn.IFNA(VLOOKUP($BD47,Programma!$F$3:$M$1101,8,0),"")</f>
        <v/>
      </c>
      <c r="BL47" s="114" t="str">
        <f>_xlfn.IFNA(VLOOKUP($BD47,Programma!$F$3:$N$1101,9,0),"")</f>
        <v/>
      </c>
      <c r="BM47" s="114" t="str">
        <f>_xlfn.IFNA(VLOOKUP($BD47,Programma!$F$3:$O$1101,10,0),"")</f>
        <v/>
      </c>
      <c r="BN47" s="114" t="str">
        <f>_xlfn.IFNA(VLOOKUP($BD47,Programma!$F$3:$P$1101,11,0),"")</f>
        <v/>
      </c>
      <c r="BO47" s="114" t="str">
        <f>_xlfn.IFNA(VLOOKUP($BD47,Programma!$F$3:$Q$1101,12,0),"")</f>
        <v/>
      </c>
      <c r="BP47" s="114" t="str">
        <f>_xlfn.IFNA(VLOOKUP($BD47,Programma!$F$3:$R$1101,13,0),"")</f>
        <v/>
      </c>
      <c r="BQ47" s="114" t="str">
        <f>_xlfn.IFNA(VLOOKUP($BD47,Programma!$F$3:$S$1101,14,0),"")</f>
        <v/>
      </c>
      <c r="BR47" s="114" t="str">
        <f>_xlfn.IFNA(VLOOKUP($BD47,Programma!$F$3:$T$1101,15,0),"")</f>
        <v/>
      </c>
      <c r="BS47" s="114" t="str">
        <f>_xlfn.IFNA(VLOOKUP($BD47,Programma!$F$3:$U$1101,16,0),"")</f>
        <v/>
      </c>
      <c r="BT47" s="114" t="str">
        <f>_xlfn.IFNA(VLOOKUP($BD47,Programma!$F$3:$V$1101,17,0),"")</f>
        <v/>
      </c>
      <c r="BU47" s="114" t="str">
        <f>_xlfn.IFNA(VLOOKUP($BD47,Programma!$F$3:$W$1101,18,0),"")</f>
        <v/>
      </c>
      <c r="BV47" s="114" t="str">
        <f>_xlfn.IFNA(VLOOKUP($BD47,Programma!$F$3:$X$1101,19,0),"")</f>
        <v/>
      </c>
      <c r="BW47" s="114" t="str">
        <f>_xlfn.IFNA(VLOOKUP($BD47,Programma!$F$3:$Y$1101,20,0),"")</f>
        <v/>
      </c>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row>
    <row r="48" spans="1:220" ht="15" customHeight="1">
      <c r="A48" s="73">
        <v>1</v>
      </c>
      <c r="B48" s="105" t="str">
        <f>VLOOKUP(Ruimtestaat[[#This Row],[Code]],Locaties[[Code]:[Locatie]],2,FALSE)</f>
        <v>IKC Kameleon</v>
      </c>
      <c r="C48" s="105" t="str">
        <f>VLOOKUP(Ruimtestaat[[#This Row],[Code]],Locaties[[#All],[Code]:[Adres]],4,FALSE)</f>
        <v>Mondriaanstraat 15</v>
      </c>
      <c r="D48" s="105" t="str">
        <f>VLOOKUP(Ruimtestaat[[#This Row],[Code]],Locaties[[#All],[Code]:[Postcode]],5,FALSE)</f>
        <v>6921 MJ</v>
      </c>
      <c r="E48" s="105" t="str">
        <f>VLOOKUP(Ruimtestaat[[#This Row],[Code]],Locaties[#All],6,FALSE)</f>
        <v>Duiven</v>
      </c>
      <c r="F48" s="73"/>
      <c r="G48" s="73" t="s">
        <v>1826</v>
      </c>
      <c r="H48" s="272"/>
      <c r="I48" s="273" t="s">
        <v>1737</v>
      </c>
      <c r="J48" s="31">
        <v>16</v>
      </c>
      <c r="K48" s="113" t="str">
        <f>VLOOKUP(Ruimtestaat[[#This Row],[Ruimte code]],Ruimtegroepen[[#All],[Code]:[Ruimte omschrijving]],2,FALSE)</f>
        <v>Leslokalen</v>
      </c>
      <c r="L48" s="73" t="s">
        <v>99</v>
      </c>
      <c r="M48" s="273" t="s">
        <v>36</v>
      </c>
      <c r="N48" s="106">
        <v>56.25</v>
      </c>
      <c r="O48" s="73"/>
      <c r="P48" s="73"/>
      <c r="Q48" s="107" t="str">
        <f>VLOOKUP(Ruimtestaat[[#This Row],[Ruimte code]],Ruimtegroepen[],4,FALSE)</f>
        <v>Le</v>
      </c>
      <c r="R48" s="73">
        <v>40</v>
      </c>
      <c r="S48" s="73" t="s">
        <v>2</v>
      </c>
      <c r="T48" s="73">
        <f>IF(R48&gt;0,IF(RIGHT(Ruimtestaat[[#This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 s="73">
        <f>IF(T48&gt;0,VLOOKUP($J48,Ruimtegroepen[],3,FALSE)*VLOOKUP($L48,Vloersoorten[],3,FALSE)*VLOOKUP($S48,Frequenties[],3,FALSE)*VLOOKUP($A48,Locaties[],3,FALSE),0)</f>
        <v>0</v>
      </c>
      <c r="V48" s="73">
        <f>Ruimtestaat[[#This Row],[Uitvoeringen werkdagen]]*Ruimtestaat[[#This Row],[Oppervlak (netto)]]</f>
        <v>11250</v>
      </c>
      <c r="W48" s="108">
        <f>IF(U48&gt;0,Ruimtestaat[[#This Row],[Prest. (m2 /jaar) werkdagen]]/Ruimtestaat[[#This Row],[Norm (m2/uur) werkdagen]],0)</f>
        <v>0</v>
      </c>
      <c r="X48" s="109">
        <f>Ruimtestaat[[#This Row],[uren / jaar werkdagen]]*Tariefsopbouw!$E$35</f>
        <v>0</v>
      </c>
      <c r="Y48" s="73"/>
      <c r="Z48" s="73">
        <f>IF(Ruimtestaat[[#This Row],[Frequentie weekend]]&gt;0,VALUE(LEFT(Y48,1))*R48,0)</f>
        <v>0</v>
      </c>
      <c r="AA48" s="72">
        <f>IF($Z48&gt;0,VLOOKUP($J48,Ruimtegroepen[],3,FALSE)*VLOOKUP($L48,Vloersoorten[],3,FALSE)*VLOOKUP($Y48,Frequenties[],3,FALSE)*VLOOKUP(Ruimtestaat[[#This Row],[Code]],Locaties[],3,FALSE),0)</f>
        <v>0</v>
      </c>
      <c r="AB48" s="72">
        <f>Ruimtestaat[[#This Row],[Uitvoeringen weekend]]*Ruimtestaat[[#This Row],[Oppervlak (netto)]]</f>
        <v>0</v>
      </c>
      <c r="AC48" s="72">
        <f>IF(AA48&gt;0,Ruimtestaat[[#This Row],[Prest. (m2 /jaar) weekend]]/Ruimtestaat[[#This Row],[Norm (m2/uur) weekend]],0)</f>
        <v>0</v>
      </c>
      <c r="AD48" s="109">
        <f>Ruimtestaat[[#This Row],[uren / jaar weekend]]*Tariefsopbouw!$D$40</f>
        <v>0</v>
      </c>
      <c r="AE48" s="108">
        <f>Ruimtestaat[[#This Row],[Prest. (m2 /jaar) weekend]]+Ruimtestaat[[#This Row],[Prest. (m2 /jaar) werkdagen]]</f>
        <v>11250</v>
      </c>
      <c r="AF48" s="108">
        <f>Ruimtestaat[[#This Row],[uren / jaar weekend]]+Ruimtestaat[[#This Row],[uren / jaar werkdagen]]</f>
        <v>0</v>
      </c>
      <c r="AG48" s="103">
        <f>Ruimtestaat[[#This Row],[kosten / jaar weekend]]+Ruimtestaat[[#This Row],[kosten / jaar werkdagen]]</f>
        <v>0</v>
      </c>
      <c r="AH48" s="103"/>
      <c r="AI48" s="110" t="str">
        <f>IF(Ruimtestaat[[#This Row],[Frequentie werkdagen]]="","",_xlfn.CONCAT(Ruimtestaat[[#This Row],[Ruimte code]],"-",Ruimtestaat[[#This Row],[Frequentie werkdagen]]," ",Ruimtestaat[[#This Row],[Vloer code]]))</f>
        <v>16-5w T</v>
      </c>
      <c r="AJ48" s="114" t="str">
        <f>_xlfn.IFNA(VLOOKUP($AI48,Programma!$F$3:$G$1101,2,0),"")</f>
        <v>3w</v>
      </c>
      <c r="AK48" s="114" t="str">
        <f>_xlfn.IFNA(VLOOKUP($AI48,Programma!$F$3:$H$1101,3,0),"")</f>
        <v>2w</v>
      </c>
      <c r="AL48" s="114" t="str">
        <f>_xlfn.IFNA(VLOOKUP($AI48,Programma!$F$3:$I$1101,4,0),"")</f>
        <v>_</v>
      </c>
      <c r="AM48" s="114" t="str">
        <f>_xlfn.IFNA(VLOOKUP($AI48,Programma!$F$3:$J$1101,5,0),"")</f>
        <v>_</v>
      </c>
      <c r="AN48" s="114" t="str">
        <f>_xlfn.IFNA(VLOOKUP($AI48,Programma!$F$3:$K$1101,6,0),"")</f>
        <v>_</v>
      </c>
      <c r="AO48" s="114" t="str">
        <f>_xlfn.IFNA(VLOOKUP($AI48,Programma!$F$3:$L$1101,7,0),"")</f>
        <v>_</v>
      </c>
      <c r="AP48" s="114" t="str">
        <f>_xlfn.IFNA(VLOOKUP($AI48,Programma!$F$3:$M$1101,8,0),"")</f>
        <v>_</v>
      </c>
      <c r="AQ48" s="114" t="str">
        <f>_xlfn.IFNA(VLOOKUP($AI48,Programma!$F$3:$N$1101,9,0),"")</f>
        <v>_</v>
      </c>
      <c r="AR48" s="114" t="str">
        <f>_xlfn.IFNA(VLOOKUP($AI48,Programma!$F$3:$O$1101,10,0),"")</f>
        <v>5w</v>
      </c>
      <c r="AS48" s="114" t="str">
        <f>_xlfn.IFNA(VLOOKUP($AI48,Programma!$F$3:$P$1101,11,0),"")</f>
        <v>5w</v>
      </c>
      <c r="AT48" s="114" t="str">
        <f>_xlfn.IFNA(VLOOKUP($AI48,Programma!$F$3:$Q$1101,12,0),"")</f>
        <v>1w</v>
      </c>
      <c r="AU48" s="114" t="str">
        <f>_xlfn.IFNA(VLOOKUP($AI48,Programma!$F$3:$R$1101,13,0),"")</f>
        <v>1w</v>
      </c>
      <c r="AV48" s="114" t="str">
        <f>_xlfn.IFNA(VLOOKUP($AI48,Programma!$F$3:$S$1101,14,0),"")</f>
        <v>1m</v>
      </c>
      <c r="AW48" s="114" t="str">
        <f>_xlfn.IFNA(VLOOKUP($AI48,Programma!$F$3:$T$1101,15,0),"")</f>
        <v>2j</v>
      </c>
      <c r="AX48" s="114" t="str">
        <f>_xlfn.IFNA(VLOOKUP($AI48,Programma!$F$3:$U$1101,16,0),"")</f>
        <v>1j</v>
      </c>
      <c r="AY48" s="114" t="str">
        <f>_xlfn.IFNA(VLOOKUP($AI48,Programma!$F$3:$V$1101,17,0),"")</f>
        <v>_</v>
      </c>
      <c r="AZ48" s="114" t="str">
        <f>_xlfn.IFNA(VLOOKUP($AI48,Programma!$F$3:$W$1101,18,0),"")</f>
        <v>_</v>
      </c>
      <c r="BA48" s="114" t="str">
        <f>_xlfn.IFNA(VLOOKUP($AI48,Programma!$F$3:$X$1101,19,0),"")</f>
        <v>_</v>
      </c>
      <c r="BB48" s="114" t="str">
        <f>_xlfn.IFNA(VLOOKUP($AI48,Programma!$F$3:$Y$1101,20,0),"")</f>
        <v>_</v>
      </c>
      <c r="BC48" s="111"/>
      <c r="BD48" s="110" t="str">
        <f>IF(Ruimtestaat[[#This Row],[Frequentie weekend]]="","",_xlfn.CONCAT(Ruimtestaat[[#This Row],[Ruimte code]],"-",Ruimtestaat[[#This Row],[Frequentie weekend]]," ",Ruimtestaat[[#This Row],[Vloer code]]))</f>
        <v/>
      </c>
      <c r="BE48" s="114" t="str">
        <f>_xlfn.IFNA(VLOOKUP($BD48,Programma!$F$3:$G$1101,2,0),"")</f>
        <v/>
      </c>
      <c r="BF48" s="114" t="str">
        <f>_xlfn.IFNA(VLOOKUP($BD48,Programma!$F$3:$H$1101,3,0),"")</f>
        <v/>
      </c>
      <c r="BG48" s="114" t="str">
        <f>_xlfn.IFNA(VLOOKUP($BD48,Programma!$F$3:$I$1101,4,0),"")</f>
        <v/>
      </c>
      <c r="BH48" s="114" t="str">
        <f>_xlfn.IFNA(VLOOKUP($BD48,Programma!$F$3:$J$1101,5,0),"")</f>
        <v/>
      </c>
      <c r="BI48" s="114" t="str">
        <f>_xlfn.IFNA(VLOOKUP($BD48,Programma!$F$3:$K$1101,6,0),"")</f>
        <v/>
      </c>
      <c r="BJ48" s="114" t="str">
        <f>_xlfn.IFNA(VLOOKUP($BD48,Programma!$F$3:$L$1101,7,0),"")</f>
        <v/>
      </c>
      <c r="BK48" s="114" t="str">
        <f>_xlfn.IFNA(VLOOKUP($BD48,Programma!$F$3:$M$1101,8,0),"")</f>
        <v/>
      </c>
      <c r="BL48" s="114" t="str">
        <f>_xlfn.IFNA(VLOOKUP($BD48,Programma!$F$3:$N$1101,9,0),"")</f>
        <v/>
      </c>
      <c r="BM48" s="114" t="str">
        <f>_xlfn.IFNA(VLOOKUP($BD48,Programma!$F$3:$O$1101,10,0),"")</f>
        <v/>
      </c>
      <c r="BN48" s="114" t="str">
        <f>_xlfn.IFNA(VLOOKUP($BD48,Programma!$F$3:$P$1101,11,0),"")</f>
        <v/>
      </c>
      <c r="BO48" s="114" t="str">
        <f>_xlfn.IFNA(VLOOKUP($BD48,Programma!$F$3:$Q$1101,12,0),"")</f>
        <v/>
      </c>
      <c r="BP48" s="114" t="str">
        <f>_xlfn.IFNA(VLOOKUP($BD48,Programma!$F$3:$R$1101,13,0),"")</f>
        <v/>
      </c>
      <c r="BQ48" s="114" t="str">
        <f>_xlfn.IFNA(VLOOKUP($BD48,Programma!$F$3:$S$1101,14,0),"")</f>
        <v/>
      </c>
      <c r="BR48" s="114" t="str">
        <f>_xlfn.IFNA(VLOOKUP($BD48,Programma!$F$3:$T$1101,15,0),"")</f>
        <v/>
      </c>
      <c r="BS48" s="114" t="str">
        <f>_xlfn.IFNA(VLOOKUP($BD48,Programma!$F$3:$U$1101,16,0),"")</f>
        <v/>
      </c>
      <c r="BT48" s="114" t="str">
        <f>_xlfn.IFNA(VLOOKUP($BD48,Programma!$F$3:$V$1101,17,0),"")</f>
        <v/>
      </c>
      <c r="BU48" s="114" t="str">
        <f>_xlfn.IFNA(VLOOKUP($BD48,Programma!$F$3:$W$1101,18,0),"")</f>
        <v/>
      </c>
      <c r="BV48" s="114" t="str">
        <f>_xlfn.IFNA(VLOOKUP($BD48,Programma!$F$3:$X$1101,19,0),"")</f>
        <v/>
      </c>
      <c r="BW48" s="114" t="str">
        <f>_xlfn.IFNA(VLOOKUP($BD48,Programma!$F$3:$Y$1101,20,0),"")</f>
        <v/>
      </c>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row>
    <row r="49" spans="1:220" ht="15" customHeight="1">
      <c r="A49" s="73">
        <v>1</v>
      </c>
      <c r="B49" s="105" t="str">
        <f>VLOOKUP(Ruimtestaat[[#This Row],[Code]],Locaties[[Code]:[Locatie]],2,FALSE)</f>
        <v>IKC Kameleon</v>
      </c>
      <c r="C49" s="105" t="str">
        <f>VLOOKUP(Ruimtestaat[[#This Row],[Code]],Locaties[[#All],[Code]:[Adres]],4,FALSE)</f>
        <v>Mondriaanstraat 15</v>
      </c>
      <c r="D49" s="105" t="str">
        <f>VLOOKUP(Ruimtestaat[[#This Row],[Code]],Locaties[[#All],[Code]:[Postcode]],5,FALSE)</f>
        <v>6921 MJ</v>
      </c>
      <c r="E49" s="105" t="str">
        <f>VLOOKUP(Ruimtestaat[[#This Row],[Code]],Locaties[#All],6,FALSE)</f>
        <v>Duiven</v>
      </c>
      <c r="F49" s="73"/>
      <c r="G49" s="73" t="s">
        <v>1826</v>
      </c>
      <c r="H49" s="272"/>
      <c r="I49" s="273" t="s">
        <v>1991</v>
      </c>
      <c r="J49" s="31">
        <v>4</v>
      </c>
      <c r="K49" s="113" t="str">
        <f>VLOOKUP(Ruimtestaat[[#This Row],[Ruimte code]],Ruimtegroepen[[#All],[Code]:[Ruimte omschrijving]],2,FALSE)</f>
        <v>Vergader/spreekkamers</v>
      </c>
      <c r="L49" s="73" t="s">
        <v>99</v>
      </c>
      <c r="M49" s="273" t="s">
        <v>36</v>
      </c>
      <c r="N49" s="106">
        <v>10</v>
      </c>
      <c r="O49" s="112"/>
      <c r="P49" s="112"/>
      <c r="Q49" s="107" t="str">
        <f>VLOOKUP(Ruimtestaat[[#This Row],[Ruimte code]],Ruimtegroepen[],4,FALSE)</f>
        <v>Bu</v>
      </c>
      <c r="R49" s="73">
        <v>40</v>
      </c>
      <c r="S49" s="73" t="s">
        <v>15</v>
      </c>
      <c r="T49" s="73">
        <f>IF(R49&gt;0,IF(RIGHT(Ruimtestaat[[#This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9" s="73">
        <f>IF(T49&gt;0,VLOOKUP($J49,Ruimtegroepen[],3,FALSE)*VLOOKUP($L49,Vloersoorten[],3,FALSE)*VLOOKUP($S49,Frequenties[],3,FALSE)*VLOOKUP($A49,Locaties[],3,FALSE),0)</f>
        <v>0</v>
      </c>
      <c r="V49" s="73">
        <f>Ruimtestaat[[#This Row],[Uitvoeringen werkdagen]]*Ruimtestaat[[#This Row],[Oppervlak (netto)]]</f>
        <v>400</v>
      </c>
      <c r="W49" s="108">
        <f>IF(U49&gt;0,Ruimtestaat[[#This Row],[Prest. (m2 /jaar) werkdagen]]/Ruimtestaat[[#This Row],[Norm (m2/uur) werkdagen]],0)</f>
        <v>0</v>
      </c>
      <c r="X49" s="109">
        <f>Ruimtestaat[[#This Row],[uren / jaar werkdagen]]*Tariefsopbouw!$E$35</f>
        <v>0</v>
      </c>
      <c r="Y49" s="73"/>
      <c r="Z49" s="73">
        <f>IF(Ruimtestaat[[#This Row],[Frequentie weekend]]&gt;0,VALUE(LEFT(Y49,1))*R49,0)</f>
        <v>0</v>
      </c>
      <c r="AA49" s="72">
        <f>IF($Z49&gt;0,VLOOKUP($J49,Ruimtegroepen[],3,FALSE)*VLOOKUP($L49,Vloersoorten[],3,FALSE)*VLOOKUP($Y49,Frequenties[],3,FALSE)*VLOOKUP(Ruimtestaat[[#This Row],[Code]],Locaties[],3,FALSE),0)</f>
        <v>0</v>
      </c>
      <c r="AB49" s="72">
        <f>Ruimtestaat[[#This Row],[Uitvoeringen weekend]]*Ruimtestaat[[#This Row],[Oppervlak (netto)]]</f>
        <v>0</v>
      </c>
      <c r="AC49" s="72">
        <f>IF(AA49&gt;0,Ruimtestaat[[#This Row],[Prest. (m2 /jaar) weekend]]/Ruimtestaat[[#This Row],[Norm (m2/uur) weekend]],0)</f>
        <v>0</v>
      </c>
      <c r="AD49" s="109">
        <f>Ruimtestaat[[#This Row],[uren / jaar weekend]]*Tariefsopbouw!$D$40</f>
        <v>0</v>
      </c>
      <c r="AE49" s="108">
        <f>Ruimtestaat[[#This Row],[Prest. (m2 /jaar) weekend]]+Ruimtestaat[[#This Row],[Prest. (m2 /jaar) werkdagen]]</f>
        <v>400</v>
      </c>
      <c r="AF49" s="108">
        <f>Ruimtestaat[[#This Row],[uren / jaar weekend]]+Ruimtestaat[[#This Row],[uren / jaar werkdagen]]</f>
        <v>0</v>
      </c>
      <c r="AG49" s="103">
        <f>Ruimtestaat[[#This Row],[kosten / jaar weekend]]+Ruimtestaat[[#This Row],[kosten / jaar werkdagen]]</f>
        <v>0</v>
      </c>
      <c r="AH49" s="103"/>
      <c r="AI49" s="110" t="str">
        <f>IF(Ruimtestaat[[#This Row],[Frequentie werkdagen]]="","",_xlfn.CONCAT(Ruimtestaat[[#This Row],[Ruimte code]],"-",Ruimtestaat[[#This Row],[Frequentie werkdagen]]," ",Ruimtestaat[[#This Row],[Vloer code]]))</f>
        <v>4-1w T</v>
      </c>
      <c r="AJ49" s="114" t="str">
        <f>_xlfn.IFNA(VLOOKUP($AI49,Programma!$F$3:$G$1101,2,0),"")</f>
        <v>_</v>
      </c>
      <c r="AK49" s="114" t="str">
        <f>_xlfn.IFNA(VLOOKUP($AI49,Programma!$F$3:$H$1101,3,0),"")</f>
        <v>1w</v>
      </c>
      <c r="AL49" s="114" t="str">
        <f>_xlfn.IFNA(VLOOKUP($AI49,Programma!$F$3:$I$1101,4,0),"")</f>
        <v>_</v>
      </c>
      <c r="AM49" s="114" t="str">
        <f>_xlfn.IFNA(VLOOKUP($AI49,Programma!$F$3:$J$1101,5,0),"")</f>
        <v>_</v>
      </c>
      <c r="AN49" s="114" t="str">
        <f>_xlfn.IFNA(VLOOKUP($AI49,Programma!$F$3:$K$1101,6,0),"")</f>
        <v>_</v>
      </c>
      <c r="AO49" s="114" t="str">
        <f>_xlfn.IFNA(VLOOKUP($AI49,Programma!$F$3:$L$1101,7,0),"")</f>
        <v>_</v>
      </c>
      <c r="AP49" s="114" t="str">
        <f>_xlfn.IFNA(VLOOKUP($AI49,Programma!$F$3:$M$1101,8,0),"")</f>
        <v>_</v>
      </c>
      <c r="AQ49" s="114" t="str">
        <f>_xlfn.IFNA(VLOOKUP($AI49,Programma!$F$3:$N$1101,9,0),"")</f>
        <v>_</v>
      </c>
      <c r="AR49" s="114" t="str">
        <f>_xlfn.IFNA(VLOOKUP($AI49,Programma!$F$3:$O$1101,10,0),"")</f>
        <v>1w</v>
      </c>
      <c r="AS49" s="114" t="str">
        <f>_xlfn.IFNA(VLOOKUP($AI49,Programma!$F$3:$P$1101,11,0),"")</f>
        <v>1w</v>
      </c>
      <c r="AT49" s="114" t="str">
        <f>_xlfn.IFNA(VLOOKUP($AI49,Programma!$F$3:$Q$1101,12,0),"")</f>
        <v>1w</v>
      </c>
      <c r="AU49" s="114" t="str">
        <f>_xlfn.IFNA(VLOOKUP($AI49,Programma!$F$3:$R$1101,13,0),"")</f>
        <v>1w</v>
      </c>
      <c r="AV49" s="114" t="str">
        <f>_xlfn.IFNA(VLOOKUP($AI49,Programma!$F$3:$S$1101,14,0),"")</f>
        <v>1m</v>
      </c>
      <c r="AW49" s="114" t="str">
        <f>_xlfn.IFNA(VLOOKUP($AI49,Programma!$F$3:$T$1101,15,0),"")</f>
        <v>2j</v>
      </c>
      <c r="AX49" s="114" t="str">
        <f>_xlfn.IFNA(VLOOKUP($AI49,Programma!$F$3:$U$1101,16,0),"")</f>
        <v>1j</v>
      </c>
      <c r="AY49" s="114" t="str">
        <f>_xlfn.IFNA(VLOOKUP($AI49,Programma!$F$3:$V$1101,17,0),"")</f>
        <v>_</v>
      </c>
      <c r="AZ49" s="114" t="str">
        <f>_xlfn.IFNA(VLOOKUP($AI49,Programma!$F$3:$W$1101,18,0),"")</f>
        <v>_</v>
      </c>
      <c r="BA49" s="114" t="str">
        <f>_xlfn.IFNA(VLOOKUP($AI49,Programma!$F$3:$X$1101,19,0),"")</f>
        <v>_</v>
      </c>
      <c r="BB49" s="114" t="str">
        <f>_xlfn.IFNA(VLOOKUP($AI49,Programma!$F$3:$Y$1101,20,0),"")</f>
        <v>_</v>
      </c>
      <c r="BC49" s="111"/>
      <c r="BD49" s="110" t="str">
        <f>IF(Ruimtestaat[[#This Row],[Frequentie weekend]]="","",_xlfn.CONCAT(Ruimtestaat[[#This Row],[Ruimte code]],"-",Ruimtestaat[[#This Row],[Frequentie weekend]]," ",Ruimtestaat[[#This Row],[Vloer code]]))</f>
        <v/>
      </c>
      <c r="BE49" s="114" t="str">
        <f>_xlfn.IFNA(VLOOKUP($BD49,Programma!$F$3:$G$1101,2,0),"")</f>
        <v/>
      </c>
      <c r="BF49" s="114" t="str">
        <f>_xlfn.IFNA(VLOOKUP($BD49,Programma!$F$3:$H$1101,3,0),"")</f>
        <v/>
      </c>
      <c r="BG49" s="114" t="str">
        <f>_xlfn.IFNA(VLOOKUP($BD49,Programma!$F$3:$I$1101,4,0),"")</f>
        <v/>
      </c>
      <c r="BH49" s="114" t="str">
        <f>_xlfn.IFNA(VLOOKUP($BD49,Programma!$F$3:$J$1101,5,0),"")</f>
        <v/>
      </c>
      <c r="BI49" s="114" t="str">
        <f>_xlfn.IFNA(VLOOKUP($BD49,Programma!$F$3:$K$1101,6,0),"")</f>
        <v/>
      </c>
      <c r="BJ49" s="114" t="str">
        <f>_xlfn.IFNA(VLOOKUP($BD49,Programma!$F$3:$L$1101,7,0),"")</f>
        <v/>
      </c>
      <c r="BK49" s="114" t="str">
        <f>_xlfn.IFNA(VLOOKUP($BD49,Programma!$F$3:$M$1101,8,0),"")</f>
        <v/>
      </c>
      <c r="BL49" s="114" t="str">
        <f>_xlfn.IFNA(VLOOKUP($BD49,Programma!$F$3:$N$1101,9,0),"")</f>
        <v/>
      </c>
      <c r="BM49" s="114" t="str">
        <f>_xlfn.IFNA(VLOOKUP($BD49,Programma!$F$3:$O$1101,10,0),"")</f>
        <v/>
      </c>
      <c r="BN49" s="114" t="str">
        <f>_xlfn.IFNA(VLOOKUP($BD49,Programma!$F$3:$P$1101,11,0),"")</f>
        <v/>
      </c>
      <c r="BO49" s="114" t="str">
        <f>_xlfn.IFNA(VLOOKUP($BD49,Programma!$F$3:$Q$1101,12,0),"")</f>
        <v/>
      </c>
      <c r="BP49" s="114" t="str">
        <f>_xlfn.IFNA(VLOOKUP($BD49,Programma!$F$3:$R$1101,13,0),"")</f>
        <v/>
      </c>
      <c r="BQ49" s="114" t="str">
        <f>_xlfn.IFNA(VLOOKUP($BD49,Programma!$F$3:$S$1101,14,0),"")</f>
        <v/>
      </c>
      <c r="BR49" s="114" t="str">
        <f>_xlfn.IFNA(VLOOKUP($BD49,Programma!$F$3:$T$1101,15,0),"")</f>
        <v/>
      </c>
      <c r="BS49" s="114" t="str">
        <f>_xlfn.IFNA(VLOOKUP($BD49,Programma!$F$3:$U$1101,16,0),"")</f>
        <v/>
      </c>
      <c r="BT49" s="114" t="str">
        <f>_xlfn.IFNA(VLOOKUP($BD49,Programma!$F$3:$V$1101,17,0),"")</f>
        <v/>
      </c>
      <c r="BU49" s="114" t="str">
        <f>_xlfn.IFNA(VLOOKUP($BD49,Programma!$F$3:$W$1101,18,0),"")</f>
        <v/>
      </c>
      <c r="BV49" s="114" t="str">
        <f>_xlfn.IFNA(VLOOKUP($BD49,Programma!$F$3:$X$1101,19,0),"")</f>
        <v/>
      </c>
      <c r="BW49" s="114" t="str">
        <f>_xlfn.IFNA(VLOOKUP($BD49,Programma!$F$3:$Y$1101,20,0),"")</f>
        <v/>
      </c>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row>
    <row r="50" spans="1:220" ht="14.25" customHeight="1">
      <c r="A50" s="73">
        <v>1</v>
      </c>
      <c r="B50" s="105" t="str">
        <f>VLOOKUP(Ruimtestaat[[#This Row],[Code]],Locaties[[Code]:[Locatie]],2,FALSE)</f>
        <v>IKC Kameleon</v>
      </c>
      <c r="C50" s="105" t="str">
        <f>VLOOKUP(Ruimtestaat[[#This Row],[Code]],Locaties[[#All],[Code]:[Adres]],4,FALSE)</f>
        <v>Mondriaanstraat 15</v>
      </c>
      <c r="D50" s="105" t="str">
        <f>VLOOKUP(Ruimtestaat[[#This Row],[Code]],Locaties[[#All],[Code]:[Postcode]],5,FALSE)</f>
        <v>6921 MJ</v>
      </c>
      <c r="E50" s="105" t="str">
        <f>VLOOKUP(Ruimtestaat[[#This Row],[Code]],Locaties[#All],6,FALSE)</f>
        <v>Duiven</v>
      </c>
      <c r="F50" s="73"/>
      <c r="G50" s="73" t="s">
        <v>1826</v>
      </c>
      <c r="H50" s="272"/>
      <c r="I50" s="273" t="s">
        <v>1736</v>
      </c>
      <c r="J50" s="31">
        <v>16</v>
      </c>
      <c r="K50" s="113" t="str">
        <f>VLOOKUP(Ruimtestaat[[#This Row],[Ruimte code]],Ruimtegroepen[[#All],[Code]:[Ruimte omschrijving]],2,FALSE)</f>
        <v>Leslokalen</v>
      </c>
      <c r="L50" s="73" t="s">
        <v>99</v>
      </c>
      <c r="M50" s="273" t="s">
        <v>36</v>
      </c>
      <c r="N50" s="106">
        <v>56.25</v>
      </c>
      <c r="O50" s="112"/>
      <c r="P50" s="112"/>
      <c r="Q50" s="107" t="str">
        <f>VLOOKUP(Ruimtestaat[[#This Row],[Ruimte code]],Ruimtegroepen[],4,FALSE)</f>
        <v>Le</v>
      </c>
      <c r="R50" s="73">
        <v>40</v>
      </c>
      <c r="S50" s="73" t="s">
        <v>2</v>
      </c>
      <c r="T50" s="73">
        <f>IF(R50&gt;0,IF(RIGHT(Ruimtestaat[[#This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 s="73">
        <f>IF(T50&gt;0,VLOOKUP($J50,Ruimtegroepen[],3,FALSE)*VLOOKUP($L50,Vloersoorten[],3,FALSE)*VLOOKUP($S50,Frequenties[],3,FALSE)*VLOOKUP($A50,Locaties[],3,FALSE),0)</f>
        <v>0</v>
      </c>
      <c r="V50" s="73">
        <f>Ruimtestaat[[#This Row],[Uitvoeringen werkdagen]]*Ruimtestaat[[#This Row],[Oppervlak (netto)]]</f>
        <v>11250</v>
      </c>
      <c r="W50" s="108">
        <f>IF(U50&gt;0,Ruimtestaat[[#This Row],[Prest. (m2 /jaar) werkdagen]]/Ruimtestaat[[#This Row],[Norm (m2/uur) werkdagen]],0)</f>
        <v>0</v>
      </c>
      <c r="X50" s="109">
        <f>Ruimtestaat[[#This Row],[uren / jaar werkdagen]]*Tariefsopbouw!$E$35</f>
        <v>0</v>
      </c>
      <c r="Y50" s="73"/>
      <c r="Z50" s="73">
        <f>IF(Ruimtestaat[[#This Row],[Frequentie weekend]]&gt;0,VALUE(LEFT(Y50,1))*R50,0)</f>
        <v>0</v>
      </c>
      <c r="AA50" s="72">
        <f>IF($Z50&gt;0,VLOOKUP($J50,Ruimtegroepen[],3,FALSE)*VLOOKUP($L50,Vloersoorten[],3,FALSE)*VLOOKUP($Y50,Frequenties[],3,FALSE)*VLOOKUP(Ruimtestaat[[#This Row],[Code]],Locaties[],3,FALSE),0)</f>
        <v>0</v>
      </c>
      <c r="AB50" s="72">
        <f>Ruimtestaat[[#This Row],[Uitvoeringen weekend]]*Ruimtestaat[[#This Row],[Oppervlak (netto)]]</f>
        <v>0</v>
      </c>
      <c r="AC50" s="72">
        <f>IF(AA50&gt;0,Ruimtestaat[[#This Row],[Prest. (m2 /jaar) weekend]]/Ruimtestaat[[#This Row],[Norm (m2/uur) weekend]],0)</f>
        <v>0</v>
      </c>
      <c r="AD50" s="109">
        <f>Ruimtestaat[[#This Row],[uren / jaar weekend]]*Tariefsopbouw!$D$40</f>
        <v>0</v>
      </c>
      <c r="AE50" s="108">
        <f>Ruimtestaat[[#This Row],[Prest. (m2 /jaar) weekend]]+Ruimtestaat[[#This Row],[Prest. (m2 /jaar) werkdagen]]</f>
        <v>11250</v>
      </c>
      <c r="AF50" s="108">
        <f>Ruimtestaat[[#This Row],[uren / jaar weekend]]+Ruimtestaat[[#This Row],[uren / jaar werkdagen]]</f>
        <v>0</v>
      </c>
      <c r="AG50" s="103">
        <f>Ruimtestaat[[#This Row],[kosten / jaar weekend]]+Ruimtestaat[[#This Row],[kosten / jaar werkdagen]]</f>
        <v>0</v>
      </c>
      <c r="AH50" s="103"/>
      <c r="AI50" s="110" t="str">
        <f>IF(Ruimtestaat[[#This Row],[Frequentie werkdagen]]="","",_xlfn.CONCAT(Ruimtestaat[[#This Row],[Ruimte code]],"-",Ruimtestaat[[#This Row],[Frequentie werkdagen]]," ",Ruimtestaat[[#This Row],[Vloer code]]))</f>
        <v>16-5w T</v>
      </c>
      <c r="AJ50" s="114" t="str">
        <f>_xlfn.IFNA(VLOOKUP($AI50,Programma!$F$3:$G$1101,2,0),"")</f>
        <v>3w</v>
      </c>
      <c r="AK50" s="114" t="str">
        <f>_xlfn.IFNA(VLOOKUP($AI50,Programma!$F$3:$H$1101,3,0),"")</f>
        <v>2w</v>
      </c>
      <c r="AL50" s="114" t="str">
        <f>_xlfn.IFNA(VLOOKUP($AI50,Programma!$F$3:$I$1101,4,0),"")</f>
        <v>_</v>
      </c>
      <c r="AM50" s="114" t="str">
        <f>_xlfn.IFNA(VLOOKUP($AI50,Programma!$F$3:$J$1101,5,0),"")</f>
        <v>_</v>
      </c>
      <c r="AN50" s="114" t="str">
        <f>_xlfn.IFNA(VLOOKUP($AI50,Programma!$F$3:$K$1101,6,0),"")</f>
        <v>_</v>
      </c>
      <c r="AO50" s="114" t="str">
        <f>_xlfn.IFNA(VLOOKUP($AI50,Programma!$F$3:$L$1101,7,0),"")</f>
        <v>_</v>
      </c>
      <c r="AP50" s="114" t="str">
        <f>_xlfn.IFNA(VLOOKUP($AI50,Programma!$F$3:$M$1101,8,0),"")</f>
        <v>_</v>
      </c>
      <c r="AQ50" s="114" t="str">
        <f>_xlfn.IFNA(VLOOKUP($AI50,Programma!$F$3:$N$1101,9,0),"")</f>
        <v>_</v>
      </c>
      <c r="AR50" s="114" t="str">
        <f>_xlfn.IFNA(VLOOKUP($AI50,Programma!$F$3:$O$1101,10,0),"")</f>
        <v>5w</v>
      </c>
      <c r="AS50" s="114" t="str">
        <f>_xlfn.IFNA(VLOOKUP($AI50,Programma!$F$3:$P$1101,11,0),"")</f>
        <v>5w</v>
      </c>
      <c r="AT50" s="114" t="str">
        <f>_xlfn.IFNA(VLOOKUP($AI50,Programma!$F$3:$Q$1101,12,0),"")</f>
        <v>1w</v>
      </c>
      <c r="AU50" s="114" t="str">
        <f>_xlfn.IFNA(VLOOKUP($AI50,Programma!$F$3:$R$1101,13,0),"")</f>
        <v>1w</v>
      </c>
      <c r="AV50" s="114" t="str">
        <f>_xlfn.IFNA(VLOOKUP($AI50,Programma!$F$3:$S$1101,14,0),"")</f>
        <v>1m</v>
      </c>
      <c r="AW50" s="114" t="str">
        <f>_xlfn.IFNA(VLOOKUP($AI50,Programma!$F$3:$T$1101,15,0),"")</f>
        <v>2j</v>
      </c>
      <c r="AX50" s="114" t="str">
        <f>_xlfn.IFNA(VLOOKUP($AI50,Programma!$F$3:$U$1101,16,0),"")</f>
        <v>1j</v>
      </c>
      <c r="AY50" s="114" t="str">
        <f>_xlfn.IFNA(VLOOKUP($AI50,Programma!$F$3:$V$1101,17,0),"")</f>
        <v>_</v>
      </c>
      <c r="AZ50" s="114" t="str">
        <f>_xlfn.IFNA(VLOOKUP($AI50,Programma!$F$3:$W$1101,18,0),"")</f>
        <v>_</v>
      </c>
      <c r="BA50" s="114" t="str">
        <f>_xlfn.IFNA(VLOOKUP($AI50,Programma!$F$3:$X$1101,19,0),"")</f>
        <v>_</v>
      </c>
      <c r="BB50" s="114" t="str">
        <f>_xlfn.IFNA(VLOOKUP($AI50,Programma!$F$3:$Y$1101,20,0),"")</f>
        <v>_</v>
      </c>
      <c r="BC50" s="111"/>
      <c r="BD50" s="110" t="str">
        <f>IF(Ruimtestaat[[#This Row],[Frequentie weekend]]="","",_xlfn.CONCAT(Ruimtestaat[[#This Row],[Ruimte code]],"-",Ruimtestaat[[#This Row],[Frequentie weekend]]," ",Ruimtestaat[[#This Row],[Vloer code]]))</f>
        <v/>
      </c>
      <c r="BE50" s="114" t="str">
        <f>_xlfn.IFNA(VLOOKUP($BD50,Programma!$F$3:$G$1101,2,0),"")</f>
        <v/>
      </c>
      <c r="BF50" s="114" t="str">
        <f>_xlfn.IFNA(VLOOKUP($BD50,Programma!$F$3:$H$1101,3,0),"")</f>
        <v/>
      </c>
      <c r="BG50" s="114" t="str">
        <f>_xlfn.IFNA(VLOOKUP($BD50,Programma!$F$3:$I$1101,4,0),"")</f>
        <v/>
      </c>
      <c r="BH50" s="114" t="str">
        <f>_xlfn.IFNA(VLOOKUP($BD50,Programma!$F$3:$J$1101,5,0),"")</f>
        <v/>
      </c>
      <c r="BI50" s="114" t="str">
        <f>_xlfn.IFNA(VLOOKUP($BD50,Programma!$F$3:$K$1101,6,0),"")</f>
        <v/>
      </c>
      <c r="BJ50" s="114" t="str">
        <f>_xlfn.IFNA(VLOOKUP($BD50,Programma!$F$3:$L$1101,7,0),"")</f>
        <v/>
      </c>
      <c r="BK50" s="114" t="str">
        <f>_xlfn.IFNA(VLOOKUP($BD50,Programma!$F$3:$M$1101,8,0),"")</f>
        <v/>
      </c>
      <c r="BL50" s="114" t="str">
        <f>_xlfn.IFNA(VLOOKUP($BD50,Programma!$F$3:$N$1101,9,0),"")</f>
        <v/>
      </c>
      <c r="BM50" s="114" t="str">
        <f>_xlfn.IFNA(VLOOKUP($BD50,Programma!$F$3:$O$1101,10,0),"")</f>
        <v/>
      </c>
      <c r="BN50" s="114" t="str">
        <f>_xlfn.IFNA(VLOOKUP($BD50,Programma!$F$3:$P$1101,11,0),"")</f>
        <v/>
      </c>
      <c r="BO50" s="114" t="str">
        <f>_xlfn.IFNA(VLOOKUP($BD50,Programma!$F$3:$Q$1101,12,0),"")</f>
        <v/>
      </c>
      <c r="BP50" s="114" t="str">
        <f>_xlfn.IFNA(VLOOKUP($BD50,Programma!$F$3:$R$1101,13,0),"")</f>
        <v/>
      </c>
      <c r="BQ50" s="114" t="str">
        <f>_xlfn.IFNA(VLOOKUP($BD50,Programma!$F$3:$S$1101,14,0),"")</f>
        <v/>
      </c>
      <c r="BR50" s="114" t="str">
        <f>_xlfn.IFNA(VLOOKUP($BD50,Programma!$F$3:$T$1101,15,0),"")</f>
        <v/>
      </c>
      <c r="BS50" s="114" t="str">
        <f>_xlfn.IFNA(VLOOKUP($BD50,Programma!$F$3:$U$1101,16,0),"")</f>
        <v/>
      </c>
      <c r="BT50" s="114" t="str">
        <f>_xlfn.IFNA(VLOOKUP($BD50,Programma!$F$3:$V$1101,17,0),"")</f>
        <v/>
      </c>
      <c r="BU50" s="114" t="str">
        <f>_xlfn.IFNA(VLOOKUP($BD50,Programma!$F$3:$W$1101,18,0),"")</f>
        <v/>
      </c>
      <c r="BV50" s="114" t="str">
        <f>_xlfn.IFNA(VLOOKUP($BD50,Programma!$F$3:$X$1101,19,0),"")</f>
        <v/>
      </c>
      <c r="BW50" s="114" t="str">
        <f>_xlfn.IFNA(VLOOKUP($BD50,Programma!$F$3:$Y$1101,20,0),"")</f>
        <v/>
      </c>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row>
    <row r="51" spans="1:220" ht="15" customHeight="1">
      <c r="A51" s="73">
        <v>1</v>
      </c>
      <c r="B51" s="105" t="str">
        <f>VLOOKUP(Ruimtestaat[[#This Row],[Code]],Locaties[[Code]:[Locatie]],2,FALSE)</f>
        <v>IKC Kameleon</v>
      </c>
      <c r="C51" s="105" t="str">
        <f>VLOOKUP(Ruimtestaat[[#This Row],[Code]],Locaties[[#All],[Code]:[Adres]],4,FALSE)</f>
        <v>Mondriaanstraat 15</v>
      </c>
      <c r="D51" s="105" t="str">
        <f>VLOOKUP(Ruimtestaat[[#This Row],[Code]],Locaties[[#All],[Code]:[Postcode]],5,FALSE)</f>
        <v>6921 MJ</v>
      </c>
      <c r="E51" s="105" t="str">
        <f>VLOOKUP(Ruimtestaat[[#This Row],[Code]],Locaties[#All],6,FALSE)</f>
        <v>Duiven</v>
      </c>
      <c r="F51" s="73"/>
      <c r="G51" s="73" t="s">
        <v>1826</v>
      </c>
      <c r="H51" s="272"/>
      <c r="I51" s="273" t="s">
        <v>1992</v>
      </c>
      <c r="J51" s="31">
        <v>9</v>
      </c>
      <c r="K51" s="113" t="str">
        <f>VLOOKUP(Ruimtestaat[[#This Row],[Ruimte code]],Ruimtegroepen[[#All],[Code]:[Ruimte omschrijving]],2,FALSE)</f>
        <v>Bibliotheek/OLC</v>
      </c>
      <c r="L51" s="73" t="s">
        <v>99</v>
      </c>
      <c r="M51" s="273" t="s">
        <v>36</v>
      </c>
      <c r="N51" s="106">
        <v>20</v>
      </c>
      <c r="O51" s="73"/>
      <c r="P51" s="73"/>
      <c r="Q51" s="107" t="str">
        <f>VLOOKUP(Ruimtestaat[[#This Row],[Ruimte code]],Ruimtegroepen[],4,FALSE)</f>
        <v>Le</v>
      </c>
      <c r="R51" s="73">
        <v>40</v>
      </c>
      <c r="S51" s="73" t="s">
        <v>2</v>
      </c>
      <c r="T51" s="73">
        <f>IF(R51&gt;0,IF(RIGHT(Ruimtestaat[[#This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 s="73">
        <f>IF(T51&gt;0,VLOOKUP($J51,Ruimtegroepen[],3,FALSE)*VLOOKUP($L51,Vloersoorten[],3,FALSE)*VLOOKUP($S51,Frequenties[],3,FALSE)*VLOOKUP($A51,Locaties[],3,FALSE),0)</f>
        <v>0</v>
      </c>
      <c r="V51" s="73">
        <f>Ruimtestaat[[#This Row],[Uitvoeringen werkdagen]]*Ruimtestaat[[#This Row],[Oppervlak (netto)]]</f>
        <v>4000</v>
      </c>
      <c r="W51" s="108">
        <f>IF(U51&gt;0,Ruimtestaat[[#This Row],[Prest. (m2 /jaar) werkdagen]]/Ruimtestaat[[#This Row],[Norm (m2/uur) werkdagen]],0)</f>
        <v>0</v>
      </c>
      <c r="X51" s="109">
        <f>Ruimtestaat[[#This Row],[uren / jaar werkdagen]]*Tariefsopbouw!$E$35</f>
        <v>0</v>
      </c>
      <c r="Y51" s="73"/>
      <c r="Z51" s="73">
        <f>IF(Ruimtestaat[[#This Row],[Frequentie weekend]]&gt;0,VALUE(LEFT(Y51,1))*R51,0)</f>
        <v>0</v>
      </c>
      <c r="AA51" s="72">
        <f>IF($Z51&gt;0,VLOOKUP($J51,Ruimtegroepen[],3,FALSE)*VLOOKUP($L51,Vloersoorten[],3,FALSE)*VLOOKUP($Y51,Frequenties[],3,FALSE)*VLOOKUP(Ruimtestaat[[#This Row],[Code]],Locaties[],3,FALSE),0)</f>
        <v>0</v>
      </c>
      <c r="AB51" s="72">
        <f>Ruimtestaat[[#This Row],[Uitvoeringen weekend]]*Ruimtestaat[[#This Row],[Oppervlak (netto)]]</f>
        <v>0</v>
      </c>
      <c r="AC51" s="72">
        <f>IF(AA51&gt;0,Ruimtestaat[[#This Row],[Prest. (m2 /jaar) weekend]]/Ruimtestaat[[#This Row],[Norm (m2/uur) weekend]],0)</f>
        <v>0</v>
      </c>
      <c r="AD51" s="109">
        <f>Ruimtestaat[[#This Row],[uren / jaar weekend]]*Tariefsopbouw!$D$40</f>
        <v>0</v>
      </c>
      <c r="AE51" s="108">
        <f>Ruimtestaat[[#This Row],[Prest. (m2 /jaar) weekend]]+Ruimtestaat[[#This Row],[Prest. (m2 /jaar) werkdagen]]</f>
        <v>4000</v>
      </c>
      <c r="AF51" s="108">
        <f>Ruimtestaat[[#This Row],[uren / jaar weekend]]+Ruimtestaat[[#This Row],[uren / jaar werkdagen]]</f>
        <v>0</v>
      </c>
      <c r="AG51" s="103">
        <f>Ruimtestaat[[#This Row],[kosten / jaar weekend]]+Ruimtestaat[[#This Row],[kosten / jaar werkdagen]]</f>
        <v>0</v>
      </c>
      <c r="AH51" s="103"/>
      <c r="AI51" s="110" t="str">
        <f>IF(Ruimtestaat[[#This Row],[Frequentie werkdagen]]="","",_xlfn.CONCAT(Ruimtestaat[[#This Row],[Ruimte code]],"-",Ruimtestaat[[#This Row],[Frequentie werkdagen]]," ",Ruimtestaat[[#This Row],[Vloer code]]))</f>
        <v>9-5w T</v>
      </c>
      <c r="AJ51" s="114" t="str">
        <f>_xlfn.IFNA(VLOOKUP($AI51,Programma!$F$3:$G$1101,2,0),"")</f>
        <v>_</v>
      </c>
      <c r="AK51" s="114" t="str">
        <f>_xlfn.IFNA(VLOOKUP($AI51,Programma!$F$3:$H$1101,3,0),"")</f>
        <v>5w</v>
      </c>
      <c r="AL51" s="114" t="str">
        <f>_xlfn.IFNA(VLOOKUP($AI51,Programma!$F$3:$I$1101,4,0),"")</f>
        <v>_</v>
      </c>
      <c r="AM51" s="114" t="str">
        <f>_xlfn.IFNA(VLOOKUP($AI51,Programma!$F$3:$J$1101,5,0),"")</f>
        <v>_</v>
      </c>
      <c r="AN51" s="114" t="str">
        <f>_xlfn.IFNA(VLOOKUP($AI51,Programma!$F$3:$K$1101,6,0),"")</f>
        <v>_</v>
      </c>
      <c r="AO51" s="114" t="str">
        <f>_xlfn.IFNA(VLOOKUP($AI51,Programma!$F$3:$L$1101,7,0),"")</f>
        <v>_</v>
      </c>
      <c r="AP51" s="114" t="str">
        <f>_xlfn.IFNA(VLOOKUP($AI51,Programma!$F$3:$M$1101,8,0),"")</f>
        <v>_</v>
      </c>
      <c r="AQ51" s="114" t="str">
        <f>_xlfn.IFNA(VLOOKUP($AI51,Programma!$F$3:$N$1101,9,0),"")</f>
        <v>_</v>
      </c>
      <c r="AR51" s="114" t="str">
        <f>_xlfn.IFNA(VLOOKUP($AI51,Programma!$F$3:$O$1101,10,0),"")</f>
        <v>5w</v>
      </c>
      <c r="AS51" s="114" t="str">
        <f>_xlfn.IFNA(VLOOKUP($AI51,Programma!$F$3:$P$1101,11,0),"")</f>
        <v>5w</v>
      </c>
      <c r="AT51" s="114" t="str">
        <f>_xlfn.IFNA(VLOOKUP($AI51,Programma!$F$3:$Q$1101,12,0),"")</f>
        <v>1w</v>
      </c>
      <c r="AU51" s="114" t="str">
        <f>_xlfn.IFNA(VLOOKUP($AI51,Programma!$F$3:$R$1101,13,0),"")</f>
        <v>1w</v>
      </c>
      <c r="AV51" s="114" t="str">
        <f>_xlfn.IFNA(VLOOKUP($AI51,Programma!$F$3:$S$1101,14,0),"")</f>
        <v>1m</v>
      </c>
      <c r="AW51" s="114" t="str">
        <f>_xlfn.IFNA(VLOOKUP($AI51,Programma!$F$3:$T$1101,15,0),"")</f>
        <v>2j</v>
      </c>
      <c r="AX51" s="114" t="str">
        <f>_xlfn.IFNA(VLOOKUP($AI51,Programma!$F$3:$U$1101,16,0),"")</f>
        <v>1j</v>
      </c>
      <c r="AY51" s="114" t="str">
        <f>_xlfn.IFNA(VLOOKUP($AI51,Programma!$F$3:$V$1101,17,0),"")</f>
        <v>_</v>
      </c>
      <c r="AZ51" s="114" t="str">
        <f>_xlfn.IFNA(VLOOKUP($AI51,Programma!$F$3:$W$1101,18,0),"")</f>
        <v>_</v>
      </c>
      <c r="BA51" s="114" t="str">
        <f>_xlfn.IFNA(VLOOKUP($AI51,Programma!$F$3:$X$1101,19,0),"")</f>
        <v>_</v>
      </c>
      <c r="BB51" s="114" t="str">
        <f>_xlfn.IFNA(VLOOKUP($AI51,Programma!$F$3:$Y$1101,20,0),"")</f>
        <v>_</v>
      </c>
      <c r="BC51" s="111"/>
      <c r="BD51" s="110" t="str">
        <f>IF(Ruimtestaat[[#This Row],[Frequentie weekend]]="","",_xlfn.CONCAT(Ruimtestaat[[#This Row],[Ruimte code]],"-",Ruimtestaat[[#This Row],[Frequentie weekend]]," ",Ruimtestaat[[#This Row],[Vloer code]]))</f>
        <v/>
      </c>
      <c r="BE51" s="114" t="str">
        <f>_xlfn.IFNA(VLOOKUP($BD51,Programma!$F$3:$G$1101,2,0),"")</f>
        <v/>
      </c>
      <c r="BF51" s="114" t="str">
        <f>_xlfn.IFNA(VLOOKUP($BD51,Programma!$F$3:$H$1101,3,0),"")</f>
        <v/>
      </c>
      <c r="BG51" s="114" t="str">
        <f>_xlfn.IFNA(VLOOKUP($BD51,Programma!$F$3:$I$1101,4,0),"")</f>
        <v/>
      </c>
      <c r="BH51" s="114" t="str">
        <f>_xlfn.IFNA(VLOOKUP($BD51,Programma!$F$3:$J$1101,5,0),"")</f>
        <v/>
      </c>
      <c r="BI51" s="114" t="str">
        <f>_xlfn.IFNA(VLOOKUP($BD51,Programma!$F$3:$K$1101,6,0),"")</f>
        <v/>
      </c>
      <c r="BJ51" s="114" t="str">
        <f>_xlfn.IFNA(VLOOKUP($BD51,Programma!$F$3:$L$1101,7,0),"")</f>
        <v/>
      </c>
      <c r="BK51" s="114" t="str">
        <f>_xlfn.IFNA(VLOOKUP($BD51,Programma!$F$3:$M$1101,8,0),"")</f>
        <v/>
      </c>
      <c r="BL51" s="114" t="str">
        <f>_xlfn.IFNA(VLOOKUP($BD51,Programma!$F$3:$N$1101,9,0),"")</f>
        <v/>
      </c>
      <c r="BM51" s="114" t="str">
        <f>_xlfn.IFNA(VLOOKUP($BD51,Programma!$F$3:$O$1101,10,0),"")</f>
        <v/>
      </c>
      <c r="BN51" s="114" t="str">
        <f>_xlfn.IFNA(VLOOKUP($BD51,Programma!$F$3:$P$1101,11,0),"")</f>
        <v/>
      </c>
      <c r="BO51" s="114" t="str">
        <f>_xlfn.IFNA(VLOOKUP($BD51,Programma!$F$3:$Q$1101,12,0),"")</f>
        <v/>
      </c>
      <c r="BP51" s="114" t="str">
        <f>_xlfn.IFNA(VLOOKUP($BD51,Programma!$F$3:$R$1101,13,0),"")</f>
        <v/>
      </c>
      <c r="BQ51" s="114" t="str">
        <f>_xlfn.IFNA(VLOOKUP($BD51,Programma!$F$3:$S$1101,14,0),"")</f>
        <v/>
      </c>
      <c r="BR51" s="114" t="str">
        <f>_xlfn.IFNA(VLOOKUP($BD51,Programma!$F$3:$T$1101,15,0),"")</f>
        <v/>
      </c>
      <c r="BS51" s="114" t="str">
        <f>_xlfn.IFNA(VLOOKUP($BD51,Programma!$F$3:$U$1101,16,0),"")</f>
        <v/>
      </c>
      <c r="BT51" s="114" t="str">
        <f>_xlfn.IFNA(VLOOKUP($BD51,Programma!$F$3:$V$1101,17,0),"")</f>
        <v/>
      </c>
      <c r="BU51" s="114" t="str">
        <f>_xlfn.IFNA(VLOOKUP($BD51,Programma!$F$3:$W$1101,18,0),"")</f>
        <v/>
      </c>
      <c r="BV51" s="114" t="str">
        <f>_xlfn.IFNA(VLOOKUP($BD51,Programma!$F$3:$X$1101,19,0),"")</f>
        <v/>
      </c>
      <c r="BW51" s="114" t="str">
        <f>_xlfn.IFNA(VLOOKUP($BD51,Programma!$F$3:$Y$1101,20,0),"")</f>
        <v/>
      </c>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row>
    <row r="52" spans="1:220" ht="15" customHeight="1">
      <c r="A52" s="73">
        <v>1</v>
      </c>
      <c r="B52" s="105" t="str">
        <f>VLOOKUP(Ruimtestaat[[#This Row],[Code]],Locaties[[Code]:[Locatie]],2,FALSE)</f>
        <v>IKC Kameleon</v>
      </c>
      <c r="C52" s="105" t="str">
        <f>VLOOKUP(Ruimtestaat[[#This Row],[Code]],Locaties[[#All],[Code]:[Adres]],4,FALSE)</f>
        <v>Mondriaanstraat 15</v>
      </c>
      <c r="D52" s="105" t="str">
        <f>VLOOKUP(Ruimtestaat[[#This Row],[Code]],Locaties[[#All],[Code]:[Postcode]],5,FALSE)</f>
        <v>6921 MJ</v>
      </c>
      <c r="E52" s="105" t="str">
        <f>VLOOKUP(Ruimtestaat[[#This Row],[Code]],Locaties[#All],6,FALSE)</f>
        <v>Duiven</v>
      </c>
      <c r="F52" s="73"/>
      <c r="G52" s="73" t="s">
        <v>1826</v>
      </c>
      <c r="H52" s="272"/>
      <c r="I52" s="273" t="s">
        <v>1735</v>
      </c>
      <c r="J52" s="31">
        <v>16</v>
      </c>
      <c r="K52" s="113" t="str">
        <f>VLOOKUP(Ruimtestaat[[#This Row],[Ruimte code]],Ruimtegroepen[[#All],[Code]:[Ruimte omschrijving]],2,FALSE)</f>
        <v>Leslokalen</v>
      </c>
      <c r="L52" s="73" t="s">
        <v>99</v>
      </c>
      <c r="M52" s="273" t="s">
        <v>36</v>
      </c>
      <c r="N52" s="106">
        <v>56.25</v>
      </c>
      <c r="O52" s="112"/>
      <c r="P52" s="112"/>
      <c r="Q52" s="107" t="str">
        <f>VLOOKUP(Ruimtestaat[[#This Row],[Ruimte code]],Ruimtegroepen[],4,FALSE)</f>
        <v>Le</v>
      </c>
      <c r="R52" s="73">
        <v>40</v>
      </c>
      <c r="S52" s="73" t="s">
        <v>2</v>
      </c>
      <c r="T52" s="73">
        <f>IF(R52&gt;0,IF(RIGHT(Ruimtestaat[[#This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 s="73">
        <f>IF(T52&gt;0,VLOOKUP($J52,Ruimtegroepen[],3,FALSE)*VLOOKUP($L52,Vloersoorten[],3,FALSE)*VLOOKUP($S52,Frequenties[],3,FALSE)*VLOOKUP($A52,Locaties[],3,FALSE),0)</f>
        <v>0</v>
      </c>
      <c r="V52" s="73">
        <f>Ruimtestaat[[#This Row],[Uitvoeringen werkdagen]]*Ruimtestaat[[#This Row],[Oppervlak (netto)]]</f>
        <v>11250</v>
      </c>
      <c r="W52" s="108">
        <f>IF(U52&gt;0,Ruimtestaat[[#This Row],[Prest. (m2 /jaar) werkdagen]]/Ruimtestaat[[#This Row],[Norm (m2/uur) werkdagen]],0)</f>
        <v>0</v>
      </c>
      <c r="X52" s="109">
        <f>Ruimtestaat[[#This Row],[uren / jaar werkdagen]]*Tariefsopbouw!$E$35</f>
        <v>0</v>
      </c>
      <c r="Y52" s="73"/>
      <c r="Z52" s="73">
        <f>IF(Ruimtestaat[[#This Row],[Frequentie weekend]]&gt;0,VALUE(LEFT(Y52,1))*R52,0)</f>
        <v>0</v>
      </c>
      <c r="AA52" s="72">
        <f>IF($Z52&gt;0,VLOOKUP($J52,Ruimtegroepen[],3,FALSE)*VLOOKUP($L52,Vloersoorten[],3,FALSE)*VLOOKUP($Y52,Frequenties[],3,FALSE)*VLOOKUP(Ruimtestaat[[#This Row],[Code]],Locaties[],3,FALSE),0)</f>
        <v>0</v>
      </c>
      <c r="AB52" s="72">
        <f>Ruimtestaat[[#This Row],[Uitvoeringen weekend]]*Ruimtestaat[[#This Row],[Oppervlak (netto)]]</f>
        <v>0</v>
      </c>
      <c r="AC52" s="72">
        <f>IF(AA52&gt;0,Ruimtestaat[[#This Row],[Prest. (m2 /jaar) weekend]]/Ruimtestaat[[#This Row],[Norm (m2/uur) weekend]],0)</f>
        <v>0</v>
      </c>
      <c r="AD52" s="109">
        <f>Ruimtestaat[[#This Row],[uren / jaar weekend]]*Tariefsopbouw!$D$40</f>
        <v>0</v>
      </c>
      <c r="AE52" s="108">
        <f>Ruimtestaat[[#This Row],[Prest. (m2 /jaar) weekend]]+Ruimtestaat[[#This Row],[Prest. (m2 /jaar) werkdagen]]</f>
        <v>11250</v>
      </c>
      <c r="AF52" s="108">
        <f>Ruimtestaat[[#This Row],[uren / jaar weekend]]+Ruimtestaat[[#This Row],[uren / jaar werkdagen]]</f>
        <v>0</v>
      </c>
      <c r="AG52" s="103">
        <f>Ruimtestaat[[#This Row],[kosten / jaar weekend]]+Ruimtestaat[[#This Row],[kosten / jaar werkdagen]]</f>
        <v>0</v>
      </c>
      <c r="AH52" s="103"/>
      <c r="AI52" s="110" t="str">
        <f>IF(Ruimtestaat[[#This Row],[Frequentie werkdagen]]="","",_xlfn.CONCAT(Ruimtestaat[[#This Row],[Ruimte code]],"-",Ruimtestaat[[#This Row],[Frequentie werkdagen]]," ",Ruimtestaat[[#This Row],[Vloer code]]))</f>
        <v>16-5w T</v>
      </c>
      <c r="AJ52" s="114" t="str">
        <f>_xlfn.IFNA(VLOOKUP($AI52,Programma!$F$3:$G$1101,2,0),"")</f>
        <v>3w</v>
      </c>
      <c r="AK52" s="114" t="str">
        <f>_xlfn.IFNA(VLOOKUP($AI52,Programma!$F$3:$H$1101,3,0),"")</f>
        <v>2w</v>
      </c>
      <c r="AL52" s="114" t="str">
        <f>_xlfn.IFNA(VLOOKUP($AI52,Programma!$F$3:$I$1101,4,0),"")</f>
        <v>_</v>
      </c>
      <c r="AM52" s="114" t="str">
        <f>_xlfn.IFNA(VLOOKUP($AI52,Programma!$F$3:$J$1101,5,0),"")</f>
        <v>_</v>
      </c>
      <c r="AN52" s="114" t="str">
        <f>_xlfn.IFNA(VLOOKUP($AI52,Programma!$F$3:$K$1101,6,0),"")</f>
        <v>_</v>
      </c>
      <c r="AO52" s="114" t="str">
        <f>_xlfn.IFNA(VLOOKUP($AI52,Programma!$F$3:$L$1101,7,0),"")</f>
        <v>_</v>
      </c>
      <c r="AP52" s="114" t="str">
        <f>_xlfn.IFNA(VLOOKUP($AI52,Programma!$F$3:$M$1101,8,0),"")</f>
        <v>_</v>
      </c>
      <c r="AQ52" s="114" t="str">
        <f>_xlfn.IFNA(VLOOKUP($AI52,Programma!$F$3:$N$1101,9,0),"")</f>
        <v>_</v>
      </c>
      <c r="AR52" s="114" t="str">
        <f>_xlfn.IFNA(VLOOKUP($AI52,Programma!$F$3:$O$1101,10,0),"")</f>
        <v>5w</v>
      </c>
      <c r="AS52" s="114" t="str">
        <f>_xlfn.IFNA(VLOOKUP($AI52,Programma!$F$3:$P$1101,11,0),"")</f>
        <v>5w</v>
      </c>
      <c r="AT52" s="114" t="str">
        <f>_xlfn.IFNA(VLOOKUP($AI52,Programma!$F$3:$Q$1101,12,0),"")</f>
        <v>1w</v>
      </c>
      <c r="AU52" s="114" t="str">
        <f>_xlfn.IFNA(VLOOKUP($AI52,Programma!$F$3:$R$1101,13,0),"")</f>
        <v>1w</v>
      </c>
      <c r="AV52" s="114" t="str">
        <f>_xlfn.IFNA(VLOOKUP($AI52,Programma!$F$3:$S$1101,14,0),"")</f>
        <v>1m</v>
      </c>
      <c r="AW52" s="114" t="str">
        <f>_xlfn.IFNA(VLOOKUP($AI52,Programma!$F$3:$T$1101,15,0),"")</f>
        <v>2j</v>
      </c>
      <c r="AX52" s="114" t="str">
        <f>_xlfn.IFNA(VLOOKUP($AI52,Programma!$F$3:$U$1101,16,0),"")</f>
        <v>1j</v>
      </c>
      <c r="AY52" s="114" t="str">
        <f>_xlfn.IFNA(VLOOKUP($AI52,Programma!$F$3:$V$1101,17,0),"")</f>
        <v>_</v>
      </c>
      <c r="AZ52" s="114" t="str">
        <f>_xlfn.IFNA(VLOOKUP($AI52,Programma!$F$3:$W$1101,18,0),"")</f>
        <v>_</v>
      </c>
      <c r="BA52" s="114" t="str">
        <f>_xlfn.IFNA(VLOOKUP($AI52,Programma!$F$3:$X$1101,19,0),"")</f>
        <v>_</v>
      </c>
      <c r="BB52" s="114" t="str">
        <f>_xlfn.IFNA(VLOOKUP($AI52,Programma!$F$3:$Y$1101,20,0),"")</f>
        <v>_</v>
      </c>
      <c r="BC52" s="111"/>
      <c r="BD52" s="110" t="str">
        <f>IF(Ruimtestaat[[#This Row],[Frequentie weekend]]="","",_xlfn.CONCAT(Ruimtestaat[[#This Row],[Ruimte code]],"-",Ruimtestaat[[#This Row],[Frequentie weekend]]," ",Ruimtestaat[[#This Row],[Vloer code]]))</f>
        <v/>
      </c>
      <c r="BE52" s="114" t="str">
        <f>_xlfn.IFNA(VLOOKUP($BD52,Programma!$F$3:$G$1101,2,0),"")</f>
        <v/>
      </c>
      <c r="BF52" s="114" t="str">
        <f>_xlfn.IFNA(VLOOKUP($BD52,Programma!$F$3:$H$1101,3,0),"")</f>
        <v/>
      </c>
      <c r="BG52" s="114" t="str">
        <f>_xlfn.IFNA(VLOOKUP($BD52,Programma!$F$3:$I$1101,4,0),"")</f>
        <v/>
      </c>
      <c r="BH52" s="114" t="str">
        <f>_xlfn.IFNA(VLOOKUP($BD52,Programma!$F$3:$J$1101,5,0),"")</f>
        <v/>
      </c>
      <c r="BI52" s="114" t="str">
        <f>_xlfn.IFNA(VLOOKUP($BD52,Programma!$F$3:$K$1101,6,0),"")</f>
        <v/>
      </c>
      <c r="BJ52" s="114" t="str">
        <f>_xlfn.IFNA(VLOOKUP($BD52,Programma!$F$3:$L$1101,7,0),"")</f>
        <v/>
      </c>
      <c r="BK52" s="114" t="str">
        <f>_xlfn.IFNA(VLOOKUP($BD52,Programma!$F$3:$M$1101,8,0),"")</f>
        <v/>
      </c>
      <c r="BL52" s="114" t="str">
        <f>_xlfn.IFNA(VLOOKUP($BD52,Programma!$F$3:$N$1101,9,0),"")</f>
        <v/>
      </c>
      <c r="BM52" s="114" t="str">
        <f>_xlfn.IFNA(VLOOKUP($BD52,Programma!$F$3:$O$1101,10,0),"")</f>
        <v/>
      </c>
      <c r="BN52" s="114" t="str">
        <f>_xlfn.IFNA(VLOOKUP($BD52,Programma!$F$3:$P$1101,11,0),"")</f>
        <v/>
      </c>
      <c r="BO52" s="114" t="str">
        <f>_xlfn.IFNA(VLOOKUP($BD52,Programma!$F$3:$Q$1101,12,0),"")</f>
        <v/>
      </c>
      <c r="BP52" s="114" t="str">
        <f>_xlfn.IFNA(VLOOKUP($BD52,Programma!$F$3:$R$1101,13,0),"")</f>
        <v/>
      </c>
      <c r="BQ52" s="114" t="str">
        <f>_xlfn.IFNA(VLOOKUP($BD52,Programma!$F$3:$S$1101,14,0),"")</f>
        <v/>
      </c>
      <c r="BR52" s="114" t="str">
        <f>_xlfn.IFNA(VLOOKUP($BD52,Programma!$F$3:$T$1101,15,0),"")</f>
        <v/>
      </c>
      <c r="BS52" s="114" t="str">
        <f>_xlfn.IFNA(VLOOKUP($BD52,Programma!$F$3:$U$1101,16,0),"")</f>
        <v/>
      </c>
      <c r="BT52" s="114" t="str">
        <f>_xlfn.IFNA(VLOOKUP($BD52,Programma!$F$3:$V$1101,17,0),"")</f>
        <v/>
      </c>
      <c r="BU52" s="114" t="str">
        <f>_xlfn.IFNA(VLOOKUP($BD52,Programma!$F$3:$W$1101,18,0),"")</f>
        <v/>
      </c>
      <c r="BV52" s="114" t="str">
        <f>_xlfn.IFNA(VLOOKUP($BD52,Programma!$F$3:$X$1101,19,0),"")</f>
        <v/>
      </c>
      <c r="BW52" s="114" t="str">
        <f>_xlfn.IFNA(VLOOKUP($BD52,Programma!$F$3:$Y$1101,20,0),"")</f>
        <v/>
      </c>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row>
    <row r="53" spans="1:220" ht="15" customHeight="1">
      <c r="A53" s="73">
        <v>1</v>
      </c>
      <c r="B53" s="105" t="str">
        <f>VLOOKUP(Ruimtestaat[[#This Row],[Code]],Locaties[[Code]:[Locatie]],2,FALSE)</f>
        <v>IKC Kameleon</v>
      </c>
      <c r="C53" s="105" t="str">
        <f>VLOOKUP(Ruimtestaat[[#This Row],[Code]],Locaties[[#All],[Code]:[Adres]],4,FALSE)</f>
        <v>Mondriaanstraat 15</v>
      </c>
      <c r="D53" s="105" t="str">
        <f>VLOOKUP(Ruimtestaat[[#This Row],[Code]],Locaties[[#All],[Code]:[Postcode]],5,FALSE)</f>
        <v>6921 MJ</v>
      </c>
      <c r="E53" s="105" t="str">
        <f>VLOOKUP(Ruimtestaat[[#This Row],[Code]],Locaties[#All],6,FALSE)</f>
        <v>Duiven</v>
      </c>
      <c r="F53" s="73"/>
      <c r="G53" s="73" t="s">
        <v>1826</v>
      </c>
      <c r="H53" s="272"/>
      <c r="I53" s="273" t="s">
        <v>1993</v>
      </c>
      <c r="J53" s="31">
        <v>4</v>
      </c>
      <c r="K53" s="113" t="str">
        <f>VLOOKUP(Ruimtestaat[[#This Row],[Ruimte code]],Ruimtegroepen[[#All],[Code]:[Ruimte omschrijving]],2,FALSE)</f>
        <v>Vergader/spreekkamers</v>
      </c>
      <c r="L53" s="73" t="s">
        <v>99</v>
      </c>
      <c r="M53" s="273" t="s">
        <v>36</v>
      </c>
      <c r="N53" s="106">
        <v>16</v>
      </c>
      <c r="O53" s="112"/>
      <c r="P53" s="112"/>
      <c r="Q53" s="107" t="str">
        <f>VLOOKUP(Ruimtestaat[[#This Row],[Ruimte code]],Ruimtegroepen[],4,FALSE)</f>
        <v>Bu</v>
      </c>
      <c r="R53" s="73">
        <v>40</v>
      </c>
      <c r="S53" s="73" t="s">
        <v>15</v>
      </c>
      <c r="T53" s="73">
        <f>IF(R53&gt;0,IF(RIGHT(Ruimtestaat[[#This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53" s="73">
        <f>IF(T53&gt;0,VLOOKUP($J53,Ruimtegroepen[],3,FALSE)*VLOOKUP($L53,Vloersoorten[],3,FALSE)*VLOOKUP($S53,Frequenties[],3,FALSE)*VLOOKUP($A53,Locaties[],3,FALSE),0)</f>
        <v>0</v>
      </c>
      <c r="V53" s="73">
        <f>Ruimtestaat[[#This Row],[Uitvoeringen werkdagen]]*Ruimtestaat[[#This Row],[Oppervlak (netto)]]</f>
        <v>640</v>
      </c>
      <c r="W53" s="108">
        <f>IF(U53&gt;0,Ruimtestaat[[#This Row],[Prest. (m2 /jaar) werkdagen]]/Ruimtestaat[[#This Row],[Norm (m2/uur) werkdagen]],0)</f>
        <v>0</v>
      </c>
      <c r="X53" s="109">
        <f>Ruimtestaat[[#This Row],[uren / jaar werkdagen]]*Tariefsopbouw!$E$35</f>
        <v>0</v>
      </c>
      <c r="Y53" s="73"/>
      <c r="Z53" s="73">
        <f>IF(Ruimtestaat[[#This Row],[Frequentie weekend]]&gt;0,VALUE(LEFT(Y53,1))*R53,0)</f>
        <v>0</v>
      </c>
      <c r="AA53" s="72">
        <f>IF($Z53&gt;0,VLOOKUP($J53,Ruimtegroepen[],3,FALSE)*VLOOKUP($L53,Vloersoorten[],3,FALSE)*VLOOKUP($Y53,Frequenties[],3,FALSE)*VLOOKUP(Ruimtestaat[[#This Row],[Code]],Locaties[],3,FALSE),0)</f>
        <v>0</v>
      </c>
      <c r="AB53" s="72">
        <f>Ruimtestaat[[#This Row],[Uitvoeringen weekend]]*Ruimtestaat[[#This Row],[Oppervlak (netto)]]</f>
        <v>0</v>
      </c>
      <c r="AC53" s="72">
        <f>IF(AA53&gt;0,Ruimtestaat[[#This Row],[Prest. (m2 /jaar) weekend]]/Ruimtestaat[[#This Row],[Norm (m2/uur) weekend]],0)</f>
        <v>0</v>
      </c>
      <c r="AD53" s="109">
        <f>Ruimtestaat[[#This Row],[uren / jaar weekend]]*Tariefsopbouw!$D$40</f>
        <v>0</v>
      </c>
      <c r="AE53" s="108">
        <f>Ruimtestaat[[#This Row],[Prest. (m2 /jaar) weekend]]+Ruimtestaat[[#This Row],[Prest. (m2 /jaar) werkdagen]]</f>
        <v>640</v>
      </c>
      <c r="AF53" s="108">
        <f>Ruimtestaat[[#This Row],[uren / jaar weekend]]+Ruimtestaat[[#This Row],[uren / jaar werkdagen]]</f>
        <v>0</v>
      </c>
      <c r="AG53" s="103">
        <f>Ruimtestaat[[#This Row],[kosten / jaar weekend]]+Ruimtestaat[[#This Row],[kosten / jaar werkdagen]]</f>
        <v>0</v>
      </c>
      <c r="AH53" s="103"/>
      <c r="AI53" s="110" t="str">
        <f>IF(Ruimtestaat[[#This Row],[Frequentie werkdagen]]="","",_xlfn.CONCAT(Ruimtestaat[[#This Row],[Ruimte code]],"-",Ruimtestaat[[#This Row],[Frequentie werkdagen]]," ",Ruimtestaat[[#This Row],[Vloer code]]))</f>
        <v>4-1w T</v>
      </c>
      <c r="AJ53" s="114" t="str">
        <f>_xlfn.IFNA(VLOOKUP($AI53,Programma!$F$3:$G$1101,2,0),"")</f>
        <v>_</v>
      </c>
      <c r="AK53" s="114" t="str">
        <f>_xlfn.IFNA(VLOOKUP($AI53,Programma!$F$3:$H$1101,3,0),"")</f>
        <v>1w</v>
      </c>
      <c r="AL53" s="114" t="str">
        <f>_xlfn.IFNA(VLOOKUP($AI53,Programma!$F$3:$I$1101,4,0),"")</f>
        <v>_</v>
      </c>
      <c r="AM53" s="114" t="str">
        <f>_xlfn.IFNA(VLOOKUP($AI53,Programma!$F$3:$J$1101,5,0),"")</f>
        <v>_</v>
      </c>
      <c r="AN53" s="114" t="str">
        <f>_xlfn.IFNA(VLOOKUP($AI53,Programma!$F$3:$K$1101,6,0),"")</f>
        <v>_</v>
      </c>
      <c r="AO53" s="114" t="str">
        <f>_xlfn.IFNA(VLOOKUP($AI53,Programma!$F$3:$L$1101,7,0),"")</f>
        <v>_</v>
      </c>
      <c r="AP53" s="114" t="str">
        <f>_xlfn.IFNA(VLOOKUP($AI53,Programma!$F$3:$M$1101,8,0),"")</f>
        <v>_</v>
      </c>
      <c r="AQ53" s="114" t="str">
        <f>_xlfn.IFNA(VLOOKUP($AI53,Programma!$F$3:$N$1101,9,0),"")</f>
        <v>_</v>
      </c>
      <c r="AR53" s="114" t="str">
        <f>_xlfn.IFNA(VLOOKUP($AI53,Programma!$F$3:$O$1101,10,0),"")</f>
        <v>1w</v>
      </c>
      <c r="AS53" s="114" t="str">
        <f>_xlfn.IFNA(VLOOKUP($AI53,Programma!$F$3:$P$1101,11,0),"")</f>
        <v>1w</v>
      </c>
      <c r="AT53" s="114" t="str">
        <f>_xlfn.IFNA(VLOOKUP($AI53,Programma!$F$3:$Q$1101,12,0),"")</f>
        <v>1w</v>
      </c>
      <c r="AU53" s="114" t="str">
        <f>_xlfn.IFNA(VLOOKUP($AI53,Programma!$F$3:$R$1101,13,0),"")</f>
        <v>1w</v>
      </c>
      <c r="AV53" s="114" t="str">
        <f>_xlfn.IFNA(VLOOKUP($AI53,Programma!$F$3:$S$1101,14,0),"")</f>
        <v>1m</v>
      </c>
      <c r="AW53" s="114" t="str">
        <f>_xlfn.IFNA(VLOOKUP($AI53,Programma!$F$3:$T$1101,15,0),"")</f>
        <v>2j</v>
      </c>
      <c r="AX53" s="114" t="str">
        <f>_xlfn.IFNA(VLOOKUP($AI53,Programma!$F$3:$U$1101,16,0),"")</f>
        <v>1j</v>
      </c>
      <c r="AY53" s="114" t="str">
        <f>_xlfn.IFNA(VLOOKUP($AI53,Programma!$F$3:$V$1101,17,0),"")</f>
        <v>_</v>
      </c>
      <c r="AZ53" s="114" t="str">
        <f>_xlfn.IFNA(VLOOKUP($AI53,Programma!$F$3:$W$1101,18,0),"")</f>
        <v>_</v>
      </c>
      <c r="BA53" s="114" t="str">
        <f>_xlfn.IFNA(VLOOKUP($AI53,Programma!$F$3:$X$1101,19,0),"")</f>
        <v>_</v>
      </c>
      <c r="BB53" s="114" t="str">
        <f>_xlfn.IFNA(VLOOKUP($AI53,Programma!$F$3:$Y$1101,20,0),"")</f>
        <v>_</v>
      </c>
      <c r="BC53" s="111"/>
      <c r="BD53" s="110" t="str">
        <f>IF(Ruimtestaat[[#This Row],[Frequentie weekend]]="","",_xlfn.CONCAT(Ruimtestaat[[#This Row],[Ruimte code]],"-",Ruimtestaat[[#This Row],[Frequentie weekend]]," ",Ruimtestaat[[#This Row],[Vloer code]]))</f>
        <v/>
      </c>
      <c r="BE53" s="114" t="str">
        <f>_xlfn.IFNA(VLOOKUP($BD53,Programma!$F$3:$G$1101,2,0),"")</f>
        <v/>
      </c>
      <c r="BF53" s="114" t="str">
        <f>_xlfn.IFNA(VLOOKUP($BD53,Programma!$F$3:$H$1101,3,0),"")</f>
        <v/>
      </c>
      <c r="BG53" s="114" t="str">
        <f>_xlfn.IFNA(VLOOKUP($BD53,Programma!$F$3:$I$1101,4,0),"")</f>
        <v/>
      </c>
      <c r="BH53" s="114" t="str">
        <f>_xlfn.IFNA(VLOOKUP($BD53,Programma!$F$3:$J$1101,5,0),"")</f>
        <v/>
      </c>
      <c r="BI53" s="114" t="str">
        <f>_xlfn.IFNA(VLOOKUP($BD53,Programma!$F$3:$K$1101,6,0),"")</f>
        <v/>
      </c>
      <c r="BJ53" s="114" t="str">
        <f>_xlfn.IFNA(VLOOKUP($BD53,Programma!$F$3:$L$1101,7,0),"")</f>
        <v/>
      </c>
      <c r="BK53" s="114" t="str">
        <f>_xlfn.IFNA(VLOOKUP($BD53,Programma!$F$3:$M$1101,8,0),"")</f>
        <v/>
      </c>
      <c r="BL53" s="114" t="str">
        <f>_xlfn.IFNA(VLOOKUP($BD53,Programma!$F$3:$N$1101,9,0),"")</f>
        <v/>
      </c>
      <c r="BM53" s="114" t="str">
        <f>_xlfn.IFNA(VLOOKUP($BD53,Programma!$F$3:$O$1101,10,0),"")</f>
        <v/>
      </c>
      <c r="BN53" s="114" t="str">
        <f>_xlfn.IFNA(VLOOKUP($BD53,Programma!$F$3:$P$1101,11,0),"")</f>
        <v/>
      </c>
      <c r="BO53" s="114" t="str">
        <f>_xlfn.IFNA(VLOOKUP($BD53,Programma!$F$3:$Q$1101,12,0),"")</f>
        <v/>
      </c>
      <c r="BP53" s="114" t="str">
        <f>_xlfn.IFNA(VLOOKUP($BD53,Programma!$F$3:$R$1101,13,0),"")</f>
        <v/>
      </c>
      <c r="BQ53" s="114" t="str">
        <f>_xlfn.IFNA(VLOOKUP($BD53,Programma!$F$3:$S$1101,14,0),"")</f>
        <v/>
      </c>
      <c r="BR53" s="114" t="str">
        <f>_xlfn.IFNA(VLOOKUP($BD53,Programma!$F$3:$T$1101,15,0),"")</f>
        <v/>
      </c>
      <c r="BS53" s="114" t="str">
        <f>_xlfn.IFNA(VLOOKUP($BD53,Programma!$F$3:$U$1101,16,0),"")</f>
        <v/>
      </c>
      <c r="BT53" s="114" t="str">
        <f>_xlfn.IFNA(VLOOKUP($BD53,Programma!$F$3:$V$1101,17,0),"")</f>
        <v/>
      </c>
      <c r="BU53" s="114" t="str">
        <f>_xlfn.IFNA(VLOOKUP($BD53,Programma!$F$3:$W$1101,18,0),"")</f>
        <v/>
      </c>
      <c r="BV53" s="114" t="str">
        <f>_xlfn.IFNA(VLOOKUP($BD53,Programma!$F$3:$X$1101,19,0),"")</f>
        <v/>
      </c>
      <c r="BW53" s="114" t="str">
        <f>_xlfn.IFNA(VLOOKUP($BD53,Programma!$F$3:$Y$1101,20,0),"")</f>
        <v/>
      </c>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row>
    <row r="54" spans="1:220" ht="15" customHeight="1">
      <c r="A54" s="73">
        <v>1</v>
      </c>
      <c r="B54" s="105" t="str">
        <f>VLOOKUP(Ruimtestaat[[#This Row],[Code]],Locaties[[Code]:[Locatie]],2,FALSE)</f>
        <v>IKC Kameleon</v>
      </c>
      <c r="C54" s="105" t="str">
        <f>VLOOKUP(Ruimtestaat[[#This Row],[Code]],Locaties[[#All],[Code]:[Adres]],4,FALSE)</f>
        <v>Mondriaanstraat 15</v>
      </c>
      <c r="D54" s="105" t="str">
        <f>VLOOKUP(Ruimtestaat[[#This Row],[Code]],Locaties[[#All],[Code]:[Postcode]],5,FALSE)</f>
        <v>6921 MJ</v>
      </c>
      <c r="E54" s="105" t="str">
        <f>VLOOKUP(Ruimtestaat[[#This Row],[Code]],Locaties[#All],6,FALSE)</f>
        <v>Duiven</v>
      </c>
      <c r="F54" s="73"/>
      <c r="G54" s="73" t="s">
        <v>1826</v>
      </c>
      <c r="H54" s="272"/>
      <c r="I54" s="273" t="s">
        <v>1725</v>
      </c>
      <c r="J54" s="31">
        <v>16</v>
      </c>
      <c r="K54" s="113" t="str">
        <f>VLOOKUP(Ruimtestaat[[#This Row],[Ruimte code]],Ruimtegroepen[[#All],[Code]:[Ruimte omschrijving]],2,FALSE)</f>
        <v>Leslokalen</v>
      </c>
      <c r="L54" s="73" t="s">
        <v>99</v>
      </c>
      <c r="M54" s="273" t="s">
        <v>36</v>
      </c>
      <c r="N54" s="106">
        <v>56.25</v>
      </c>
      <c r="O54" s="73"/>
      <c r="P54" s="73"/>
      <c r="Q54" s="107" t="str">
        <f>VLOOKUP(Ruimtestaat[[#This Row],[Ruimte code]],Ruimtegroepen[],4,FALSE)</f>
        <v>Le</v>
      </c>
      <c r="R54" s="73">
        <v>40</v>
      </c>
      <c r="S54" s="73" t="s">
        <v>2</v>
      </c>
      <c r="T54" s="73">
        <f>IF(R54&gt;0,IF(RIGHT(Ruimtestaat[[#This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 s="73">
        <f>IF(T54&gt;0,VLOOKUP($J54,Ruimtegroepen[],3,FALSE)*VLOOKUP($L54,Vloersoorten[],3,FALSE)*VLOOKUP($S54,Frequenties[],3,FALSE)*VLOOKUP($A54,Locaties[],3,FALSE),0)</f>
        <v>0</v>
      </c>
      <c r="V54" s="73">
        <f>Ruimtestaat[[#This Row],[Uitvoeringen werkdagen]]*Ruimtestaat[[#This Row],[Oppervlak (netto)]]</f>
        <v>11250</v>
      </c>
      <c r="W54" s="108">
        <f>IF(U54&gt;0,Ruimtestaat[[#This Row],[Prest. (m2 /jaar) werkdagen]]/Ruimtestaat[[#This Row],[Norm (m2/uur) werkdagen]],0)</f>
        <v>0</v>
      </c>
      <c r="X54" s="109">
        <f>Ruimtestaat[[#This Row],[uren / jaar werkdagen]]*Tariefsopbouw!$E$35</f>
        <v>0</v>
      </c>
      <c r="Y54" s="73"/>
      <c r="Z54" s="73">
        <f>IF(Ruimtestaat[[#This Row],[Frequentie weekend]]&gt;0,VALUE(LEFT(Y54,1))*R54,0)</f>
        <v>0</v>
      </c>
      <c r="AA54" s="72">
        <f>IF($Z54&gt;0,VLOOKUP($J54,Ruimtegroepen[],3,FALSE)*VLOOKUP($L54,Vloersoorten[],3,FALSE)*VLOOKUP($Y54,Frequenties[],3,FALSE)*VLOOKUP(Ruimtestaat[[#This Row],[Code]],Locaties[],3,FALSE),0)</f>
        <v>0</v>
      </c>
      <c r="AB54" s="72">
        <f>Ruimtestaat[[#This Row],[Uitvoeringen weekend]]*Ruimtestaat[[#This Row],[Oppervlak (netto)]]</f>
        <v>0</v>
      </c>
      <c r="AC54" s="72">
        <f>IF(AA54&gt;0,Ruimtestaat[[#This Row],[Prest. (m2 /jaar) weekend]]/Ruimtestaat[[#This Row],[Norm (m2/uur) weekend]],0)</f>
        <v>0</v>
      </c>
      <c r="AD54" s="109">
        <f>Ruimtestaat[[#This Row],[uren / jaar weekend]]*Tariefsopbouw!$D$40</f>
        <v>0</v>
      </c>
      <c r="AE54" s="108">
        <f>Ruimtestaat[[#This Row],[Prest. (m2 /jaar) weekend]]+Ruimtestaat[[#This Row],[Prest. (m2 /jaar) werkdagen]]</f>
        <v>11250</v>
      </c>
      <c r="AF54" s="108">
        <f>Ruimtestaat[[#This Row],[uren / jaar weekend]]+Ruimtestaat[[#This Row],[uren / jaar werkdagen]]</f>
        <v>0</v>
      </c>
      <c r="AG54" s="103">
        <f>Ruimtestaat[[#This Row],[kosten / jaar weekend]]+Ruimtestaat[[#This Row],[kosten / jaar werkdagen]]</f>
        <v>0</v>
      </c>
      <c r="AH54" s="103"/>
      <c r="AI54" s="110" t="str">
        <f>IF(Ruimtestaat[[#This Row],[Frequentie werkdagen]]="","",_xlfn.CONCAT(Ruimtestaat[[#This Row],[Ruimte code]],"-",Ruimtestaat[[#This Row],[Frequentie werkdagen]]," ",Ruimtestaat[[#This Row],[Vloer code]]))</f>
        <v>16-5w T</v>
      </c>
      <c r="AJ54" s="114" t="str">
        <f>_xlfn.IFNA(VLOOKUP($AI54,Programma!$F$3:$G$1101,2,0),"")</f>
        <v>3w</v>
      </c>
      <c r="AK54" s="114" t="str">
        <f>_xlfn.IFNA(VLOOKUP($AI54,Programma!$F$3:$H$1101,3,0),"")</f>
        <v>2w</v>
      </c>
      <c r="AL54" s="114" t="str">
        <f>_xlfn.IFNA(VLOOKUP($AI54,Programma!$F$3:$I$1101,4,0),"")</f>
        <v>_</v>
      </c>
      <c r="AM54" s="114" t="str">
        <f>_xlfn.IFNA(VLOOKUP($AI54,Programma!$F$3:$J$1101,5,0),"")</f>
        <v>_</v>
      </c>
      <c r="AN54" s="114" t="str">
        <f>_xlfn.IFNA(VLOOKUP($AI54,Programma!$F$3:$K$1101,6,0),"")</f>
        <v>_</v>
      </c>
      <c r="AO54" s="114" t="str">
        <f>_xlfn.IFNA(VLOOKUP($AI54,Programma!$F$3:$L$1101,7,0),"")</f>
        <v>_</v>
      </c>
      <c r="AP54" s="114" t="str">
        <f>_xlfn.IFNA(VLOOKUP($AI54,Programma!$F$3:$M$1101,8,0),"")</f>
        <v>_</v>
      </c>
      <c r="AQ54" s="114" t="str">
        <f>_xlfn.IFNA(VLOOKUP($AI54,Programma!$F$3:$N$1101,9,0),"")</f>
        <v>_</v>
      </c>
      <c r="AR54" s="114" t="str">
        <f>_xlfn.IFNA(VLOOKUP($AI54,Programma!$F$3:$O$1101,10,0),"")</f>
        <v>5w</v>
      </c>
      <c r="AS54" s="114" t="str">
        <f>_xlfn.IFNA(VLOOKUP($AI54,Programma!$F$3:$P$1101,11,0),"")</f>
        <v>5w</v>
      </c>
      <c r="AT54" s="114" t="str">
        <f>_xlfn.IFNA(VLOOKUP($AI54,Programma!$F$3:$Q$1101,12,0),"")</f>
        <v>1w</v>
      </c>
      <c r="AU54" s="114" t="str">
        <f>_xlfn.IFNA(VLOOKUP($AI54,Programma!$F$3:$R$1101,13,0),"")</f>
        <v>1w</v>
      </c>
      <c r="AV54" s="114" t="str">
        <f>_xlfn.IFNA(VLOOKUP($AI54,Programma!$F$3:$S$1101,14,0),"")</f>
        <v>1m</v>
      </c>
      <c r="AW54" s="114" t="str">
        <f>_xlfn.IFNA(VLOOKUP($AI54,Programma!$F$3:$T$1101,15,0),"")</f>
        <v>2j</v>
      </c>
      <c r="AX54" s="114" t="str">
        <f>_xlfn.IFNA(VLOOKUP($AI54,Programma!$F$3:$U$1101,16,0),"")</f>
        <v>1j</v>
      </c>
      <c r="AY54" s="114" t="str">
        <f>_xlfn.IFNA(VLOOKUP($AI54,Programma!$F$3:$V$1101,17,0),"")</f>
        <v>_</v>
      </c>
      <c r="AZ54" s="114" t="str">
        <f>_xlfn.IFNA(VLOOKUP($AI54,Programma!$F$3:$W$1101,18,0),"")</f>
        <v>_</v>
      </c>
      <c r="BA54" s="114" t="str">
        <f>_xlfn.IFNA(VLOOKUP($AI54,Programma!$F$3:$X$1101,19,0),"")</f>
        <v>_</v>
      </c>
      <c r="BB54" s="114" t="str">
        <f>_xlfn.IFNA(VLOOKUP($AI54,Programma!$F$3:$Y$1101,20,0),"")</f>
        <v>_</v>
      </c>
      <c r="BC54" s="111"/>
      <c r="BD54" s="110" t="str">
        <f>IF(Ruimtestaat[[#This Row],[Frequentie weekend]]="","",_xlfn.CONCAT(Ruimtestaat[[#This Row],[Ruimte code]],"-",Ruimtestaat[[#This Row],[Frequentie weekend]]," ",Ruimtestaat[[#This Row],[Vloer code]]))</f>
        <v/>
      </c>
      <c r="BE54" s="114" t="str">
        <f>_xlfn.IFNA(VLOOKUP($BD54,Programma!$F$3:$G$1101,2,0),"")</f>
        <v/>
      </c>
      <c r="BF54" s="114" t="str">
        <f>_xlfn.IFNA(VLOOKUP($BD54,Programma!$F$3:$H$1101,3,0),"")</f>
        <v/>
      </c>
      <c r="BG54" s="114" t="str">
        <f>_xlfn.IFNA(VLOOKUP($BD54,Programma!$F$3:$I$1101,4,0),"")</f>
        <v/>
      </c>
      <c r="BH54" s="114" t="str">
        <f>_xlfn.IFNA(VLOOKUP($BD54,Programma!$F$3:$J$1101,5,0),"")</f>
        <v/>
      </c>
      <c r="BI54" s="114" t="str">
        <f>_xlfn.IFNA(VLOOKUP($BD54,Programma!$F$3:$K$1101,6,0),"")</f>
        <v/>
      </c>
      <c r="BJ54" s="114" t="str">
        <f>_xlfn.IFNA(VLOOKUP($BD54,Programma!$F$3:$L$1101,7,0),"")</f>
        <v/>
      </c>
      <c r="BK54" s="114" t="str">
        <f>_xlfn.IFNA(VLOOKUP($BD54,Programma!$F$3:$M$1101,8,0),"")</f>
        <v/>
      </c>
      <c r="BL54" s="114" t="str">
        <f>_xlfn.IFNA(VLOOKUP($BD54,Programma!$F$3:$N$1101,9,0),"")</f>
        <v/>
      </c>
      <c r="BM54" s="114" t="str">
        <f>_xlfn.IFNA(VLOOKUP($BD54,Programma!$F$3:$O$1101,10,0),"")</f>
        <v/>
      </c>
      <c r="BN54" s="114" t="str">
        <f>_xlfn.IFNA(VLOOKUP($BD54,Programma!$F$3:$P$1101,11,0),"")</f>
        <v/>
      </c>
      <c r="BO54" s="114" t="str">
        <f>_xlfn.IFNA(VLOOKUP($BD54,Programma!$F$3:$Q$1101,12,0),"")</f>
        <v/>
      </c>
      <c r="BP54" s="114" t="str">
        <f>_xlfn.IFNA(VLOOKUP($BD54,Programma!$F$3:$R$1101,13,0),"")</f>
        <v/>
      </c>
      <c r="BQ54" s="114" t="str">
        <f>_xlfn.IFNA(VLOOKUP($BD54,Programma!$F$3:$S$1101,14,0),"")</f>
        <v/>
      </c>
      <c r="BR54" s="114" t="str">
        <f>_xlfn.IFNA(VLOOKUP($BD54,Programma!$F$3:$T$1101,15,0),"")</f>
        <v/>
      </c>
      <c r="BS54" s="114" t="str">
        <f>_xlfn.IFNA(VLOOKUP($BD54,Programma!$F$3:$U$1101,16,0),"")</f>
        <v/>
      </c>
      <c r="BT54" s="114" t="str">
        <f>_xlfn.IFNA(VLOOKUP($BD54,Programma!$F$3:$V$1101,17,0),"")</f>
        <v/>
      </c>
      <c r="BU54" s="114" t="str">
        <f>_xlfn.IFNA(VLOOKUP($BD54,Programma!$F$3:$W$1101,18,0),"")</f>
        <v/>
      </c>
      <c r="BV54" s="114" t="str">
        <f>_xlfn.IFNA(VLOOKUP($BD54,Programma!$F$3:$X$1101,19,0),"")</f>
        <v/>
      </c>
      <c r="BW54" s="114" t="str">
        <f>_xlfn.IFNA(VLOOKUP($BD54,Programma!$F$3:$Y$1101,20,0),"")</f>
        <v/>
      </c>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row>
    <row r="55" spans="1:220" ht="15" customHeight="1">
      <c r="A55" s="73">
        <v>1</v>
      </c>
      <c r="B55" s="105" t="str">
        <f>VLOOKUP(Ruimtestaat[[#This Row],[Code]],Locaties[[Code]:[Locatie]],2,FALSE)</f>
        <v>IKC Kameleon</v>
      </c>
      <c r="C55" s="105" t="str">
        <f>VLOOKUP(Ruimtestaat[[#This Row],[Code]],Locaties[[#All],[Code]:[Adres]],4,FALSE)</f>
        <v>Mondriaanstraat 15</v>
      </c>
      <c r="D55" s="105" t="str">
        <f>VLOOKUP(Ruimtestaat[[#This Row],[Code]],Locaties[[#All],[Code]:[Postcode]],5,FALSE)</f>
        <v>6921 MJ</v>
      </c>
      <c r="E55" s="105" t="str">
        <f>VLOOKUP(Ruimtestaat[[#This Row],[Code]],Locaties[#All],6,FALSE)</f>
        <v>Duiven</v>
      </c>
      <c r="F55" s="73" t="s">
        <v>1796</v>
      </c>
      <c r="G55" s="73" t="s">
        <v>1645</v>
      </c>
      <c r="H55" s="272"/>
      <c r="I55" s="273" t="s">
        <v>1994</v>
      </c>
      <c r="J55" s="31">
        <v>7</v>
      </c>
      <c r="K55" s="113" t="str">
        <f>VLOOKUP(Ruimtestaat[[#This Row],[Ruimte code]],Ruimtegroepen[[#All],[Code]:[Ruimte omschrijving]],2,FALSE)</f>
        <v>Entree</v>
      </c>
      <c r="L55" s="73" t="s">
        <v>100</v>
      </c>
      <c r="M55" s="273" t="s">
        <v>1982</v>
      </c>
      <c r="N55" s="106">
        <v>4</v>
      </c>
      <c r="O55" s="112"/>
      <c r="P55" s="112"/>
      <c r="Q55" s="107" t="str">
        <f>VLOOKUP(Ruimtestaat[[#This Row],[Ruimte code]],Ruimtegroepen[],4,FALSE)</f>
        <v>Ve</v>
      </c>
      <c r="R55" s="73">
        <v>40</v>
      </c>
      <c r="S55" s="73" t="s">
        <v>2</v>
      </c>
      <c r="T55" s="73">
        <f>IF(R55&gt;0,IF(RIGHT(Ruimtestaat[[#This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 s="73">
        <f>IF(T55&gt;0,VLOOKUP($J55,Ruimtegroepen[],3,FALSE)*VLOOKUP($L55,Vloersoorten[],3,FALSE)*VLOOKUP($S55,Frequenties[],3,FALSE)*VLOOKUP($A55,Locaties[],3,FALSE),0)</f>
        <v>0</v>
      </c>
      <c r="V55" s="73">
        <f>Ruimtestaat[[#This Row],[Uitvoeringen werkdagen]]*Ruimtestaat[[#This Row],[Oppervlak (netto)]]</f>
        <v>800</v>
      </c>
      <c r="W55" s="108">
        <f>IF(U55&gt;0,Ruimtestaat[[#This Row],[Prest. (m2 /jaar) werkdagen]]/Ruimtestaat[[#This Row],[Norm (m2/uur) werkdagen]],0)</f>
        <v>0</v>
      </c>
      <c r="X55" s="109">
        <f>Ruimtestaat[[#This Row],[uren / jaar werkdagen]]*Tariefsopbouw!$E$35</f>
        <v>0</v>
      </c>
      <c r="Y55" s="73"/>
      <c r="Z55" s="73">
        <f>IF(Ruimtestaat[[#This Row],[Frequentie weekend]]&gt;0,VALUE(LEFT(Y55,1))*R55,0)</f>
        <v>0</v>
      </c>
      <c r="AA55" s="72">
        <f>IF($Z55&gt;0,VLOOKUP($J55,Ruimtegroepen[],3,FALSE)*VLOOKUP($L55,Vloersoorten[],3,FALSE)*VLOOKUP($Y55,Frequenties[],3,FALSE)*VLOOKUP(Ruimtestaat[[#This Row],[Code]],Locaties[],3,FALSE),0)</f>
        <v>0</v>
      </c>
      <c r="AB55" s="72">
        <f>Ruimtestaat[[#This Row],[Uitvoeringen weekend]]*Ruimtestaat[[#This Row],[Oppervlak (netto)]]</f>
        <v>0</v>
      </c>
      <c r="AC55" s="72">
        <f>IF(AA55&gt;0,Ruimtestaat[[#This Row],[Prest. (m2 /jaar) weekend]]/Ruimtestaat[[#This Row],[Norm (m2/uur) weekend]],0)</f>
        <v>0</v>
      </c>
      <c r="AD55" s="109">
        <f>Ruimtestaat[[#This Row],[uren / jaar weekend]]*Tariefsopbouw!$D$40</f>
        <v>0</v>
      </c>
      <c r="AE55" s="108">
        <f>Ruimtestaat[[#This Row],[Prest. (m2 /jaar) weekend]]+Ruimtestaat[[#This Row],[Prest. (m2 /jaar) werkdagen]]</f>
        <v>800</v>
      </c>
      <c r="AF55" s="108">
        <f>Ruimtestaat[[#This Row],[uren / jaar weekend]]+Ruimtestaat[[#This Row],[uren / jaar werkdagen]]</f>
        <v>0</v>
      </c>
      <c r="AG55" s="103">
        <f>Ruimtestaat[[#This Row],[kosten / jaar weekend]]+Ruimtestaat[[#This Row],[kosten / jaar werkdagen]]</f>
        <v>0</v>
      </c>
      <c r="AH55" s="103"/>
      <c r="AI55" s="110" t="str">
        <f>IF(Ruimtestaat[[#This Row],[Frequentie werkdagen]]="","",_xlfn.CONCAT(Ruimtestaat[[#This Row],[Ruimte code]],"-",Ruimtestaat[[#This Row],[Frequentie werkdagen]]," ",Ruimtestaat[[#This Row],[Vloer code]]))</f>
        <v>7-5w L</v>
      </c>
      <c r="AJ55" s="114" t="str">
        <f>_xlfn.IFNA(VLOOKUP($AI55,Programma!$F$3:$G$1101,2,0),"")</f>
        <v>_</v>
      </c>
      <c r="AK55" s="114" t="str">
        <f>_xlfn.IFNA(VLOOKUP($AI55,Programma!$F$3:$H$1101,3,0),"")</f>
        <v>_</v>
      </c>
      <c r="AL55" s="114" t="str">
        <f>_xlfn.IFNA(VLOOKUP($AI55,Programma!$F$3:$I$1101,4,0),"")</f>
        <v>_</v>
      </c>
      <c r="AM55" s="114" t="str">
        <f>_xlfn.IFNA(VLOOKUP($AI55,Programma!$F$3:$J$1101,5,0),"")</f>
        <v>5w</v>
      </c>
      <c r="AN55" s="114" t="str">
        <f>_xlfn.IFNA(VLOOKUP($AI55,Programma!$F$3:$K$1101,6,0),"")</f>
        <v>_</v>
      </c>
      <c r="AO55" s="114" t="str">
        <f>_xlfn.IFNA(VLOOKUP($AI55,Programma!$F$3:$L$1101,7,0),"")</f>
        <v>_</v>
      </c>
      <c r="AP55" s="114" t="str">
        <f>_xlfn.IFNA(VLOOKUP($AI55,Programma!$F$3:$M$1101,8,0),"")</f>
        <v>_</v>
      </c>
      <c r="AQ55" s="114" t="str">
        <f>_xlfn.IFNA(VLOOKUP($AI55,Programma!$F$3:$N$1101,9,0),"")</f>
        <v>_</v>
      </c>
      <c r="AR55" s="114" t="str">
        <f>_xlfn.IFNA(VLOOKUP($AI55,Programma!$F$3:$O$1101,10,0),"")</f>
        <v>5w</v>
      </c>
      <c r="AS55" s="114" t="str">
        <f>_xlfn.IFNA(VLOOKUP($AI55,Programma!$F$3:$P$1101,11,0),"")</f>
        <v>5w</v>
      </c>
      <c r="AT55" s="114" t="str">
        <f>_xlfn.IFNA(VLOOKUP($AI55,Programma!$F$3:$Q$1101,12,0),"")</f>
        <v>1w</v>
      </c>
      <c r="AU55" s="114" t="str">
        <f>_xlfn.IFNA(VLOOKUP($AI55,Programma!$F$3:$R$1101,13,0),"")</f>
        <v>1w</v>
      </c>
      <c r="AV55" s="114" t="str">
        <f>_xlfn.IFNA(VLOOKUP($AI55,Programma!$F$3:$S$1101,14,0),"")</f>
        <v>1m</v>
      </c>
      <c r="AW55" s="114" t="str">
        <f>_xlfn.IFNA(VLOOKUP($AI55,Programma!$F$3:$T$1101,15,0),"")</f>
        <v>2j</v>
      </c>
      <c r="AX55" s="114" t="str">
        <f>_xlfn.IFNA(VLOOKUP($AI55,Programma!$F$3:$U$1101,16,0),"")</f>
        <v>1j</v>
      </c>
      <c r="AY55" s="114" t="str">
        <f>_xlfn.IFNA(VLOOKUP($AI55,Programma!$F$3:$V$1101,17,0),"")</f>
        <v>_</v>
      </c>
      <c r="AZ55" s="114" t="str">
        <f>_xlfn.IFNA(VLOOKUP($AI55,Programma!$F$3:$W$1101,18,0),"")</f>
        <v>_</v>
      </c>
      <c r="BA55" s="114" t="str">
        <f>_xlfn.IFNA(VLOOKUP($AI55,Programma!$F$3:$X$1101,19,0),"")</f>
        <v>_</v>
      </c>
      <c r="BB55" s="114" t="str">
        <f>_xlfn.IFNA(VLOOKUP($AI55,Programma!$F$3:$Y$1101,20,0),"")</f>
        <v>_</v>
      </c>
      <c r="BC55" s="111"/>
      <c r="BD55" s="110" t="str">
        <f>IF(Ruimtestaat[[#This Row],[Frequentie weekend]]="","",_xlfn.CONCAT(Ruimtestaat[[#This Row],[Ruimte code]],"-",Ruimtestaat[[#This Row],[Frequentie weekend]]," ",Ruimtestaat[[#This Row],[Vloer code]]))</f>
        <v/>
      </c>
      <c r="BE55" s="114" t="str">
        <f>_xlfn.IFNA(VLOOKUP($BD55,Programma!$F$3:$G$1101,2,0),"")</f>
        <v/>
      </c>
      <c r="BF55" s="114" t="str">
        <f>_xlfn.IFNA(VLOOKUP($BD55,Programma!$F$3:$H$1101,3,0),"")</f>
        <v/>
      </c>
      <c r="BG55" s="114" t="str">
        <f>_xlfn.IFNA(VLOOKUP($BD55,Programma!$F$3:$I$1101,4,0),"")</f>
        <v/>
      </c>
      <c r="BH55" s="114" t="str">
        <f>_xlfn.IFNA(VLOOKUP($BD55,Programma!$F$3:$J$1101,5,0),"")</f>
        <v/>
      </c>
      <c r="BI55" s="114" t="str">
        <f>_xlfn.IFNA(VLOOKUP($BD55,Programma!$F$3:$K$1101,6,0),"")</f>
        <v/>
      </c>
      <c r="BJ55" s="114" t="str">
        <f>_xlfn.IFNA(VLOOKUP($BD55,Programma!$F$3:$L$1101,7,0),"")</f>
        <v/>
      </c>
      <c r="BK55" s="114" t="str">
        <f>_xlfn.IFNA(VLOOKUP($BD55,Programma!$F$3:$M$1101,8,0),"")</f>
        <v/>
      </c>
      <c r="BL55" s="114" t="str">
        <f>_xlfn.IFNA(VLOOKUP($BD55,Programma!$F$3:$N$1101,9,0),"")</f>
        <v/>
      </c>
      <c r="BM55" s="114" t="str">
        <f>_xlfn.IFNA(VLOOKUP($BD55,Programma!$F$3:$O$1101,10,0),"")</f>
        <v/>
      </c>
      <c r="BN55" s="114" t="str">
        <f>_xlfn.IFNA(VLOOKUP($BD55,Programma!$F$3:$P$1101,11,0),"")</f>
        <v/>
      </c>
      <c r="BO55" s="114" t="str">
        <f>_xlfn.IFNA(VLOOKUP($BD55,Programma!$F$3:$Q$1101,12,0),"")</f>
        <v/>
      </c>
      <c r="BP55" s="114" t="str">
        <f>_xlfn.IFNA(VLOOKUP($BD55,Programma!$F$3:$R$1101,13,0),"")</f>
        <v/>
      </c>
      <c r="BQ55" s="114" t="str">
        <f>_xlfn.IFNA(VLOOKUP($BD55,Programma!$F$3:$S$1101,14,0),"")</f>
        <v/>
      </c>
      <c r="BR55" s="114" t="str">
        <f>_xlfn.IFNA(VLOOKUP($BD55,Programma!$F$3:$T$1101,15,0),"")</f>
        <v/>
      </c>
      <c r="BS55" s="114" t="str">
        <f>_xlfn.IFNA(VLOOKUP($BD55,Programma!$F$3:$U$1101,16,0),"")</f>
        <v/>
      </c>
      <c r="BT55" s="114" t="str">
        <f>_xlfn.IFNA(VLOOKUP($BD55,Programma!$F$3:$V$1101,17,0),"")</f>
        <v/>
      </c>
      <c r="BU55" s="114" t="str">
        <f>_xlfn.IFNA(VLOOKUP($BD55,Programma!$F$3:$W$1101,18,0),"")</f>
        <v/>
      </c>
      <c r="BV55" s="114" t="str">
        <f>_xlfn.IFNA(VLOOKUP($BD55,Programma!$F$3:$X$1101,19,0),"")</f>
        <v/>
      </c>
      <c r="BW55" s="114" t="str">
        <f>_xlfn.IFNA(VLOOKUP($BD55,Programma!$F$3:$Y$1101,20,0),"")</f>
        <v/>
      </c>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row>
    <row r="56" spans="1:220" ht="15" customHeight="1">
      <c r="A56" s="73">
        <v>1</v>
      </c>
      <c r="B56" s="105" t="str">
        <f>VLOOKUP(Ruimtestaat[[#This Row],[Code]],Locaties[[Code]:[Locatie]],2,FALSE)</f>
        <v>IKC Kameleon</v>
      </c>
      <c r="C56" s="105" t="str">
        <f>VLOOKUP(Ruimtestaat[[#This Row],[Code]],Locaties[[#All],[Code]:[Adres]],4,FALSE)</f>
        <v>Mondriaanstraat 15</v>
      </c>
      <c r="D56" s="105" t="str">
        <f>VLOOKUP(Ruimtestaat[[#This Row],[Code]],Locaties[[#All],[Code]:[Postcode]],5,FALSE)</f>
        <v>6921 MJ</v>
      </c>
      <c r="E56" s="105" t="str">
        <f>VLOOKUP(Ruimtestaat[[#This Row],[Code]],Locaties[#All],6,FALSE)</f>
        <v>Duiven</v>
      </c>
      <c r="F56" s="73" t="s">
        <v>1796</v>
      </c>
      <c r="G56" s="73" t="s">
        <v>1645</v>
      </c>
      <c r="H56" s="272"/>
      <c r="I56" s="273" t="s">
        <v>1723</v>
      </c>
      <c r="J56" s="73">
        <v>5</v>
      </c>
      <c r="K56" s="113" t="str">
        <f>VLOOKUP(Ruimtestaat[[#This Row],[Ruimte code]],Ruimtegroepen[[#All],[Code]:[Ruimte omschrijving]],2,FALSE)</f>
        <v>Sanitair</v>
      </c>
      <c r="L56" s="73" t="s">
        <v>100</v>
      </c>
      <c r="M56" s="273" t="s">
        <v>1982</v>
      </c>
      <c r="N56" s="106">
        <v>6</v>
      </c>
      <c r="O56" s="112"/>
      <c r="P56" s="112"/>
      <c r="Q56" s="107" t="str">
        <f>VLOOKUP(Ruimtestaat[[#This Row],[Ruimte code]],Ruimtegroepen[],4,FALSE)</f>
        <v>Sa</v>
      </c>
      <c r="R56" s="73">
        <v>40</v>
      </c>
      <c r="S56" s="73" t="s">
        <v>2</v>
      </c>
      <c r="T56" s="73">
        <f>IF(R56&gt;0,IF(RIGHT(Ruimtestaat[[#This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 s="73">
        <f>IF(T56&gt;0,VLOOKUP($J56,Ruimtegroepen[],3,FALSE)*VLOOKUP($L56,Vloersoorten[],3,FALSE)*VLOOKUP($S56,Frequenties[],3,FALSE)*VLOOKUP($A56,Locaties[],3,FALSE),0)</f>
        <v>0</v>
      </c>
      <c r="V56" s="73">
        <f>Ruimtestaat[[#This Row],[Uitvoeringen werkdagen]]*Ruimtestaat[[#This Row],[Oppervlak (netto)]]</f>
        <v>1200</v>
      </c>
      <c r="W56" s="108">
        <f>IF(U56&gt;0,Ruimtestaat[[#This Row],[Prest. (m2 /jaar) werkdagen]]/Ruimtestaat[[#This Row],[Norm (m2/uur) werkdagen]],0)</f>
        <v>0</v>
      </c>
      <c r="X56" s="109">
        <f>Ruimtestaat[[#This Row],[uren / jaar werkdagen]]*Tariefsopbouw!$E$35</f>
        <v>0</v>
      </c>
      <c r="Y56" s="73"/>
      <c r="Z56" s="73">
        <f>IF(Ruimtestaat[[#This Row],[Frequentie weekend]]&gt;0,VALUE(LEFT(Y56,1))*R56,0)</f>
        <v>0</v>
      </c>
      <c r="AA56" s="72">
        <f>IF($Z56&gt;0,VLOOKUP($J56,Ruimtegroepen[],3,FALSE)*VLOOKUP($L56,Vloersoorten[],3,FALSE)*VLOOKUP($Y56,Frequenties[],3,FALSE)*VLOOKUP(Ruimtestaat[[#This Row],[Code]],Locaties[],3,FALSE),0)</f>
        <v>0</v>
      </c>
      <c r="AB56" s="72">
        <f>Ruimtestaat[[#This Row],[Uitvoeringen weekend]]*Ruimtestaat[[#This Row],[Oppervlak (netto)]]</f>
        <v>0</v>
      </c>
      <c r="AC56" s="72">
        <f>IF(AA56&gt;0,Ruimtestaat[[#This Row],[Prest. (m2 /jaar) weekend]]/Ruimtestaat[[#This Row],[Norm (m2/uur) weekend]],0)</f>
        <v>0</v>
      </c>
      <c r="AD56" s="109">
        <f>Ruimtestaat[[#This Row],[uren / jaar weekend]]*Tariefsopbouw!$D$40</f>
        <v>0</v>
      </c>
      <c r="AE56" s="108">
        <f>Ruimtestaat[[#This Row],[Prest. (m2 /jaar) weekend]]+Ruimtestaat[[#This Row],[Prest. (m2 /jaar) werkdagen]]</f>
        <v>1200</v>
      </c>
      <c r="AF56" s="108">
        <f>Ruimtestaat[[#This Row],[uren / jaar weekend]]+Ruimtestaat[[#This Row],[uren / jaar werkdagen]]</f>
        <v>0</v>
      </c>
      <c r="AG56" s="103">
        <f>Ruimtestaat[[#This Row],[kosten / jaar weekend]]+Ruimtestaat[[#This Row],[kosten / jaar werkdagen]]</f>
        <v>0</v>
      </c>
      <c r="AH56" s="103"/>
      <c r="AI56" s="110" t="str">
        <f>IF(Ruimtestaat[[#This Row],[Frequentie werkdagen]]="","",_xlfn.CONCAT(Ruimtestaat[[#This Row],[Ruimte code]],"-",Ruimtestaat[[#This Row],[Frequentie werkdagen]]," ",Ruimtestaat[[#This Row],[Vloer code]]))</f>
        <v>5-5w L</v>
      </c>
      <c r="AJ56" s="114" t="str">
        <f>_xlfn.IFNA(VLOOKUP($AI56,Programma!$F$3:$G$1101,2,0),"")</f>
        <v>_</v>
      </c>
      <c r="AK56" s="114" t="str">
        <f>_xlfn.IFNA(VLOOKUP($AI56,Programma!$F$3:$H$1101,3,0),"")</f>
        <v>_</v>
      </c>
      <c r="AL56" s="114" t="str">
        <f>_xlfn.IFNA(VLOOKUP($AI56,Programma!$F$3:$I$1101,4,0),"")</f>
        <v>_</v>
      </c>
      <c r="AM56" s="114" t="str">
        <f>_xlfn.IFNA(VLOOKUP($AI56,Programma!$F$3:$J$1101,5,0),"")</f>
        <v>4w</v>
      </c>
      <c r="AN56" s="114" t="str">
        <f>_xlfn.IFNA(VLOOKUP($AI56,Programma!$F$3:$K$1101,6,0),"")</f>
        <v>1w</v>
      </c>
      <c r="AO56" s="114" t="str">
        <f>_xlfn.IFNA(VLOOKUP($AI56,Programma!$F$3:$L$1101,7,0),"")</f>
        <v>_</v>
      </c>
      <c r="AP56" s="114" t="str">
        <f>_xlfn.IFNA(VLOOKUP($AI56,Programma!$F$3:$M$1101,8,0),"")</f>
        <v>_</v>
      </c>
      <c r="AQ56" s="114" t="str">
        <f>_xlfn.IFNA(VLOOKUP($AI56,Programma!$F$3:$N$1101,9,0),"")</f>
        <v>_</v>
      </c>
      <c r="AR56" s="114" t="str">
        <f>_xlfn.IFNA(VLOOKUP($AI56,Programma!$F$3:$O$1101,10,0),"")</f>
        <v>_</v>
      </c>
      <c r="AS56" s="114" t="str">
        <f>_xlfn.IFNA(VLOOKUP($AI56,Programma!$F$3:$P$1101,11,0),"")</f>
        <v>_</v>
      </c>
      <c r="AT56" s="114" t="str">
        <f>_xlfn.IFNA(VLOOKUP($AI56,Programma!$F$3:$Q$1101,12,0),"")</f>
        <v>_</v>
      </c>
      <c r="AU56" s="114" t="str">
        <f>_xlfn.IFNA(VLOOKUP($AI56,Programma!$F$3:$R$1101,13,0),"")</f>
        <v>_</v>
      </c>
      <c r="AV56" s="114" t="str">
        <f>_xlfn.IFNA(VLOOKUP($AI56,Programma!$F$3:$S$1101,14,0),"")</f>
        <v>_</v>
      </c>
      <c r="AW56" s="114" t="str">
        <f>_xlfn.IFNA(VLOOKUP($AI56,Programma!$F$3:$T$1101,15,0),"")</f>
        <v>_</v>
      </c>
      <c r="AX56" s="114" t="str">
        <f>_xlfn.IFNA(VLOOKUP($AI56,Programma!$F$3:$U$1101,16,0),"")</f>
        <v>_</v>
      </c>
      <c r="AY56" s="114" t="str">
        <f>_xlfn.IFNA(VLOOKUP($AI56,Programma!$F$3:$V$1101,17,0),"")</f>
        <v>_</v>
      </c>
      <c r="AZ56" s="114" t="str">
        <f>_xlfn.IFNA(VLOOKUP($AI56,Programma!$F$3:$W$1101,18,0),"")</f>
        <v>4w</v>
      </c>
      <c r="BA56" s="114" t="str">
        <f>_xlfn.IFNA(VLOOKUP($AI56,Programma!$F$3:$X$1101,19,0),"")</f>
        <v>1w</v>
      </c>
      <c r="BB56" s="114" t="str">
        <f>_xlfn.IFNA(VLOOKUP($AI56,Programma!$F$3:$Y$1101,20,0),"")</f>
        <v>_</v>
      </c>
      <c r="BC56" s="111"/>
      <c r="BD56" s="110" t="str">
        <f>IF(Ruimtestaat[[#This Row],[Frequentie weekend]]="","",_xlfn.CONCAT(Ruimtestaat[[#This Row],[Ruimte code]],"-",Ruimtestaat[[#This Row],[Frequentie weekend]]," ",Ruimtestaat[[#This Row],[Vloer code]]))</f>
        <v/>
      </c>
      <c r="BE56" s="114" t="str">
        <f>_xlfn.IFNA(VLOOKUP($BD56,Programma!$F$3:$G$1101,2,0),"")</f>
        <v/>
      </c>
      <c r="BF56" s="114" t="str">
        <f>_xlfn.IFNA(VLOOKUP($BD56,Programma!$F$3:$H$1101,3,0),"")</f>
        <v/>
      </c>
      <c r="BG56" s="114" t="str">
        <f>_xlfn.IFNA(VLOOKUP($BD56,Programma!$F$3:$I$1101,4,0),"")</f>
        <v/>
      </c>
      <c r="BH56" s="114" t="str">
        <f>_xlfn.IFNA(VLOOKUP($BD56,Programma!$F$3:$J$1101,5,0),"")</f>
        <v/>
      </c>
      <c r="BI56" s="114" t="str">
        <f>_xlfn.IFNA(VLOOKUP($BD56,Programma!$F$3:$K$1101,6,0),"")</f>
        <v/>
      </c>
      <c r="BJ56" s="114" t="str">
        <f>_xlfn.IFNA(VLOOKUP($BD56,Programma!$F$3:$L$1101,7,0),"")</f>
        <v/>
      </c>
      <c r="BK56" s="114" t="str">
        <f>_xlfn.IFNA(VLOOKUP($BD56,Programma!$F$3:$M$1101,8,0),"")</f>
        <v/>
      </c>
      <c r="BL56" s="114" t="str">
        <f>_xlfn.IFNA(VLOOKUP($BD56,Programma!$F$3:$N$1101,9,0),"")</f>
        <v/>
      </c>
      <c r="BM56" s="114" t="str">
        <f>_xlfn.IFNA(VLOOKUP($BD56,Programma!$F$3:$O$1101,10,0),"")</f>
        <v/>
      </c>
      <c r="BN56" s="114" t="str">
        <f>_xlfn.IFNA(VLOOKUP($BD56,Programma!$F$3:$P$1101,11,0),"")</f>
        <v/>
      </c>
      <c r="BO56" s="114" t="str">
        <f>_xlfn.IFNA(VLOOKUP($BD56,Programma!$F$3:$Q$1101,12,0),"")</f>
        <v/>
      </c>
      <c r="BP56" s="114" t="str">
        <f>_xlfn.IFNA(VLOOKUP($BD56,Programma!$F$3:$R$1101,13,0),"")</f>
        <v/>
      </c>
      <c r="BQ56" s="114" t="str">
        <f>_xlfn.IFNA(VLOOKUP($BD56,Programma!$F$3:$S$1101,14,0),"")</f>
        <v/>
      </c>
      <c r="BR56" s="114" t="str">
        <f>_xlfn.IFNA(VLOOKUP($BD56,Programma!$F$3:$T$1101,15,0),"")</f>
        <v/>
      </c>
      <c r="BS56" s="114" t="str">
        <f>_xlfn.IFNA(VLOOKUP($BD56,Programma!$F$3:$U$1101,16,0),"")</f>
        <v/>
      </c>
      <c r="BT56" s="114" t="str">
        <f>_xlfn.IFNA(VLOOKUP($BD56,Programma!$F$3:$V$1101,17,0),"")</f>
        <v/>
      </c>
      <c r="BU56" s="114" t="str">
        <f>_xlfn.IFNA(VLOOKUP($BD56,Programma!$F$3:$W$1101,18,0),"")</f>
        <v/>
      </c>
      <c r="BV56" s="114" t="str">
        <f>_xlfn.IFNA(VLOOKUP($BD56,Programma!$F$3:$X$1101,19,0),"")</f>
        <v/>
      </c>
      <c r="BW56" s="114" t="str">
        <f>_xlfn.IFNA(VLOOKUP($BD56,Programma!$F$3:$Y$1101,20,0),"")</f>
        <v/>
      </c>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row>
    <row r="57" spans="1:220" ht="15" customHeight="1">
      <c r="A57" s="73">
        <v>1</v>
      </c>
      <c r="B57" s="105" t="str">
        <f>VLOOKUP(Ruimtestaat[[#This Row],[Code]],Locaties[[Code]:[Locatie]],2,FALSE)</f>
        <v>IKC Kameleon</v>
      </c>
      <c r="C57" s="105" t="str">
        <f>VLOOKUP(Ruimtestaat[[#This Row],[Code]],Locaties[[#All],[Code]:[Adres]],4,FALSE)</f>
        <v>Mondriaanstraat 15</v>
      </c>
      <c r="D57" s="105" t="str">
        <f>VLOOKUP(Ruimtestaat[[#This Row],[Code]],Locaties[[#All],[Code]:[Postcode]],5,FALSE)</f>
        <v>6921 MJ</v>
      </c>
      <c r="E57" s="105" t="str">
        <f>VLOOKUP(Ruimtestaat[[#This Row],[Code]],Locaties[#All],6,FALSE)</f>
        <v>Duiven</v>
      </c>
      <c r="F57" s="73" t="s">
        <v>1796</v>
      </c>
      <c r="G57" s="73" t="s">
        <v>1645</v>
      </c>
      <c r="H57" s="272"/>
      <c r="I57" s="273" t="s">
        <v>1738</v>
      </c>
      <c r="J57" s="31">
        <v>6</v>
      </c>
      <c r="K57" s="113" t="str">
        <f>VLOOKUP(Ruimtestaat[[#This Row],[Ruimte code]],Ruimtegroepen[[#All],[Code]:[Ruimte omschrijving]],2,FALSE)</f>
        <v>Gangen/hallen</v>
      </c>
      <c r="L57" s="73" t="s">
        <v>100</v>
      </c>
      <c r="M57" s="273" t="s">
        <v>1982</v>
      </c>
      <c r="N57" s="106">
        <v>18</v>
      </c>
      <c r="O57" s="73"/>
      <c r="P57" s="73"/>
      <c r="Q57" s="107" t="str">
        <f>VLOOKUP(Ruimtestaat[[#This Row],[Ruimte code]],Ruimtegroepen[],4,FALSE)</f>
        <v>Ve</v>
      </c>
      <c r="R57" s="73">
        <v>40</v>
      </c>
      <c r="S57" s="73" t="s">
        <v>2</v>
      </c>
      <c r="T57" s="73">
        <f>IF(R57&gt;0,IF(RIGHT(Ruimtestaat[[#This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 s="73">
        <f>IF(T57&gt;0,VLOOKUP($J57,Ruimtegroepen[],3,FALSE)*VLOOKUP($L57,Vloersoorten[],3,FALSE)*VLOOKUP($S57,Frequenties[],3,FALSE)*VLOOKUP($A57,Locaties[],3,FALSE),0)</f>
        <v>0</v>
      </c>
      <c r="V57" s="73">
        <f>Ruimtestaat[[#This Row],[Uitvoeringen werkdagen]]*Ruimtestaat[[#This Row],[Oppervlak (netto)]]</f>
        <v>3600</v>
      </c>
      <c r="W57" s="108">
        <f>IF(U57&gt;0,Ruimtestaat[[#This Row],[Prest. (m2 /jaar) werkdagen]]/Ruimtestaat[[#This Row],[Norm (m2/uur) werkdagen]],0)</f>
        <v>0</v>
      </c>
      <c r="X57" s="109">
        <f>Ruimtestaat[[#This Row],[uren / jaar werkdagen]]*Tariefsopbouw!$E$35</f>
        <v>0</v>
      </c>
      <c r="Y57" s="73"/>
      <c r="Z57" s="73">
        <f>IF(Ruimtestaat[[#This Row],[Frequentie weekend]]&gt;0,VALUE(LEFT(Y57,1))*R57,0)</f>
        <v>0</v>
      </c>
      <c r="AA57" s="72">
        <f>IF($Z57&gt;0,VLOOKUP($J57,Ruimtegroepen[],3,FALSE)*VLOOKUP($L57,Vloersoorten[],3,FALSE)*VLOOKUP($Y57,Frequenties[],3,FALSE)*VLOOKUP(Ruimtestaat[[#This Row],[Code]],Locaties[],3,FALSE),0)</f>
        <v>0</v>
      </c>
      <c r="AB57" s="72">
        <f>Ruimtestaat[[#This Row],[Uitvoeringen weekend]]*Ruimtestaat[[#This Row],[Oppervlak (netto)]]</f>
        <v>0</v>
      </c>
      <c r="AC57" s="72">
        <f>IF(AA57&gt;0,Ruimtestaat[[#This Row],[Prest. (m2 /jaar) weekend]]/Ruimtestaat[[#This Row],[Norm (m2/uur) weekend]],0)</f>
        <v>0</v>
      </c>
      <c r="AD57" s="109">
        <f>Ruimtestaat[[#This Row],[uren / jaar weekend]]*Tariefsopbouw!$D$40</f>
        <v>0</v>
      </c>
      <c r="AE57" s="108">
        <f>Ruimtestaat[[#This Row],[Prest. (m2 /jaar) weekend]]+Ruimtestaat[[#This Row],[Prest. (m2 /jaar) werkdagen]]</f>
        <v>3600</v>
      </c>
      <c r="AF57" s="108">
        <f>Ruimtestaat[[#This Row],[uren / jaar weekend]]+Ruimtestaat[[#This Row],[uren / jaar werkdagen]]</f>
        <v>0</v>
      </c>
      <c r="AG57" s="103">
        <f>Ruimtestaat[[#This Row],[kosten / jaar weekend]]+Ruimtestaat[[#This Row],[kosten / jaar werkdagen]]</f>
        <v>0</v>
      </c>
      <c r="AH57" s="103"/>
      <c r="AI57" s="110" t="str">
        <f>IF(Ruimtestaat[[#This Row],[Frequentie werkdagen]]="","",_xlfn.CONCAT(Ruimtestaat[[#This Row],[Ruimte code]],"-",Ruimtestaat[[#This Row],[Frequentie werkdagen]]," ",Ruimtestaat[[#This Row],[Vloer code]]))</f>
        <v>6-5w L</v>
      </c>
      <c r="AJ57" s="114" t="str">
        <f>_xlfn.IFNA(VLOOKUP($AI57,Programma!$F$3:$G$1101,2,0),"")</f>
        <v>_</v>
      </c>
      <c r="AK57" s="114" t="str">
        <f>_xlfn.IFNA(VLOOKUP($AI57,Programma!$F$3:$H$1101,3,0),"")</f>
        <v>_</v>
      </c>
      <c r="AL57" s="114" t="str">
        <f>_xlfn.IFNA(VLOOKUP($AI57,Programma!$F$3:$I$1101,4,0),"")</f>
        <v>_</v>
      </c>
      <c r="AM57" s="114" t="str">
        <f>_xlfn.IFNA(VLOOKUP($AI57,Programma!$F$3:$J$1101,5,0),"")</f>
        <v>5w</v>
      </c>
      <c r="AN57" s="114" t="str">
        <f>_xlfn.IFNA(VLOOKUP($AI57,Programma!$F$3:$K$1101,6,0),"")</f>
        <v>_</v>
      </c>
      <c r="AO57" s="114" t="str">
        <f>_xlfn.IFNA(VLOOKUP($AI57,Programma!$F$3:$L$1101,7,0),"")</f>
        <v>_</v>
      </c>
      <c r="AP57" s="114" t="str">
        <f>_xlfn.IFNA(VLOOKUP($AI57,Programma!$F$3:$M$1101,8,0),"")</f>
        <v>_</v>
      </c>
      <c r="AQ57" s="114" t="str">
        <f>_xlfn.IFNA(VLOOKUP($AI57,Programma!$F$3:$N$1101,9,0),"")</f>
        <v>_</v>
      </c>
      <c r="AR57" s="114" t="str">
        <f>_xlfn.IFNA(VLOOKUP($AI57,Programma!$F$3:$O$1101,10,0),"")</f>
        <v>5w</v>
      </c>
      <c r="AS57" s="114" t="str">
        <f>_xlfn.IFNA(VLOOKUP($AI57,Programma!$F$3:$P$1101,11,0),"")</f>
        <v>5w</v>
      </c>
      <c r="AT57" s="114" t="str">
        <f>_xlfn.IFNA(VLOOKUP($AI57,Programma!$F$3:$Q$1101,12,0),"")</f>
        <v>1w</v>
      </c>
      <c r="AU57" s="114" t="str">
        <f>_xlfn.IFNA(VLOOKUP($AI57,Programma!$F$3:$R$1101,13,0),"")</f>
        <v>1w</v>
      </c>
      <c r="AV57" s="114" t="str">
        <f>_xlfn.IFNA(VLOOKUP($AI57,Programma!$F$3:$S$1101,14,0),"")</f>
        <v>1m</v>
      </c>
      <c r="AW57" s="114" t="str">
        <f>_xlfn.IFNA(VLOOKUP($AI57,Programma!$F$3:$T$1101,15,0),"")</f>
        <v>2j</v>
      </c>
      <c r="AX57" s="114" t="str">
        <f>_xlfn.IFNA(VLOOKUP($AI57,Programma!$F$3:$U$1101,16,0),"")</f>
        <v>1j</v>
      </c>
      <c r="AY57" s="114" t="str">
        <f>_xlfn.IFNA(VLOOKUP($AI57,Programma!$F$3:$V$1101,17,0),"")</f>
        <v>_</v>
      </c>
      <c r="AZ57" s="114" t="str">
        <f>_xlfn.IFNA(VLOOKUP($AI57,Programma!$F$3:$W$1101,18,0),"")</f>
        <v>_</v>
      </c>
      <c r="BA57" s="114" t="str">
        <f>_xlfn.IFNA(VLOOKUP($AI57,Programma!$F$3:$X$1101,19,0),"")</f>
        <v>_</v>
      </c>
      <c r="BB57" s="114" t="str">
        <f>_xlfn.IFNA(VLOOKUP($AI57,Programma!$F$3:$Y$1101,20,0),"")</f>
        <v>_</v>
      </c>
      <c r="BC57" s="111"/>
      <c r="BD57" s="110" t="str">
        <f>IF(Ruimtestaat[[#This Row],[Frequentie weekend]]="","",_xlfn.CONCAT(Ruimtestaat[[#This Row],[Ruimte code]],"-",Ruimtestaat[[#This Row],[Frequentie weekend]]," ",Ruimtestaat[[#This Row],[Vloer code]]))</f>
        <v/>
      </c>
      <c r="BE57" s="114" t="str">
        <f>_xlfn.IFNA(VLOOKUP($BD57,Programma!$F$3:$G$1101,2,0),"")</f>
        <v/>
      </c>
      <c r="BF57" s="114" t="str">
        <f>_xlfn.IFNA(VLOOKUP($BD57,Programma!$F$3:$H$1101,3,0),"")</f>
        <v/>
      </c>
      <c r="BG57" s="114" t="str">
        <f>_xlfn.IFNA(VLOOKUP($BD57,Programma!$F$3:$I$1101,4,0),"")</f>
        <v/>
      </c>
      <c r="BH57" s="114" t="str">
        <f>_xlfn.IFNA(VLOOKUP($BD57,Programma!$F$3:$J$1101,5,0),"")</f>
        <v/>
      </c>
      <c r="BI57" s="114" t="str">
        <f>_xlfn.IFNA(VLOOKUP($BD57,Programma!$F$3:$K$1101,6,0),"")</f>
        <v/>
      </c>
      <c r="BJ57" s="114" t="str">
        <f>_xlfn.IFNA(VLOOKUP($BD57,Programma!$F$3:$L$1101,7,0),"")</f>
        <v/>
      </c>
      <c r="BK57" s="114" t="str">
        <f>_xlfn.IFNA(VLOOKUP($BD57,Programma!$F$3:$M$1101,8,0),"")</f>
        <v/>
      </c>
      <c r="BL57" s="114" t="str">
        <f>_xlfn.IFNA(VLOOKUP($BD57,Programma!$F$3:$N$1101,9,0),"")</f>
        <v/>
      </c>
      <c r="BM57" s="114" t="str">
        <f>_xlfn.IFNA(VLOOKUP($BD57,Programma!$F$3:$O$1101,10,0),"")</f>
        <v/>
      </c>
      <c r="BN57" s="114" t="str">
        <f>_xlfn.IFNA(VLOOKUP($BD57,Programma!$F$3:$P$1101,11,0),"")</f>
        <v/>
      </c>
      <c r="BO57" s="114" t="str">
        <f>_xlfn.IFNA(VLOOKUP($BD57,Programma!$F$3:$Q$1101,12,0),"")</f>
        <v/>
      </c>
      <c r="BP57" s="114" t="str">
        <f>_xlfn.IFNA(VLOOKUP($BD57,Programma!$F$3:$R$1101,13,0),"")</f>
        <v/>
      </c>
      <c r="BQ57" s="114" t="str">
        <f>_xlfn.IFNA(VLOOKUP($BD57,Programma!$F$3:$S$1101,14,0),"")</f>
        <v/>
      </c>
      <c r="BR57" s="114" t="str">
        <f>_xlfn.IFNA(VLOOKUP($BD57,Programma!$F$3:$T$1101,15,0),"")</f>
        <v/>
      </c>
      <c r="BS57" s="114" t="str">
        <f>_xlfn.IFNA(VLOOKUP($BD57,Programma!$F$3:$U$1101,16,0),"")</f>
        <v/>
      </c>
      <c r="BT57" s="114" t="str">
        <f>_xlfn.IFNA(VLOOKUP($BD57,Programma!$F$3:$V$1101,17,0),"")</f>
        <v/>
      </c>
      <c r="BU57" s="114" t="str">
        <f>_xlfn.IFNA(VLOOKUP($BD57,Programma!$F$3:$W$1101,18,0),"")</f>
        <v/>
      </c>
      <c r="BV57" s="114" t="str">
        <f>_xlfn.IFNA(VLOOKUP($BD57,Programma!$F$3:$X$1101,19,0),"")</f>
        <v/>
      </c>
      <c r="BW57" s="114" t="str">
        <f>_xlfn.IFNA(VLOOKUP($BD57,Programma!$F$3:$Y$1101,20,0),"")</f>
        <v/>
      </c>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row>
    <row r="58" spans="1:220" ht="15" customHeight="1">
      <c r="A58" s="73">
        <v>1</v>
      </c>
      <c r="B58" s="105" t="str">
        <f>VLOOKUP(Ruimtestaat[[#This Row],[Code]],Locaties[[Code]:[Locatie]],2,FALSE)</f>
        <v>IKC Kameleon</v>
      </c>
      <c r="C58" s="105" t="str">
        <f>VLOOKUP(Ruimtestaat[[#This Row],[Code]],Locaties[[#All],[Code]:[Adres]],4,FALSE)</f>
        <v>Mondriaanstraat 15</v>
      </c>
      <c r="D58" s="105" t="str">
        <f>VLOOKUP(Ruimtestaat[[#This Row],[Code]],Locaties[[#All],[Code]:[Postcode]],5,FALSE)</f>
        <v>6921 MJ</v>
      </c>
      <c r="E58" s="105" t="str">
        <f>VLOOKUP(Ruimtestaat[[#This Row],[Code]],Locaties[#All],6,FALSE)</f>
        <v>Duiven</v>
      </c>
      <c r="F58" s="73" t="s">
        <v>1796</v>
      </c>
      <c r="G58" s="73" t="s">
        <v>1645</v>
      </c>
      <c r="H58" s="272"/>
      <c r="I58" s="273" t="s">
        <v>1995</v>
      </c>
      <c r="J58" s="31">
        <v>2</v>
      </c>
      <c r="K58" s="113" t="str">
        <f>VLOOKUP(Ruimtestaat[[#This Row],[Ruimte code]],Ruimtegroepen[[#All],[Code]:[Ruimte omschrijving]],2,FALSE)</f>
        <v>Kantoren</v>
      </c>
      <c r="L58" s="73" t="s">
        <v>100</v>
      </c>
      <c r="M58" s="273" t="s">
        <v>1982</v>
      </c>
      <c r="N58" s="106">
        <v>8</v>
      </c>
      <c r="O58" s="73"/>
      <c r="P58" s="73"/>
      <c r="Q58" s="107" t="str">
        <f>VLOOKUP(Ruimtestaat[[#This Row],[Ruimte code]],Ruimtegroepen[],4,FALSE)</f>
        <v>Bu</v>
      </c>
      <c r="R58" s="73">
        <v>40</v>
      </c>
      <c r="S58" s="73" t="s">
        <v>15</v>
      </c>
      <c r="T58" s="73">
        <f>IF(R58&gt;0,IF(RIGHT(Ruimtestaat[[#This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58" s="73">
        <f>IF(T58&gt;0,VLOOKUP($J58,Ruimtegroepen[],3,FALSE)*VLOOKUP($L58,Vloersoorten[],3,FALSE)*VLOOKUP($S58,Frequenties[],3,FALSE)*VLOOKUP($A58,Locaties[],3,FALSE),0)</f>
        <v>0</v>
      </c>
      <c r="V58" s="73">
        <f>Ruimtestaat[[#This Row],[Uitvoeringen werkdagen]]*Ruimtestaat[[#This Row],[Oppervlak (netto)]]</f>
        <v>320</v>
      </c>
      <c r="W58" s="108">
        <f>IF(U58&gt;0,Ruimtestaat[[#This Row],[Prest. (m2 /jaar) werkdagen]]/Ruimtestaat[[#This Row],[Norm (m2/uur) werkdagen]],0)</f>
        <v>0</v>
      </c>
      <c r="X58" s="109">
        <f>Ruimtestaat[[#This Row],[uren / jaar werkdagen]]*Tariefsopbouw!$E$35</f>
        <v>0</v>
      </c>
      <c r="Y58" s="73"/>
      <c r="Z58" s="73">
        <f>IF(Ruimtestaat[[#This Row],[Frequentie weekend]]&gt;0,VALUE(LEFT(Y58,1))*R58,0)</f>
        <v>0</v>
      </c>
      <c r="AA58" s="72">
        <f>IF($Z58&gt;0,VLOOKUP($J58,Ruimtegroepen[],3,FALSE)*VLOOKUP($L58,Vloersoorten[],3,FALSE)*VLOOKUP($Y58,Frequenties[],3,FALSE)*VLOOKUP(#REF!,Locaties[],3,FALSE),0)</f>
        <v>0</v>
      </c>
      <c r="AB58" s="72">
        <f>Ruimtestaat[[#This Row],[Uitvoeringen weekend]]*Ruimtestaat[[#This Row],[Oppervlak (netto)]]</f>
        <v>0</v>
      </c>
      <c r="AC58" s="72">
        <f>IF(AA58&gt;0,Ruimtestaat[[#This Row],[Prest. (m2 /jaar) weekend]]/Ruimtestaat[[#This Row],[Norm (m2/uur) weekend]],0)</f>
        <v>0</v>
      </c>
      <c r="AD58" s="109">
        <f>Ruimtestaat[[#This Row],[uren / jaar weekend]]*Tariefsopbouw!$D$40</f>
        <v>0</v>
      </c>
      <c r="AE58" s="108">
        <f>Ruimtestaat[[#This Row],[Prest. (m2 /jaar) weekend]]+Ruimtestaat[[#This Row],[Prest. (m2 /jaar) werkdagen]]</f>
        <v>320</v>
      </c>
      <c r="AF58" s="108">
        <f>Ruimtestaat[[#This Row],[uren / jaar weekend]]+Ruimtestaat[[#This Row],[uren / jaar werkdagen]]</f>
        <v>0</v>
      </c>
      <c r="AG58" s="103">
        <f>Ruimtestaat[[#This Row],[kosten / jaar weekend]]+Ruimtestaat[[#This Row],[kosten / jaar werkdagen]]</f>
        <v>0</v>
      </c>
      <c r="AH58" s="103"/>
      <c r="AI58" s="110" t="str">
        <f>IF(Ruimtestaat[[#This Row],[Frequentie werkdagen]]="","",_xlfn.CONCAT(Ruimtestaat[[#This Row],[Ruimte code]],"-",Ruimtestaat[[#This Row],[Frequentie werkdagen]]," ",Ruimtestaat[[#This Row],[Vloer code]]))</f>
        <v>2-1w L</v>
      </c>
      <c r="AJ58" s="114" t="str">
        <f>_xlfn.IFNA(VLOOKUP($AI58,Programma!$F$3:$G$1101,2,0),"")</f>
        <v>_</v>
      </c>
      <c r="AK58" s="114" t="str">
        <f>_xlfn.IFNA(VLOOKUP($AI58,Programma!$F$3:$H$1101,3,0),"")</f>
        <v>_</v>
      </c>
      <c r="AL58" s="114" t="str">
        <f>_xlfn.IFNA(VLOOKUP($AI58,Programma!$F$3:$I$1101,4,0),"")</f>
        <v>_</v>
      </c>
      <c r="AM58" s="114" t="str">
        <f>_xlfn.IFNA(VLOOKUP($AI58,Programma!$F$3:$J$1101,5,0),"")</f>
        <v>1w</v>
      </c>
      <c r="AN58" s="114" t="str">
        <f>_xlfn.IFNA(VLOOKUP($AI58,Programma!$F$3:$K$1101,6,0),"")</f>
        <v>_</v>
      </c>
      <c r="AO58" s="114" t="str">
        <f>_xlfn.IFNA(VLOOKUP($AI58,Programma!$F$3:$L$1101,7,0),"")</f>
        <v>_</v>
      </c>
      <c r="AP58" s="114" t="str">
        <f>_xlfn.IFNA(VLOOKUP($AI58,Programma!$F$3:$M$1101,8,0),"")</f>
        <v>_</v>
      </c>
      <c r="AQ58" s="114" t="str">
        <f>_xlfn.IFNA(VLOOKUP($AI58,Programma!$F$3:$N$1101,9,0),"")</f>
        <v>_</v>
      </c>
      <c r="AR58" s="114" t="str">
        <f>_xlfn.IFNA(VLOOKUP($AI58,Programma!$F$3:$O$1101,10,0),"")</f>
        <v>1w</v>
      </c>
      <c r="AS58" s="114" t="str">
        <f>_xlfn.IFNA(VLOOKUP($AI58,Programma!$F$3:$P$1101,11,0),"")</f>
        <v>1w</v>
      </c>
      <c r="AT58" s="114" t="str">
        <f>_xlfn.IFNA(VLOOKUP($AI58,Programma!$F$3:$Q$1101,12,0),"")</f>
        <v>1w</v>
      </c>
      <c r="AU58" s="114" t="str">
        <f>_xlfn.IFNA(VLOOKUP($AI58,Programma!$F$3:$R$1101,13,0),"")</f>
        <v>1w</v>
      </c>
      <c r="AV58" s="114" t="str">
        <f>_xlfn.IFNA(VLOOKUP($AI58,Programma!$F$3:$S$1101,14,0),"")</f>
        <v>1m</v>
      </c>
      <c r="AW58" s="114" t="str">
        <f>_xlfn.IFNA(VLOOKUP($AI58,Programma!$F$3:$T$1101,15,0),"")</f>
        <v>2j</v>
      </c>
      <c r="AX58" s="114" t="str">
        <f>_xlfn.IFNA(VLOOKUP($AI58,Programma!$F$3:$U$1101,16,0),"")</f>
        <v>1j</v>
      </c>
      <c r="AY58" s="114" t="str">
        <f>_xlfn.IFNA(VLOOKUP($AI58,Programma!$F$3:$V$1101,17,0),"")</f>
        <v>_</v>
      </c>
      <c r="AZ58" s="114" t="str">
        <f>_xlfn.IFNA(VLOOKUP($AI58,Programma!$F$3:$W$1101,18,0),"")</f>
        <v>_</v>
      </c>
      <c r="BA58" s="114" t="str">
        <f>_xlfn.IFNA(VLOOKUP($AI58,Programma!$F$3:$X$1101,19,0),"")</f>
        <v>_</v>
      </c>
      <c r="BB58" s="114" t="str">
        <f>_xlfn.IFNA(VLOOKUP($AI58,Programma!$F$3:$Y$1101,20,0),"")</f>
        <v>_</v>
      </c>
      <c r="BC58" s="111"/>
      <c r="BD58" s="110" t="str">
        <f>IF(Ruimtestaat[[#This Row],[Frequentie weekend]]="","",_xlfn.CONCAT(Ruimtestaat[[#This Row],[Ruimte code]],"-",Ruimtestaat[[#This Row],[Frequentie weekend]]," ",Ruimtestaat[[#This Row],[Vloer code]]))</f>
        <v/>
      </c>
      <c r="BE58" s="114" t="str">
        <f>_xlfn.IFNA(VLOOKUP($BD58,Programma!$F$3:$G$1101,2,0),"")</f>
        <v/>
      </c>
      <c r="BF58" s="114" t="str">
        <f>_xlfn.IFNA(VLOOKUP($BD58,Programma!$F$3:$H$1101,3,0),"")</f>
        <v/>
      </c>
      <c r="BG58" s="114" t="str">
        <f>_xlfn.IFNA(VLOOKUP($BD58,Programma!$F$3:$I$1101,4,0),"")</f>
        <v/>
      </c>
      <c r="BH58" s="114" t="str">
        <f>_xlfn.IFNA(VLOOKUP($BD58,Programma!$F$3:$J$1101,5,0),"")</f>
        <v/>
      </c>
      <c r="BI58" s="114" t="str">
        <f>_xlfn.IFNA(VLOOKUP($BD58,Programma!$F$3:$K$1101,6,0),"")</f>
        <v/>
      </c>
      <c r="BJ58" s="114" t="str">
        <f>_xlfn.IFNA(VLOOKUP($BD58,Programma!$F$3:$L$1101,7,0),"")</f>
        <v/>
      </c>
      <c r="BK58" s="114" t="str">
        <f>_xlfn.IFNA(VLOOKUP($BD58,Programma!$F$3:$M$1101,8,0),"")</f>
        <v/>
      </c>
      <c r="BL58" s="114" t="str">
        <f>_xlfn.IFNA(VLOOKUP($BD58,Programma!$F$3:$N$1101,9,0),"")</f>
        <v/>
      </c>
      <c r="BM58" s="114" t="str">
        <f>_xlfn.IFNA(VLOOKUP($BD58,Programma!$F$3:$O$1101,10,0),"")</f>
        <v/>
      </c>
      <c r="BN58" s="114" t="str">
        <f>_xlfn.IFNA(VLOOKUP($BD58,Programma!$F$3:$P$1101,11,0),"")</f>
        <v/>
      </c>
      <c r="BO58" s="114" t="str">
        <f>_xlfn.IFNA(VLOOKUP($BD58,Programma!$F$3:$Q$1101,12,0),"")</f>
        <v/>
      </c>
      <c r="BP58" s="114" t="str">
        <f>_xlfn.IFNA(VLOOKUP($BD58,Programma!$F$3:$R$1101,13,0),"")</f>
        <v/>
      </c>
      <c r="BQ58" s="114" t="str">
        <f>_xlfn.IFNA(VLOOKUP($BD58,Programma!$F$3:$S$1101,14,0),"")</f>
        <v/>
      </c>
      <c r="BR58" s="114" t="str">
        <f>_xlfn.IFNA(VLOOKUP($BD58,Programma!$F$3:$T$1101,15,0),"")</f>
        <v/>
      </c>
      <c r="BS58" s="114" t="str">
        <f>_xlfn.IFNA(VLOOKUP($BD58,Programma!$F$3:$U$1101,16,0),"")</f>
        <v/>
      </c>
      <c r="BT58" s="114" t="str">
        <f>_xlfn.IFNA(VLOOKUP($BD58,Programma!$F$3:$V$1101,17,0),"")</f>
        <v/>
      </c>
      <c r="BU58" s="114" t="str">
        <f>_xlfn.IFNA(VLOOKUP($BD58,Programma!$F$3:$W$1101,18,0),"")</f>
        <v/>
      </c>
      <c r="BV58" s="114" t="str">
        <f>_xlfn.IFNA(VLOOKUP($BD58,Programma!$F$3:$X$1101,19,0),"")</f>
        <v/>
      </c>
      <c r="BW58" s="114" t="str">
        <f>_xlfn.IFNA(VLOOKUP($BD58,Programma!$F$3:$Y$1101,20,0),"")</f>
        <v/>
      </c>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row>
    <row r="59" spans="1:220" ht="15" customHeight="1">
      <c r="A59" s="73">
        <v>1</v>
      </c>
      <c r="B59" s="105" t="str">
        <f>VLOOKUP(Ruimtestaat[[#This Row],[Code]],Locaties[[Code]:[Locatie]],2,FALSE)</f>
        <v>IKC Kameleon</v>
      </c>
      <c r="C59" s="105" t="str">
        <f>VLOOKUP(Ruimtestaat[[#This Row],[Code]],Locaties[[#All],[Code]:[Adres]],4,FALSE)</f>
        <v>Mondriaanstraat 15</v>
      </c>
      <c r="D59" s="105" t="str">
        <f>VLOOKUP(Ruimtestaat[[#This Row],[Code]],Locaties[[#All],[Code]:[Postcode]],5,FALSE)</f>
        <v>6921 MJ</v>
      </c>
      <c r="E59" s="105" t="str">
        <f>VLOOKUP(Ruimtestaat[[#This Row],[Code]],Locaties[#All],6,FALSE)</f>
        <v>Duiven</v>
      </c>
      <c r="F59" s="73" t="s">
        <v>1796</v>
      </c>
      <c r="G59" s="73" t="s">
        <v>1645</v>
      </c>
      <c r="H59" s="272"/>
      <c r="I59" s="273" t="s">
        <v>1652</v>
      </c>
      <c r="J59" s="31">
        <v>20</v>
      </c>
      <c r="K59" s="113" t="str">
        <f>VLOOKUP(Ruimtestaat[[#This Row],[Ruimte code]],Ruimtegroepen[[#All],[Code]:[Ruimte omschrijving]],2,FALSE)</f>
        <v>Niet in Onderhoud</v>
      </c>
      <c r="L59" s="73" t="s">
        <v>100</v>
      </c>
      <c r="M59" s="273" t="s">
        <v>1982</v>
      </c>
      <c r="N59" s="106"/>
      <c r="O59" s="73"/>
      <c r="P59" s="73"/>
      <c r="Q59" s="107">
        <f>VLOOKUP(Ruimtestaat[[#This Row],[Ruimte code]],Ruimtegroepen[],4,FALSE)</f>
        <v>0</v>
      </c>
      <c r="R59" s="73"/>
      <c r="S59" s="73"/>
      <c r="T59" s="73">
        <f>IF(R59&gt;0,IF(RIGHT(Ruimtestaat[[#This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 s="73">
        <f>IF(T59&gt;0,VLOOKUP($J59,Ruimtegroepen[],3,FALSE)*VLOOKUP($L59,Vloersoorten[],3,FALSE)*VLOOKUP($S59,Frequenties[],3,FALSE)*VLOOKUP($A59,Locaties[],3,FALSE),0)</f>
        <v>0</v>
      </c>
      <c r="V59" s="73">
        <f>Ruimtestaat[[#This Row],[Uitvoeringen werkdagen]]*Ruimtestaat[[#This Row],[Oppervlak (netto)]]</f>
        <v>0</v>
      </c>
      <c r="W59" s="108">
        <f>IF(U59&gt;0,Ruimtestaat[[#This Row],[Prest. (m2 /jaar) werkdagen]]/Ruimtestaat[[#This Row],[Norm (m2/uur) werkdagen]],0)</f>
        <v>0</v>
      </c>
      <c r="X59" s="109">
        <f>Ruimtestaat[[#This Row],[uren / jaar werkdagen]]*Tariefsopbouw!$E$35</f>
        <v>0</v>
      </c>
      <c r="Y59" s="73"/>
      <c r="Z59" s="73">
        <f>IF(Ruimtestaat[[#This Row],[Frequentie weekend]]&gt;0,VALUE(LEFT(Y59,1))*R59,0)</f>
        <v>0</v>
      </c>
      <c r="AA59" s="72">
        <f>IF($Z59&gt;0,VLOOKUP($J59,Ruimtegroepen[],3,FALSE)*VLOOKUP($L59,Vloersoorten[],3,FALSE)*VLOOKUP($Y59,Frequenties[],3,FALSE)*VLOOKUP(#REF!,Locaties[],3,FALSE),0)</f>
        <v>0</v>
      </c>
      <c r="AB59" s="72">
        <f>Ruimtestaat[[#This Row],[Uitvoeringen weekend]]*Ruimtestaat[[#This Row],[Oppervlak (netto)]]</f>
        <v>0</v>
      </c>
      <c r="AC59" s="72">
        <f>IF(AA59&gt;0,Ruimtestaat[[#This Row],[Prest. (m2 /jaar) weekend]]/Ruimtestaat[[#This Row],[Norm (m2/uur) weekend]],0)</f>
        <v>0</v>
      </c>
      <c r="AD59" s="109">
        <f>Ruimtestaat[[#This Row],[uren / jaar weekend]]*Tariefsopbouw!$D$40</f>
        <v>0</v>
      </c>
      <c r="AE59" s="108">
        <f>Ruimtestaat[[#This Row],[Prest. (m2 /jaar) weekend]]+Ruimtestaat[[#This Row],[Prest. (m2 /jaar) werkdagen]]</f>
        <v>0</v>
      </c>
      <c r="AF59" s="108">
        <f>Ruimtestaat[[#This Row],[uren / jaar weekend]]+Ruimtestaat[[#This Row],[uren / jaar werkdagen]]</f>
        <v>0</v>
      </c>
      <c r="AG59" s="103">
        <f>Ruimtestaat[[#This Row],[kosten / jaar weekend]]+Ruimtestaat[[#This Row],[kosten / jaar werkdagen]]</f>
        <v>0</v>
      </c>
      <c r="AH59" s="103"/>
      <c r="AI59" s="110" t="str">
        <f>IF(Ruimtestaat[[#This Row],[Frequentie werkdagen]]="","",_xlfn.CONCAT(Ruimtestaat[[#This Row],[Ruimte code]],"-",Ruimtestaat[[#This Row],[Frequentie werkdagen]]," ",Ruimtestaat[[#This Row],[Vloer code]]))</f>
        <v/>
      </c>
      <c r="AJ59" s="114" t="str">
        <f>_xlfn.IFNA(VLOOKUP($AI59,Programma!$F$3:$G$1101,2,0),"")</f>
        <v/>
      </c>
      <c r="AK59" s="114" t="str">
        <f>_xlfn.IFNA(VLOOKUP($AI59,Programma!$F$3:$H$1101,3,0),"")</f>
        <v/>
      </c>
      <c r="AL59" s="114" t="str">
        <f>_xlfn.IFNA(VLOOKUP($AI59,Programma!$F$3:$I$1101,4,0),"")</f>
        <v/>
      </c>
      <c r="AM59" s="114" t="str">
        <f>_xlfn.IFNA(VLOOKUP($AI59,Programma!$F$3:$J$1101,5,0),"")</f>
        <v/>
      </c>
      <c r="AN59" s="114" t="str">
        <f>_xlfn.IFNA(VLOOKUP($AI59,Programma!$F$3:$K$1101,6,0),"")</f>
        <v/>
      </c>
      <c r="AO59" s="114" t="str">
        <f>_xlfn.IFNA(VLOOKUP($AI59,Programma!$F$3:$L$1101,7,0),"")</f>
        <v/>
      </c>
      <c r="AP59" s="114" t="str">
        <f>_xlfn.IFNA(VLOOKUP($AI59,Programma!$F$3:$M$1101,8,0),"")</f>
        <v/>
      </c>
      <c r="AQ59" s="114" t="str">
        <f>_xlfn.IFNA(VLOOKUP($AI59,Programma!$F$3:$N$1101,9,0),"")</f>
        <v/>
      </c>
      <c r="AR59" s="114" t="str">
        <f>_xlfn.IFNA(VLOOKUP($AI59,Programma!$F$3:$O$1101,10,0),"")</f>
        <v/>
      </c>
      <c r="AS59" s="114" t="str">
        <f>_xlfn.IFNA(VLOOKUP($AI59,Programma!$F$3:$P$1101,11,0),"")</f>
        <v/>
      </c>
      <c r="AT59" s="114" t="str">
        <f>_xlfn.IFNA(VLOOKUP($AI59,Programma!$F$3:$Q$1101,12,0),"")</f>
        <v/>
      </c>
      <c r="AU59" s="114" t="str">
        <f>_xlfn.IFNA(VLOOKUP($AI59,Programma!$F$3:$R$1101,13,0),"")</f>
        <v/>
      </c>
      <c r="AV59" s="114" t="str">
        <f>_xlfn.IFNA(VLOOKUP($AI59,Programma!$F$3:$S$1101,14,0),"")</f>
        <v/>
      </c>
      <c r="AW59" s="114" t="str">
        <f>_xlfn.IFNA(VLOOKUP($AI59,Programma!$F$3:$T$1101,15,0),"")</f>
        <v/>
      </c>
      <c r="AX59" s="114" t="str">
        <f>_xlfn.IFNA(VLOOKUP($AI59,Programma!$F$3:$U$1101,16,0),"")</f>
        <v/>
      </c>
      <c r="AY59" s="114" t="str">
        <f>_xlfn.IFNA(VLOOKUP($AI59,Programma!$F$3:$V$1101,17,0),"")</f>
        <v/>
      </c>
      <c r="AZ59" s="114" t="str">
        <f>_xlfn.IFNA(VLOOKUP($AI59,Programma!$F$3:$W$1101,18,0),"")</f>
        <v/>
      </c>
      <c r="BA59" s="114" t="str">
        <f>_xlfn.IFNA(VLOOKUP($AI59,Programma!$F$3:$X$1101,19,0),"")</f>
        <v/>
      </c>
      <c r="BB59" s="114" t="str">
        <f>_xlfn.IFNA(VLOOKUP($AI59,Programma!$F$3:$Y$1101,20,0),"")</f>
        <v/>
      </c>
      <c r="BC59" s="111"/>
      <c r="BD59" s="110" t="str">
        <f>IF(Ruimtestaat[[#This Row],[Frequentie weekend]]="","",_xlfn.CONCAT(Ruimtestaat[[#This Row],[Ruimte code]],"-",Ruimtestaat[[#This Row],[Frequentie weekend]]," ",Ruimtestaat[[#This Row],[Vloer code]]))</f>
        <v/>
      </c>
      <c r="BE59" s="114" t="str">
        <f>_xlfn.IFNA(VLOOKUP($BD59,Programma!$F$3:$G$1101,2,0),"")</f>
        <v/>
      </c>
      <c r="BF59" s="114" t="str">
        <f>_xlfn.IFNA(VLOOKUP($BD59,Programma!$F$3:$H$1101,3,0),"")</f>
        <v/>
      </c>
      <c r="BG59" s="114" t="str">
        <f>_xlfn.IFNA(VLOOKUP($BD59,Programma!$F$3:$I$1101,4,0),"")</f>
        <v/>
      </c>
      <c r="BH59" s="114" t="str">
        <f>_xlfn.IFNA(VLOOKUP($BD59,Programma!$F$3:$J$1101,5,0),"")</f>
        <v/>
      </c>
      <c r="BI59" s="114" t="str">
        <f>_xlfn.IFNA(VLOOKUP($BD59,Programma!$F$3:$K$1101,6,0),"")</f>
        <v/>
      </c>
      <c r="BJ59" s="114" t="str">
        <f>_xlfn.IFNA(VLOOKUP($BD59,Programma!$F$3:$L$1101,7,0),"")</f>
        <v/>
      </c>
      <c r="BK59" s="114" t="str">
        <f>_xlfn.IFNA(VLOOKUP($BD59,Programma!$F$3:$M$1101,8,0),"")</f>
        <v/>
      </c>
      <c r="BL59" s="114" t="str">
        <f>_xlfn.IFNA(VLOOKUP($BD59,Programma!$F$3:$N$1101,9,0),"")</f>
        <v/>
      </c>
      <c r="BM59" s="114" t="str">
        <f>_xlfn.IFNA(VLOOKUP($BD59,Programma!$F$3:$O$1101,10,0),"")</f>
        <v/>
      </c>
      <c r="BN59" s="114" t="str">
        <f>_xlfn.IFNA(VLOOKUP($BD59,Programma!$F$3:$P$1101,11,0),"")</f>
        <v/>
      </c>
      <c r="BO59" s="114" t="str">
        <f>_xlfn.IFNA(VLOOKUP($BD59,Programma!$F$3:$Q$1101,12,0),"")</f>
        <v/>
      </c>
      <c r="BP59" s="114" t="str">
        <f>_xlfn.IFNA(VLOOKUP($BD59,Programma!$F$3:$R$1101,13,0),"")</f>
        <v/>
      </c>
      <c r="BQ59" s="114" t="str">
        <f>_xlfn.IFNA(VLOOKUP($BD59,Programma!$F$3:$S$1101,14,0),"")</f>
        <v/>
      </c>
      <c r="BR59" s="114" t="str">
        <f>_xlfn.IFNA(VLOOKUP($BD59,Programma!$F$3:$T$1101,15,0),"")</f>
        <v/>
      </c>
      <c r="BS59" s="114" t="str">
        <f>_xlfn.IFNA(VLOOKUP($BD59,Programma!$F$3:$U$1101,16,0),"")</f>
        <v/>
      </c>
      <c r="BT59" s="114" t="str">
        <f>_xlfn.IFNA(VLOOKUP($BD59,Programma!$F$3:$V$1101,17,0),"")</f>
        <v/>
      </c>
      <c r="BU59" s="114" t="str">
        <f>_xlfn.IFNA(VLOOKUP($BD59,Programma!$F$3:$W$1101,18,0),"")</f>
        <v/>
      </c>
      <c r="BV59" s="114" t="str">
        <f>_xlfn.IFNA(VLOOKUP($BD59,Programma!$F$3:$X$1101,19,0),"")</f>
        <v/>
      </c>
      <c r="BW59" s="114" t="str">
        <f>_xlfn.IFNA(VLOOKUP($BD59,Programma!$F$3:$Y$1101,20,0),"")</f>
        <v/>
      </c>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row>
    <row r="60" spans="1:220" ht="15" customHeight="1">
      <c r="A60" s="73">
        <v>1</v>
      </c>
      <c r="B60" s="105" t="str">
        <f>VLOOKUP(Ruimtestaat[[#This Row],[Code]],Locaties[[Code]:[Locatie]],2,FALSE)</f>
        <v>IKC Kameleon</v>
      </c>
      <c r="C60" s="105" t="str">
        <f>VLOOKUP(Ruimtestaat[[#This Row],[Code]],Locaties[[#All],[Code]:[Adres]],4,FALSE)</f>
        <v>Mondriaanstraat 15</v>
      </c>
      <c r="D60" s="105" t="str">
        <f>VLOOKUP(Ruimtestaat[[#This Row],[Code]],Locaties[[#All],[Code]:[Postcode]],5,FALSE)</f>
        <v>6921 MJ</v>
      </c>
      <c r="E60" s="105" t="str">
        <f>VLOOKUP(Ruimtestaat[[#This Row],[Code]],Locaties[#All],6,FALSE)</f>
        <v>Duiven</v>
      </c>
      <c r="F60" s="73" t="s">
        <v>1796</v>
      </c>
      <c r="G60" s="73" t="s">
        <v>1645</v>
      </c>
      <c r="H60" s="272"/>
      <c r="I60" s="273" t="s">
        <v>1731</v>
      </c>
      <c r="J60" s="31">
        <v>16</v>
      </c>
      <c r="K60" s="113" t="str">
        <f>VLOOKUP(Ruimtestaat[[#This Row],[Ruimte code]],Ruimtegroepen[[#All],[Code]:[Ruimte omschrijving]],2,FALSE)</f>
        <v>Leslokalen</v>
      </c>
      <c r="L60" s="73" t="s">
        <v>100</v>
      </c>
      <c r="M60" s="273" t="s">
        <v>1982</v>
      </c>
      <c r="N60" s="106">
        <v>56.25</v>
      </c>
      <c r="O60" s="73"/>
      <c r="P60" s="73"/>
      <c r="Q60" s="107" t="str">
        <f>VLOOKUP(Ruimtestaat[[#This Row],[Ruimte code]],Ruimtegroepen[],4,FALSE)</f>
        <v>Le</v>
      </c>
      <c r="R60" s="73">
        <v>40</v>
      </c>
      <c r="S60" s="73" t="s">
        <v>2</v>
      </c>
      <c r="T60" s="73">
        <f>IF(R60&gt;0,IF(RIGHT(Ruimtestaat[[#This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0" s="73">
        <f>IF(T60&gt;0,VLOOKUP($J60,Ruimtegroepen[],3,FALSE)*VLOOKUP($L60,Vloersoorten[],3,FALSE)*VLOOKUP($S60,Frequenties[],3,FALSE)*VLOOKUP($A60,Locaties[],3,FALSE),0)</f>
        <v>0</v>
      </c>
      <c r="V60" s="73">
        <f>Ruimtestaat[[#This Row],[Uitvoeringen werkdagen]]*Ruimtestaat[[#This Row],[Oppervlak (netto)]]</f>
        <v>11250</v>
      </c>
      <c r="W60" s="108">
        <f>IF(U60&gt;0,Ruimtestaat[[#This Row],[Prest. (m2 /jaar) werkdagen]]/Ruimtestaat[[#This Row],[Norm (m2/uur) werkdagen]],0)</f>
        <v>0</v>
      </c>
      <c r="X60" s="109">
        <f>Ruimtestaat[[#This Row],[uren / jaar werkdagen]]*Tariefsopbouw!$E$35</f>
        <v>0</v>
      </c>
      <c r="Y60" s="73"/>
      <c r="Z60" s="73">
        <f>IF(Ruimtestaat[[#This Row],[Frequentie weekend]]&gt;0,VALUE(LEFT(Y60,1))*R60,0)</f>
        <v>0</v>
      </c>
      <c r="AA60" s="72">
        <f>IF($Z60&gt;0,VLOOKUP($J60,Ruimtegroepen[],3,FALSE)*VLOOKUP($L60,Vloersoorten[],3,FALSE)*VLOOKUP($Y60,Frequenties[],3,FALSE)*VLOOKUP(#REF!,Locaties[],3,FALSE),0)</f>
        <v>0</v>
      </c>
      <c r="AB60" s="72">
        <f>Ruimtestaat[[#This Row],[Uitvoeringen weekend]]*Ruimtestaat[[#This Row],[Oppervlak (netto)]]</f>
        <v>0</v>
      </c>
      <c r="AC60" s="72">
        <f>IF(AA60&gt;0,Ruimtestaat[[#This Row],[Prest. (m2 /jaar) weekend]]/Ruimtestaat[[#This Row],[Norm (m2/uur) weekend]],0)</f>
        <v>0</v>
      </c>
      <c r="AD60" s="109">
        <f>Ruimtestaat[[#This Row],[uren / jaar weekend]]*Tariefsopbouw!$D$40</f>
        <v>0</v>
      </c>
      <c r="AE60" s="108">
        <f>Ruimtestaat[[#This Row],[Prest. (m2 /jaar) weekend]]+Ruimtestaat[[#This Row],[Prest. (m2 /jaar) werkdagen]]</f>
        <v>11250</v>
      </c>
      <c r="AF60" s="108">
        <f>Ruimtestaat[[#This Row],[uren / jaar weekend]]+Ruimtestaat[[#This Row],[uren / jaar werkdagen]]</f>
        <v>0</v>
      </c>
      <c r="AG60" s="103">
        <f>Ruimtestaat[[#This Row],[kosten / jaar weekend]]+Ruimtestaat[[#This Row],[kosten / jaar werkdagen]]</f>
        <v>0</v>
      </c>
      <c r="AH60" s="103"/>
      <c r="AI60" s="110" t="str">
        <f>IF(Ruimtestaat[[#This Row],[Frequentie werkdagen]]="","",_xlfn.CONCAT(Ruimtestaat[[#This Row],[Ruimte code]],"-",Ruimtestaat[[#This Row],[Frequentie werkdagen]]," ",Ruimtestaat[[#This Row],[Vloer code]]))</f>
        <v>16-5w L</v>
      </c>
      <c r="AJ60" s="114" t="str">
        <f>_xlfn.IFNA(VLOOKUP($AI60,Programma!$F$3:$G$1101,2,0),"")</f>
        <v>_</v>
      </c>
      <c r="AK60" s="114" t="str">
        <f>_xlfn.IFNA(VLOOKUP($AI60,Programma!$F$3:$H$1101,3,0),"")</f>
        <v>_</v>
      </c>
      <c r="AL60" s="114" t="str">
        <f>_xlfn.IFNA(VLOOKUP($AI60,Programma!$F$3:$I$1101,4,0),"")</f>
        <v>4w</v>
      </c>
      <c r="AM60" s="114" t="str">
        <f>_xlfn.IFNA(VLOOKUP($AI60,Programma!$F$3:$J$1101,5,0),"")</f>
        <v>1w</v>
      </c>
      <c r="AN60" s="114" t="str">
        <f>_xlfn.IFNA(VLOOKUP($AI60,Programma!$F$3:$K$1101,6,0),"")</f>
        <v>_</v>
      </c>
      <c r="AO60" s="114" t="str">
        <f>_xlfn.IFNA(VLOOKUP($AI60,Programma!$F$3:$L$1101,7,0),"")</f>
        <v>_</v>
      </c>
      <c r="AP60" s="114" t="str">
        <f>_xlfn.IFNA(VLOOKUP($AI60,Programma!$F$3:$M$1101,8,0),"")</f>
        <v>_</v>
      </c>
      <c r="AQ60" s="114" t="str">
        <f>_xlfn.IFNA(VLOOKUP($AI60,Programma!$F$3:$N$1101,9,0),"")</f>
        <v>_</v>
      </c>
      <c r="AR60" s="114" t="str">
        <f>_xlfn.IFNA(VLOOKUP($AI60,Programma!$F$3:$O$1101,10,0),"")</f>
        <v>5w</v>
      </c>
      <c r="AS60" s="114" t="str">
        <f>_xlfn.IFNA(VLOOKUP($AI60,Programma!$F$3:$P$1101,11,0),"")</f>
        <v>5w</v>
      </c>
      <c r="AT60" s="114" t="str">
        <f>_xlfn.IFNA(VLOOKUP($AI60,Programma!$F$3:$Q$1101,12,0),"")</f>
        <v>1w</v>
      </c>
      <c r="AU60" s="114" t="str">
        <f>_xlfn.IFNA(VLOOKUP($AI60,Programma!$F$3:$R$1101,13,0),"")</f>
        <v>1w</v>
      </c>
      <c r="AV60" s="114" t="str">
        <f>_xlfn.IFNA(VLOOKUP($AI60,Programma!$F$3:$S$1101,14,0),"")</f>
        <v>1m</v>
      </c>
      <c r="AW60" s="114" t="str">
        <f>_xlfn.IFNA(VLOOKUP($AI60,Programma!$F$3:$T$1101,15,0),"")</f>
        <v>2j</v>
      </c>
      <c r="AX60" s="114" t="str">
        <f>_xlfn.IFNA(VLOOKUP($AI60,Programma!$F$3:$U$1101,16,0),"")</f>
        <v>1j</v>
      </c>
      <c r="AY60" s="114" t="str">
        <f>_xlfn.IFNA(VLOOKUP($AI60,Programma!$F$3:$V$1101,17,0),"")</f>
        <v>_</v>
      </c>
      <c r="AZ60" s="114" t="str">
        <f>_xlfn.IFNA(VLOOKUP($AI60,Programma!$F$3:$W$1101,18,0),"")</f>
        <v>_</v>
      </c>
      <c r="BA60" s="114" t="str">
        <f>_xlfn.IFNA(VLOOKUP($AI60,Programma!$F$3:$X$1101,19,0),"")</f>
        <v>_</v>
      </c>
      <c r="BB60" s="114" t="str">
        <f>_xlfn.IFNA(VLOOKUP($AI60,Programma!$F$3:$Y$1101,20,0),"")</f>
        <v>_</v>
      </c>
      <c r="BC60" s="111"/>
      <c r="BD60" s="110" t="str">
        <f>IF(Ruimtestaat[[#This Row],[Frequentie weekend]]="","",_xlfn.CONCAT(Ruimtestaat[[#This Row],[Ruimte code]],"-",Ruimtestaat[[#This Row],[Frequentie weekend]]," ",Ruimtestaat[[#This Row],[Vloer code]]))</f>
        <v/>
      </c>
      <c r="BE60" s="114" t="str">
        <f>_xlfn.IFNA(VLOOKUP($BD60,Programma!$F$3:$G$1101,2,0),"")</f>
        <v/>
      </c>
      <c r="BF60" s="114" t="str">
        <f>_xlfn.IFNA(VLOOKUP($BD60,Programma!$F$3:$H$1101,3,0),"")</f>
        <v/>
      </c>
      <c r="BG60" s="114" t="str">
        <f>_xlfn.IFNA(VLOOKUP($BD60,Programma!$F$3:$I$1101,4,0),"")</f>
        <v/>
      </c>
      <c r="BH60" s="114" t="str">
        <f>_xlfn.IFNA(VLOOKUP($BD60,Programma!$F$3:$J$1101,5,0),"")</f>
        <v/>
      </c>
      <c r="BI60" s="114" t="str">
        <f>_xlfn.IFNA(VLOOKUP($BD60,Programma!$F$3:$K$1101,6,0),"")</f>
        <v/>
      </c>
      <c r="BJ60" s="114" t="str">
        <f>_xlfn.IFNA(VLOOKUP($BD60,Programma!$F$3:$L$1101,7,0),"")</f>
        <v/>
      </c>
      <c r="BK60" s="114" t="str">
        <f>_xlfn.IFNA(VLOOKUP($BD60,Programma!$F$3:$M$1101,8,0),"")</f>
        <v/>
      </c>
      <c r="BL60" s="114" t="str">
        <f>_xlfn.IFNA(VLOOKUP($BD60,Programma!$F$3:$N$1101,9,0),"")</f>
        <v/>
      </c>
      <c r="BM60" s="114" t="str">
        <f>_xlfn.IFNA(VLOOKUP($BD60,Programma!$F$3:$O$1101,10,0),"")</f>
        <v/>
      </c>
      <c r="BN60" s="114" t="str">
        <f>_xlfn.IFNA(VLOOKUP($BD60,Programma!$F$3:$P$1101,11,0),"")</f>
        <v/>
      </c>
      <c r="BO60" s="114" t="str">
        <f>_xlfn.IFNA(VLOOKUP($BD60,Programma!$F$3:$Q$1101,12,0),"")</f>
        <v/>
      </c>
      <c r="BP60" s="114" t="str">
        <f>_xlfn.IFNA(VLOOKUP($BD60,Programma!$F$3:$R$1101,13,0),"")</f>
        <v/>
      </c>
      <c r="BQ60" s="114" t="str">
        <f>_xlfn.IFNA(VLOOKUP($BD60,Programma!$F$3:$S$1101,14,0),"")</f>
        <v/>
      </c>
      <c r="BR60" s="114" t="str">
        <f>_xlfn.IFNA(VLOOKUP($BD60,Programma!$F$3:$T$1101,15,0),"")</f>
        <v/>
      </c>
      <c r="BS60" s="114" t="str">
        <f>_xlfn.IFNA(VLOOKUP($BD60,Programma!$F$3:$U$1101,16,0),"")</f>
        <v/>
      </c>
      <c r="BT60" s="114" t="str">
        <f>_xlfn.IFNA(VLOOKUP($BD60,Programma!$F$3:$V$1101,17,0),"")</f>
        <v/>
      </c>
      <c r="BU60" s="114" t="str">
        <f>_xlfn.IFNA(VLOOKUP($BD60,Programma!$F$3:$W$1101,18,0),"")</f>
        <v/>
      </c>
      <c r="BV60" s="114" t="str">
        <f>_xlfn.IFNA(VLOOKUP($BD60,Programma!$F$3:$X$1101,19,0),"")</f>
        <v/>
      </c>
      <c r="BW60" s="114" t="str">
        <f>_xlfn.IFNA(VLOOKUP($BD60,Programma!$F$3:$Y$1101,20,0),"")</f>
        <v/>
      </c>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row>
    <row r="61" spans="1:220" ht="15" customHeight="1">
      <c r="A61" s="73">
        <v>1</v>
      </c>
      <c r="B61" s="105" t="str">
        <f>VLOOKUP(Ruimtestaat[[#This Row],[Code]],Locaties[[Code]:[Locatie]],2,FALSE)</f>
        <v>IKC Kameleon</v>
      </c>
      <c r="C61" s="105" t="str">
        <f>VLOOKUP(Ruimtestaat[[#This Row],[Code]],Locaties[[#All],[Code]:[Adres]],4,FALSE)</f>
        <v>Mondriaanstraat 15</v>
      </c>
      <c r="D61" s="105" t="str">
        <f>VLOOKUP(Ruimtestaat[[#This Row],[Code]],Locaties[[#All],[Code]:[Postcode]],5,FALSE)</f>
        <v>6921 MJ</v>
      </c>
      <c r="E61" s="105" t="str">
        <f>VLOOKUP(Ruimtestaat[[#This Row],[Code]],Locaties[#All],6,FALSE)</f>
        <v>Duiven</v>
      </c>
      <c r="F61" s="73" t="s">
        <v>1796</v>
      </c>
      <c r="G61" s="73" t="s">
        <v>1645</v>
      </c>
      <c r="H61" s="272"/>
      <c r="I61" s="273" t="s">
        <v>1734</v>
      </c>
      <c r="J61" s="31">
        <v>16</v>
      </c>
      <c r="K61" s="113" t="str">
        <f>VLOOKUP(Ruimtestaat[[#This Row],[Ruimte code]],Ruimtegroepen[[#All],[Code]:[Ruimte omschrijving]],2,FALSE)</f>
        <v>Leslokalen</v>
      </c>
      <c r="L61" s="73" t="s">
        <v>100</v>
      </c>
      <c r="M61" s="273" t="s">
        <v>1982</v>
      </c>
      <c r="N61" s="106">
        <v>56.25</v>
      </c>
      <c r="O61" s="73"/>
      <c r="P61" s="73"/>
      <c r="Q61" s="107" t="str">
        <f>VLOOKUP(Ruimtestaat[[#This Row],[Ruimte code]],Ruimtegroepen[],4,FALSE)</f>
        <v>Le</v>
      </c>
      <c r="R61" s="73">
        <v>40</v>
      </c>
      <c r="S61" s="73" t="s">
        <v>2</v>
      </c>
      <c r="T61" s="73">
        <f>IF(R61&gt;0,IF(RIGHT(Ruimtestaat[[#This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1" s="73">
        <f>IF(T61&gt;0,VLOOKUP($J61,Ruimtegroepen[],3,FALSE)*VLOOKUP($L61,Vloersoorten[],3,FALSE)*VLOOKUP($S61,Frequenties[],3,FALSE)*VLOOKUP($A61,Locaties[],3,FALSE),0)</f>
        <v>0</v>
      </c>
      <c r="V61" s="73">
        <f>Ruimtestaat[[#This Row],[Uitvoeringen werkdagen]]*Ruimtestaat[[#This Row],[Oppervlak (netto)]]</f>
        <v>11250</v>
      </c>
      <c r="W61" s="108">
        <f>IF(U61&gt;0,Ruimtestaat[[#This Row],[Prest. (m2 /jaar) werkdagen]]/Ruimtestaat[[#This Row],[Norm (m2/uur) werkdagen]],0)</f>
        <v>0</v>
      </c>
      <c r="X61" s="109">
        <f>Ruimtestaat[[#This Row],[uren / jaar werkdagen]]*Tariefsopbouw!$E$35</f>
        <v>0</v>
      </c>
      <c r="Y61" s="73"/>
      <c r="Z61" s="73">
        <f>IF(Ruimtestaat[[#This Row],[Frequentie weekend]]&gt;0,VALUE(LEFT(Y61,1))*R61,0)</f>
        <v>0</v>
      </c>
      <c r="AA61" s="72">
        <f>IF($Z61&gt;0,VLOOKUP($J61,Ruimtegroepen[],3,FALSE)*VLOOKUP($L61,Vloersoorten[],3,FALSE)*VLOOKUP($Y61,Frequenties[],3,FALSE)*VLOOKUP(#REF!,Locaties[],3,FALSE),0)</f>
        <v>0</v>
      </c>
      <c r="AB61" s="72">
        <f>Ruimtestaat[[#This Row],[Uitvoeringen weekend]]*Ruimtestaat[[#This Row],[Oppervlak (netto)]]</f>
        <v>0</v>
      </c>
      <c r="AC61" s="72">
        <f>IF(AA61&gt;0,Ruimtestaat[[#This Row],[Prest. (m2 /jaar) weekend]]/Ruimtestaat[[#This Row],[Norm (m2/uur) weekend]],0)</f>
        <v>0</v>
      </c>
      <c r="AD61" s="109">
        <f>Ruimtestaat[[#This Row],[uren / jaar weekend]]*Tariefsopbouw!$D$40</f>
        <v>0</v>
      </c>
      <c r="AE61" s="108">
        <f>Ruimtestaat[[#This Row],[Prest. (m2 /jaar) weekend]]+Ruimtestaat[[#This Row],[Prest. (m2 /jaar) werkdagen]]</f>
        <v>11250</v>
      </c>
      <c r="AF61" s="108">
        <f>Ruimtestaat[[#This Row],[uren / jaar weekend]]+Ruimtestaat[[#This Row],[uren / jaar werkdagen]]</f>
        <v>0</v>
      </c>
      <c r="AG61" s="103">
        <f>Ruimtestaat[[#This Row],[kosten / jaar weekend]]+Ruimtestaat[[#This Row],[kosten / jaar werkdagen]]</f>
        <v>0</v>
      </c>
      <c r="AH61" s="103"/>
      <c r="AI61" s="110" t="str">
        <f>IF(Ruimtestaat[[#This Row],[Frequentie werkdagen]]="","",_xlfn.CONCAT(Ruimtestaat[[#This Row],[Ruimte code]],"-",Ruimtestaat[[#This Row],[Frequentie werkdagen]]," ",Ruimtestaat[[#This Row],[Vloer code]]))</f>
        <v>16-5w L</v>
      </c>
      <c r="AJ61" s="114" t="str">
        <f>_xlfn.IFNA(VLOOKUP($AI61,Programma!$F$3:$G$1101,2,0),"")</f>
        <v>_</v>
      </c>
      <c r="AK61" s="114" t="str">
        <f>_xlfn.IFNA(VLOOKUP($AI61,Programma!$F$3:$H$1101,3,0),"")</f>
        <v>_</v>
      </c>
      <c r="AL61" s="114" t="str">
        <f>_xlfn.IFNA(VLOOKUP($AI61,Programma!$F$3:$I$1101,4,0),"")</f>
        <v>4w</v>
      </c>
      <c r="AM61" s="114" t="str">
        <f>_xlfn.IFNA(VLOOKUP($AI61,Programma!$F$3:$J$1101,5,0),"")</f>
        <v>1w</v>
      </c>
      <c r="AN61" s="114" t="str">
        <f>_xlfn.IFNA(VLOOKUP($AI61,Programma!$F$3:$K$1101,6,0),"")</f>
        <v>_</v>
      </c>
      <c r="AO61" s="114" t="str">
        <f>_xlfn.IFNA(VLOOKUP($AI61,Programma!$F$3:$L$1101,7,0),"")</f>
        <v>_</v>
      </c>
      <c r="AP61" s="114" t="str">
        <f>_xlfn.IFNA(VLOOKUP($AI61,Programma!$F$3:$M$1101,8,0),"")</f>
        <v>_</v>
      </c>
      <c r="AQ61" s="114" t="str">
        <f>_xlfn.IFNA(VLOOKUP($AI61,Programma!$F$3:$N$1101,9,0),"")</f>
        <v>_</v>
      </c>
      <c r="AR61" s="114" t="str">
        <f>_xlfn.IFNA(VLOOKUP($AI61,Programma!$F$3:$O$1101,10,0),"")</f>
        <v>5w</v>
      </c>
      <c r="AS61" s="114" t="str">
        <f>_xlfn.IFNA(VLOOKUP($AI61,Programma!$F$3:$P$1101,11,0),"")</f>
        <v>5w</v>
      </c>
      <c r="AT61" s="114" t="str">
        <f>_xlfn.IFNA(VLOOKUP($AI61,Programma!$F$3:$Q$1101,12,0),"")</f>
        <v>1w</v>
      </c>
      <c r="AU61" s="114" t="str">
        <f>_xlfn.IFNA(VLOOKUP($AI61,Programma!$F$3:$R$1101,13,0),"")</f>
        <v>1w</v>
      </c>
      <c r="AV61" s="114" t="str">
        <f>_xlfn.IFNA(VLOOKUP($AI61,Programma!$F$3:$S$1101,14,0),"")</f>
        <v>1m</v>
      </c>
      <c r="AW61" s="114" t="str">
        <f>_xlfn.IFNA(VLOOKUP($AI61,Programma!$F$3:$T$1101,15,0),"")</f>
        <v>2j</v>
      </c>
      <c r="AX61" s="114" t="str">
        <f>_xlfn.IFNA(VLOOKUP($AI61,Programma!$F$3:$U$1101,16,0),"")</f>
        <v>1j</v>
      </c>
      <c r="AY61" s="114" t="str">
        <f>_xlfn.IFNA(VLOOKUP($AI61,Programma!$F$3:$V$1101,17,0),"")</f>
        <v>_</v>
      </c>
      <c r="AZ61" s="114" t="str">
        <f>_xlfn.IFNA(VLOOKUP($AI61,Programma!$F$3:$W$1101,18,0),"")</f>
        <v>_</v>
      </c>
      <c r="BA61" s="114" t="str">
        <f>_xlfn.IFNA(VLOOKUP($AI61,Programma!$F$3:$X$1101,19,0),"")</f>
        <v>_</v>
      </c>
      <c r="BB61" s="114" t="str">
        <f>_xlfn.IFNA(VLOOKUP($AI61,Programma!$F$3:$Y$1101,20,0),"")</f>
        <v>_</v>
      </c>
      <c r="BC61" s="111"/>
      <c r="BD61" s="110" t="str">
        <f>IF(Ruimtestaat[[#This Row],[Frequentie weekend]]="","",_xlfn.CONCAT(Ruimtestaat[[#This Row],[Ruimte code]],"-",Ruimtestaat[[#This Row],[Frequentie weekend]]," ",Ruimtestaat[[#This Row],[Vloer code]]))</f>
        <v/>
      </c>
      <c r="BE61" s="114" t="str">
        <f>_xlfn.IFNA(VLOOKUP($BD61,Programma!$F$3:$G$1101,2,0),"")</f>
        <v/>
      </c>
      <c r="BF61" s="114" t="str">
        <f>_xlfn.IFNA(VLOOKUP($BD61,Programma!$F$3:$H$1101,3,0),"")</f>
        <v/>
      </c>
      <c r="BG61" s="114" t="str">
        <f>_xlfn.IFNA(VLOOKUP($BD61,Programma!$F$3:$I$1101,4,0),"")</f>
        <v/>
      </c>
      <c r="BH61" s="114" t="str">
        <f>_xlfn.IFNA(VLOOKUP($BD61,Programma!$F$3:$J$1101,5,0),"")</f>
        <v/>
      </c>
      <c r="BI61" s="114" t="str">
        <f>_xlfn.IFNA(VLOOKUP($BD61,Programma!$F$3:$K$1101,6,0),"")</f>
        <v/>
      </c>
      <c r="BJ61" s="114" t="str">
        <f>_xlfn.IFNA(VLOOKUP($BD61,Programma!$F$3:$L$1101,7,0),"")</f>
        <v/>
      </c>
      <c r="BK61" s="114" t="str">
        <f>_xlfn.IFNA(VLOOKUP($BD61,Programma!$F$3:$M$1101,8,0),"")</f>
        <v/>
      </c>
      <c r="BL61" s="114" t="str">
        <f>_xlfn.IFNA(VLOOKUP($BD61,Programma!$F$3:$N$1101,9,0),"")</f>
        <v/>
      </c>
      <c r="BM61" s="114" t="str">
        <f>_xlfn.IFNA(VLOOKUP($BD61,Programma!$F$3:$O$1101,10,0),"")</f>
        <v/>
      </c>
      <c r="BN61" s="114" t="str">
        <f>_xlfn.IFNA(VLOOKUP($BD61,Programma!$F$3:$P$1101,11,0),"")</f>
        <v/>
      </c>
      <c r="BO61" s="114" t="str">
        <f>_xlfn.IFNA(VLOOKUP($BD61,Programma!$F$3:$Q$1101,12,0),"")</f>
        <v/>
      </c>
      <c r="BP61" s="114" t="str">
        <f>_xlfn.IFNA(VLOOKUP($BD61,Programma!$F$3:$R$1101,13,0),"")</f>
        <v/>
      </c>
      <c r="BQ61" s="114" t="str">
        <f>_xlfn.IFNA(VLOOKUP($BD61,Programma!$F$3:$S$1101,14,0),"")</f>
        <v/>
      </c>
      <c r="BR61" s="114" t="str">
        <f>_xlfn.IFNA(VLOOKUP($BD61,Programma!$F$3:$T$1101,15,0),"")</f>
        <v/>
      </c>
      <c r="BS61" s="114" t="str">
        <f>_xlfn.IFNA(VLOOKUP($BD61,Programma!$F$3:$U$1101,16,0),"")</f>
        <v/>
      </c>
      <c r="BT61" s="114" t="str">
        <f>_xlfn.IFNA(VLOOKUP($BD61,Programma!$F$3:$V$1101,17,0),"")</f>
        <v/>
      </c>
      <c r="BU61" s="114" t="str">
        <f>_xlfn.IFNA(VLOOKUP($BD61,Programma!$F$3:$W$1101,18,0),"")</f>
        <v/>
      </c>
      <c r="BV61" s="114" t="str">
        <f>_xlfn.IFNA(VLOOKUP($BD61,Programma!$F$3:$X$1101,19,0),"")</f>
        <v/>
      </c>
      <c r="BW61" s="114" t="str">
        <f>_xlfn.IFNA(VLOOKUP($BD61,Programma!$F$3:$Y$1101,20,0),"")</f>
        <v/>
      </c>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row>
    <row r="62" spans="1:220" ht="15" customHeight="1">
      <c r="A62" s="31">
        <v>2</v>
      </c>
      <c r="B62" s="105" t="str">
        <f>VLOOKUP(Ruimtestaat[[#This Row],[Code]],Locaties[[Code]:[Locatie]],2,FALSE)</f>
        <v>IKC De Hoge Hoeve</v>
      </c>
      <c r="C62" s="105" t="str">
        <f>VLOOKUP(Ruimtestaat[[#This Row],[Code]],Locaties[[#All],[Code]:[Adres]],4,FALSE)</f>
        <v>De Hoge Hoeve 70</v>
      </c>
      <c r="D62" s="105" t="str">
        <f>VLOOKUP(Ruimtestaat[[#This Row],[Code]],Locaties[[#All],[Code]:[Postcode]],5,FALSE)</f>
        <v>6932 DJ</v>
      </c>
      <c r="E62" s="105" t="str">
        <f>VLOOKUP(Ruimtestaat[[#This Row],[Code]],Locaties[#All],6,FALSE)</f>
        <v>Westervoort</v>
      </c>
      <c r="F62" s="73"/>
      <c r="G62" s="73" t="s">
        <v>1645</v>
      </c>
      <c r="H62" s="271" t="s">
        <v>1754</v>
      </c>
      <c r="I62" s="273" t="s">
        <v>1646</v>
      </c>
      <c r="J62" s="31">
        <v>7</v>
      </c>
      <c r="K62" s="113" t="str">
        <f>VLOOKUP(Ruimtestaat[[#This Row],[Ruimte code]],Ruimtegroepen[[#All],[Code]:[Ruimte omschrijving]],2,FALSE)</f>
        <v>Entree</v>
      </c>
      <c r="L62" s="73" t="s">
        <v>99</v>
      </c>
      <c r="M62" s="273" t="s">
        <v>1978</v>
      </c>
      <c r="N62" s="106"/>
      <c r="O62" s="112"/>
      <c r="P62" s="106">
        <v>11</v>
      </c>
      <c r="Q62" s="107" t="str">
        <f>VLOOKUP(Ruimtestaat[[#This Row],[Ruimte code]],Ruimtegroepen[],4,FALSE)</f>
        <v>Ve</v>
      </c>
      <c r="R62" s="73"/>
      <c r="S62" s="73"/>
      <c r="T62" s="73">
        <f>IF(R62&gt;0,IF(RIGHT(Ruimtestaat[[#This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 s="73">
        <f>IF(T62&gt;0,VLOOKUP($J62,Ruimtegroepen[],3,FALSE)*VLOOKUP($L62,Vloersoorten[],3,FALSE)*VLOOKUP($S62,Frequenties[],3,FALSE)*VLOOKUP($A62,Locaties[],3,FALSE),0)</f>
        <v>0</v>
      </c>
      <c r="V62" s="73">
        <f>Ruimtestaat[[#This Row],[Uitvoeringen werkdagen]]*Ruimtestaat[[#This Row],[Oppervlak (netto)]]</f>
        <v>0</v>
      </c>
      <c r="W62" s="108">
        <f>IF(U62&gt;0,Ruimtestaat[[#This Row],[Prest. (m2 /jaar) werkdagen]]/Ruimtestaat[[#This Row],[Norm (m2/uur) werkdagen]],0)</f>
        <v>0</v>
      </c>
      <c r="X62" s="109">
        <f>Ruimtestaat[[#This Row],[uren / jaar werkdagen]]*Tariefsopbouw!$E$35</f>
        <v>0</v>
      </c>
      <c r="Y62" s="73"/>
      <c r="Z62" s="73">
        <f>IF(Ruimtestaat[[#This Row],[Frequentie weekend]]&gt;0,VALUE(LEFT(Y62,1))*R62,0)</f>
        <v>0</v>
      </c>
      <c r="AA62" s="72">
        <f>IF($Z62&gt;0,VLOOKUP($J62,Ruimtegroepen[],3,FALSE)*VLOOKUP($L62,Vloersoorten[],3,FALSE)*VLOOKUP($Y62,Frequenties[],3,FALSE)*VLOOKUP(Ruimtestaat[[#This Row],[Code]],Locaties[],3,FALSE),0)</f>
        <v>0</v>
      </c>
      <c r="AB62" s="72">
        <f>Ruimtestaat[[#This Row],[Uitvoeringen weekend]]*Ruimtestaat[[#This Row],[Oppervlak (netto)]]</f>
        <v>0</v>
      </c>
      <c r="AC62" s="72">
        <f>IF(AA62&gt;0,Ruimtestaat[[#This Row],[Prest. (m2 /jaar) weekend]]/Ruimtestaat[[#This Row],[Norm (m2/uur) weekend]],0)</f>
        <v>0</v>
      </c>
      <c r="AD62" s="109">
        <f>Ruimtestaat[[#This Row],[uren / jaar weekend]]*Tariefsopbouw!$D$40</f>
        <v>0</v>
      </c>
      <c r="AE62" s="108">
        <f>Ruimtestaat[[#This Row],[Prest. (m2 /jaar) weekend]]+Ruimtestaat[[#This Row],[Prest. (m2 /jaar) werkdagen]]</f>
        <v>0</v>
      </c>
      <c r="AF62" s="108">
        <f>Ruimtestaat[[#This Row],[uren / jaar weekend]]+Ruimtestaat[[#This Row],[uren / jaar werkdagen]]</f>
        <v>0</v>
      </c>
      <c r="AG62" s="103">
        <f>Ruimtestaat[[#This Row],[kosten / jaar weekend]]+Ruimtestaat[[#This Row],[kosten / jaar werkdagen]]</f>
        <v>0</v>
      </c>
      <c r="AH62" s="103"/>
      <c r="AI62" s="110" t="str">
        <f>IF(Ruimtestaat[[#This Row],[Frequentie werkdagen]]="","",_xlfn.CONCAT(Ruimtestaat[[#This Row],[Ruimte code]],"-",Ruimtestaat[[#This Row],[Frequentie werkdagen]]," ",Ruimtestaat[[#This Row],[Vloer code]]))</f>
        <v/>
      </c>
      <c r="AJ62" s="114" t="str">
        <f>_xlfn.IFNA(VLOOKUP($AI62,Programma!$F$3:$G$1101,2,0),"")</f>
        <v/>
      </c>
      <c r="AK62" s="114" t="str">
        <f>_xlfn.IFNA(VLOOKUP($AI62,Programma!$F$3:$H$1101,3,0),"")</f>
        <v/>
      </c>
      <c r="AL62" s="114" t="str">
        <f>_xlfn.IFNA(VLOOKUP($AI62,Programma!$F$3:$I$1101,4,0),"")</f>
        <v/>
      </c>
      <c r="AM62" s="114" t="str">
        <f>_xlfn.IFNA(VLOOKUP($AI62,Programma!$F$3:$J$1101,5,0),"")</f>
        <v/>
      </c>
      <c r="AN62" s="114" t="str">
        <f>_xlfn.IFNA(VLOOKUP($AI62,Programma!$F$3:$K$1101,6,0),"")</f>
        <v/>
      </c>
      <c r="AO62" s="114" t="str">
        <f>_xlfn.IFNA(VLOOKUP($AI62,Programma!$F$3:$L$1101,7,0),"")</f>
        <v/>
      </c>
      <c r="AP62" s="114" t="str">
        <f>_xlfn.IFNA(VLOOKUP($AI62,Programma!$F$3:$M$1101,8,0),"")</f>
        <v/>
      </c>
      <c r="AQ62" s="114" t="str">
        <f>_xlfn.IFNA(VLOOKUP($AI62,Programma!$F$3:$N$1101,9,0),"")</f>
        <v/>
      </c>
      <c r="AR62" s="114" t="str">
        <f>_xlfn.IFNA(VLOOKUP($AI62,Programma!$F$3:$O$1101,10,0),"")</f>
        <v/>
      </c>
      <c r="AS62" s="114" t="str">
        <f>_xlfn.IFNA(VLOOKUP($AI62,Programma!$F$3:$P$1101,11,0),"")</f>
        <v/>
      </c>
      <c r="AT62" s="114" t="str">
        <f>_xlfn.IFNA(VLOOKUP($AI62,Programma!$F$3:$Q$1101,12,0),"")</f>
        <v/>
      </c>
      <c r="AU62" s="114" t="str">
        <f>_xlfn.IFNA(VLOOKUP($AI62,Programma!$F$3:$R$1101,13,0),"")</f>
        <v/>
      </c>
      <c r="AV62" s="114" t="str">
        <f>_xlfn.IFNA(VLOOKUP($AI62,Programma!$F$3:$S$1101,14,0),"")</f>
        <v/>
      </c>
      <c r="AW62" s="114" t="str">
        <f>_xlfn.IFNA(VLOOKUP($AI62,Programma!$F$3:$T$1101,15,0),"")</f>
        <v/>
      </c>
      <c r="AX62" s="114" t="str">
        <f>_xlfn.IFNA(VLOOKUP($AI62,Programma!$F$3:$U$1101,16,0),"")</f>
        <v/>
      </c>
      <c r="AY62" s="114" t="str">
        <f>_xlfn.IFNA(VLOOKUP($AI62,Programma!$F$3:$V$1101,17,0),"")</f>
        <v/>
      </c>
      <c r="AZ62" s="114" t="str">
        <f>_xlfn.IFNA(VLOOKUP($AI62,Programma!$F$3:$W$1101,18,0),"")</f>
        <v/>
      </c>
      <c r="BA62" s="114" t="str">
        <f>_xlfn.IFNA(VLOOKUP($AI62,Programma!$F$3:$X$1101,19,0),"")</f>
        <v/>
      </c>
      <c r="BB62" s="114" t="str">
        <f>_xlfn.IFNA(VLOOKUP($AI62,Programma!$F$3:$Y$1101,20,0),"")</f>
        <v/>
      </c>
      <c r="BC62" s="111"/>
      <c r="BD62" s="110" t="str">
        <f>IF(Ruimtestaat[[#This Row],[Frequentie weekend]]="","",_xlfn.CONCAT(Ruimtestaat[[#This Row],[Ruimte code]],"-",Ruimtestaat[[#This Row],[Frequentie weekend]]," ",Ruimtestaat[[#This Row],[Vloer code]]))</f>
        <v/>
      </c>
      <c r="BE62" s="114" t="str">
        <f>_xlfn.IFNA(VLOOKUP($BD62,Programma!$F$3:$G$1101,2,0),"")</f>
        <v/>
      </c>
      <c r="BF62" s="114" t="str">
        <f>_xlfn.IFNA(VLOOKUP($BD62,Programma!$F$3:$H$1101,3,0),"")</f>
        <v/>
      </c>
      <c r="BG62" s="114" t="str">
        <f>_xlfn.IFNA(VLOOKUP($BD62,Programma!$F$3:$I$1101,4,0),"")</f>
        <v/>
      </c>
      <c r="BH62" s="114" t="str">
        <f>_xlfn.IFNA(VLOOKUP($BD62,Programma!$F$3:$J$1101,5,0),"")</f>
        <v/>
      </c>
      <c r="BI62" s="114" t="str">
        <f>_xlfn.IFNA(VLOOKUP($BD62,Programma!$F$3:$K$1101,6,0),"")</f>
        <v/>
      </c>
      <c r="BJ62" s="114" t="str">
        <f>_xlfn.IFNA(VLOOKUP($BD62,Programma!$F$3:$L$1101,7,0),"")</f>
        <v/>
      </c>
      <c r="BK62" s="114" t="str">
        <f>_xlfn.IFNA(VLOOKUP($BD62,Programma!$F$3:$M$1101,8,0),"")</f>
        <v/>
      </c>
      <c r="BL62" s="114" t="str">
        <f>_xlfn.IFNA(VLOOKUP($BD62,Programma!$F$3:$N$1101,9,0),"")</f>
        <v/>
      </c>
      <c r="BM62" s="114" t="str">
        <f>_xlfn.IFNA(VLOOKUP($BD62,Programma!$F$3:$O$1101,10,0),"")</f>
        <v/>
      </c>
      <c r="BN62" s="114" t="str">
        <f>_xlfn.IFNA(VLOOKUP($BD62,Programma!$F$3:$P$1101,11,0),"")</f>
        <v/>
      </c>
      <c r="BO62" s="114" t="str">
        <f>_xlfn.IFNA(VLOOKUP($BD62,Programma!$F$3:$Q$1101,12,0),"")</f>
        <v/>
      </c>
      <c r="BP62" s="114" t="str">
        <f>_xlfn.IFNA(VLOOKUP($BD62,Programma!$F$3:$R$1101,13,0),"")</f>
        <v/>
      </c>
      <c r="BQ62" s="114" t="str">
        <f>_xlfn.IFNA(VLOOKUP($BD62,Programma!$F$3:$S$1101,14,0),"")</f>
        <v/>
      </c>
      <c r="BR62" s="114" t="str">
        <f>_xlfn.IFNA(VLOOKUP($BD62,Programma!$F$3:$T$1101,15,0),"")</f>
        <v/>
      </c>
      <c r="BS62" s="114" t="str">
        <f>_xlfn.IFNA(VLOOKUP($BD62,Programma!$F$3:$U$1101,16,0),"")</f>
        <v/>
      </c>
      <c r="BT62" s="114" t="str">
        <f>_xlfn.IFNA(VLOOKUP($BD62,Programma!$F$3:$V$1101,17,0),"")</f>
        <v/>
      </c>
      <c r="BU62" s="114" t="str">
        <f>_xlfn.IFNA(VLOOKUP($BD62,Programma!$F$3:$W$1101,18,0),"")</f>
        <v/>
      </c>
      <c r="BV62" s="114" t="str">
        <f>_xlfn.IFNA(VLOOKUP($BD62,Programma!$F$3:$X$1101,19,0),"")</f>
        <v/>
      </c>
      <c r="BW62" s="114" t="str">
        <f>_xlfn.IFNA(VLOOKUP($BD62,Programma!$F$3:$Y$1101,20,0),"")</f>
        <v/>
      </c>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row>
    <row r="63" spans="1:220" ht="15" customHeight="1">
      <c r="A63" s="31">
        <v>2</v>
      </c>
      <c r="B63" s="105" t="str">
        <f>VLOOKUP(Ruimtestaat[[#This Row],[Code]],Locaties[[Code]:[Locatie]],2,FALSE)</f>
        <v>IKC De Hoge Hoeve</v>
      </c>
      <c r="C63" s="105" t="str">
        <f>VLOOKUP(Ruimtestaat[[#This Row],[Code]],Locaties[[#All],[Code]:[Adres]],4,FALSE)</f>
        <v>De Hoge Hoeve 70</v>
      </c>
      <c r="D63" s="105" t="str">
        <f>VLOOKUP(Ruimtestaat[[#This Row],[Code]],Locaties[[#All],[Code]:[Postcode]],5,FALSE)</f>
        <v>6932 DJ</v>
      </c>
      <c r="E63" s="105" t="str">
        <f>VLOOKUP(Ruimtestaat[[#This Row],[Code]],Locaties[#All],6,FALSE)</f>
        <v>Westervoort</v>
      </c>
      <c r="F63" s="73"/>
      <c r="G63" s="73" t="s">
        <v>1645</v>
      </c>
      <c r="H63" s="271" t="s">
        <v>1755</v>
      </c>
      <c r="I63" s="273" t="s">
        <v>1720</v>
      </c>
      <c r="J63" s="31">
        <v>6</v>
      </c>
      <c r="K63" s="113" t="str">
        <f>VLOOKUP(Ruimtestaat[[#This Row],[Ruimte code]],Ruimtegroepen[[#All],[Code]:[Ruimte omschrijving]],2,FALSE)</f>
        <v>Gangen/hallen</v>
      </c>
      <c r="L63" s="73" t="s">
        <v>102</v>
      </c>
      <c r="M63" s="273" t="s">
        <v>120</v>
      </c>
      <c r="N63" s="106">
        <v>326</v>
      </c>
      <c r="O63" s="73"/>
      <c r="P63" s="106"/>
      <c r="Q63" s="107" t="str">
        <f>VLOOKUP(Ruimtestaat[[#This Row],[Ruimte code]],Ruimtegroepen[],4,FALSE)</f>
        <v>Ve</v>
      </c>
      <c r="R63" s="73">
        <v>40</v>
      </c>
      <c r="S63" s="73" t="s">
        <v>2</v>
      </c>
      <c r="T63" s="73">
        <f>IF(R63&gt;0,IF(RIGHT(Ruimtestaat[[#This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 s="73">
        <f>IF(T63&gt;0,VLOOKUP($J63,Ruimtegroepen[],3,FALSE)*VLOOKUP($L63,Vloersoorten[],3,FALSE)*VLOOKUP($S63,Frequenties[],3,FALSE)*VLOOKUP($A63,Locaties[],3,FALSE),0)</f>
        <v>0</v>
      </c>
      <c r="V63" s="73">
        <f>Ruimtestaat[[#This Row],[Uitvoeringen werkdagen]]*Ruimtestaat[[#This Row],[Oppervlak (netto)]]</f>
        <v>65200</v>
      </c>
      <c r="W63" s="108">
        <f>IF(U63&gt;0,Ruimtestaat[[#This Row],[Prest. (m2 /jaar) werkdagen]]/Ruimtestaat[[#This Row],[Norm (m2/uur) werkdagen]],0)</f>
        <v>0</v>
      </c>
      <c r="X63" s="109">
        <f>Ruimtestaat[[#This Row],[uren / jaar werkdagen]]*Tariefsopbouw!$E$35</f>
        <v>0</v>
      </c>
      <c r="Y63" s="73"/>
      <c r="Z63" s="73">
        <f>IF(Ruimtestaat[[#This Row],[Frequentie weekend]]&gt;0,VALUE(LEFT(Y63,1))*R63,0)</f>
        <v>0</v>
      </c>
      <c r="AA63" s="72">
        <f>IF($Z63&gt;0,VLOOKUP($J63,Ruimtegroepen[],3,FALSE)*VLOOKUP($L63,Vloersoorten[],3,FALSE)*VLOOKUP($Y63,Frequenties[],3,FALSE)*VLOOKUP(Ruimtestaat[[#This Row],[Code]],Locaties[],3,FALSE),0)</f>
        <v>0</v>
      </c>
      <c r="AB63" s="72">
        <f>Ruimtestaat[[#This Row],[Uitvoeringen weekend]]*Ruimtestaat[[#This Row],[Oppervlak (netto)]]</f>
        <v>0</v>
      </c>
      <c r="AC63" s="72">
        <f>IF(AA63&gt;0,Ruimtestaat[[#This Row],[Prest. (m2 /jaar) weekend]]/Ruimtestaat[[#This Row],[Norm (m2/uur) weekend]],0)</f>
        <v>0</v>
      </c>
      <c r="AD63" s="109">
        <f>Ruimtestaat[[#This Row],[uren / jaar weekend]]*Tariefsopbouw!$D$40</f>
        <v>0</v>
      </c>
      <c r="AE63" s="108">
        <f>Ruimtestaat[[#This Row],[Prest. (m2 /jaar) weekend]]+Ruimtestaat[[#This Row],[Prest. (m2 /jaar) werkdagen]]</f>
        <v>65200</v>
      </c>
      <c r="AF63" s="108">
        <f>Ruimtestaat[[#This Row],[uren / jaar weekend]]+Ruimtestaat[[#This Row],[uren / jaar werkdagen]]</f>
        <v>0</v>
      </c>
      <c r="AG63" s="103">
        <f>Ruimtestaat[[#This Row],[kosten / jaar weekend]]+Ruimtestaat[[#This Row],[kosten / jaar werkdagen]]</f>
        <v>0</v>
      </c>
      <c r="AH63" s="103"/>
      <c r="AI63" s="110" t="str">
        <f>IF(Ruimtestaat[[#This Row],[Frequentie werkdagen]]="","",_xlfn.CONCAT(Ruimtestaat[[#This Row],[Ruimte code]],"-",Ruimtestaat[[#This Row],[Frequentie werkdagen]]," ",Ruimtestaat[[#This Row],[Vloer code]]))</f>
        <v>6-5w P</v>
      </c>
      <c r="AJ63" s="114" t="str">
        <f>_xlfn.IFNA(VLOOKUP($AI63,Programma!$F$3:$G$1101,2,0),"")</f>
        <v>_</v>
      </c>
      <c r="AK63" s="114" t="str">
        <f>_xlfn.IFNA(VLOOKUP($AI63,Programma!$F$3:$H$1101,3,0),"")</f>
        <v>_</v>
      </c>
      <c r="AL63" s="114" t="str">
        <f>_xlfn.IFNA(VLOOKUP($AI63,Programma!$F$3:$I$1101,4,0),"")</f>
        <v>5w</v>
      </c>
      <c r="AM63" s="114" t="str">
        <f>_xlfn.IFNA(VLOOKUP($AI63,Programma!$F$3:$J$1101,5,0),"")</f>
        <v>_</v>
      </c>
      <c r="AN63" s="114" t="str">
        <f>_xlfn.IFNA(VLOOKUP($AI63,Programma!$F$3:$K$1101,6,0),"")</f>
        <v>5w</v>
      </c>
      <c r="AO63" s="114" t="str">
        <f>_xlfn.IFNA(VLOOKUP($AI63,Programma!$F$3:$L$1101,7,0),"")</f>
        <v>_</v>
      </c>
      <c r="AP63" s="114" t="str">
        <f>_xlfn.IFNA(VLOOKUP($AI63,Programma!$F$3:$M$1101,8,0),"")</f>
        <v>_</v>
      </c>
      <c r="AQ63" s="114" t="str">
        <f>_xlfn.IFNA(VLOOKUP($AI63,Programma!$F$3:$N$1101,9,0),"")</f>
        <v>_</v>
      </c>
      <c r="AR63" s="114" t="str">
        <f>_xlfn.IFNA(VLOOKUP($AI63,Programma!$F$3:$O$1101,10,0),"")</f>
        <v>5w</v>
      </c>
      <c r="AS63" s="114" t="str">
        <f>_xlfn.IFNA(VLOOKUP($AI63,Programma!$F$3:$P$1101,11,0),"")</f>
        <v>5w</v>
      </c>
      <c r="AT63" s="114" t="str">
        <f>_xlfn.IFNA(VLOOKUP($AI63,Programma!$F$3:$Q$1101,12,0),"")</f>
        <v>1w</v>
      </c>
      <c r="AU63" s="114" t="str">
        <f>_xlfn.IFNA(VLOOKUP($AI63,Programma!$F$3:$R$1101,13,0),"")</f>
        <v>1w</v>
      </c>
      <c r="AV63" s="114" t="str">
        <f>_xlfn.IFNA(VLOOKUP($AI63,Programma!$F$3:$S$1101,14,0),"")</f>
        <v>1m</v>
      </c>
      <c r="AW63" s="114" t="str">
        <f>_xlfn.IFNA(VLOOKUP($AI63,Programma!$F$3:$T$1101,15,0),"")</f>
        <v>2j</v>
      </c>
      <c r="AX63" s="114" t="str">
        <f>_xlfn.IFNA(VLOOKUP($AI63,Programma!$F$3:$U$1101,16,0),"")</f>
        <v>1j</v>
      </c>
      <c r="AY63" s="114" t="str">
        <f>_xlfn.IFNA(VLOOKUP($AI63,Programma!$F$3:$V$1101,17,0),"")</f>
        <v>_</v>
      </c>
      <c r="AZ63" s="114" t="str">
        <f>_xlfn.IFNA(VLOOKUP($AI63,Programma!$F$3:$W$1101,18,0),"")</f>
        <v>_</v>
      </c>
      <c r="BA63" s="114" t="str">
        <f>_xlfn.IFNA(VLOOKUP($AI63,Programma!$F$3:$X$1101,19,0),"")</f>
        <v>_</v>
      </c>
      <c r="BB63" s="114" t="str">
        <f>_xlfn.IFNA(VLOOKUP($AI63,Programma!$F$3:$Y$1101,20,0),"")</f>
        <v>_</v>
      </c>
      <c r="BC63" s="111"/>
      <c r="BD63" s="110" t="str">
        <f>IF(Ruimtestaat[[#This Row],[Frequentie weekend]]="","",_xlfn.CONCAT(Ruimtestaat[[#This Row],[Ruimte code]],"-",Ruimtestaat[[#This Row],[Frequentie weekend]]," ",Ruimtestaat[[#This Row],[Vloer code]]))</f>
        <v/>
      </c>
      <c r="BE63" s="114" t="str">
        <f>_xlfn.IFNA(VLOOKUP($BD63,Programma!$F$3:$G$1101,2,0),"")</f>
        <v/>
      </c>
      <c r="BF63" s="114" t="str">
        <f>_xlfn.IFNA(VLOOKUP($BD63,Programma!$F$3:$H$1101,3,0),"")</f>
        <v/>
      </c>
      <c r="BG63" s="114" t="str">
        <f>_xlfn.IFNA(VLOOKUP($BD63,Programma!$F$3:$I$1101,4,0),"")</f>
        <v/>
      </c>
      <c r="BH63" s="114" t="str">
        <f>_xlfn.IFNA(VLOOKUP($BD63,Programma!$F$3:$J$1101,5,0),"")</f>
        <v/>
      </c>
      <c r="BI63" s="114" t="str">
        <f>_xlfn.IFNA(VLOOKUP($BD63,Programma!$F$3:$K$1101,6,0),"")</f>
        <v/>
      </c>
      <c r="BJ63" s="114" t="str">
        <f>_xlfn.IFNA(VLOOKUP($BD63,Programma!$F$3:$L$1101,7,0),"")</f>
        <v/>
      </c>
      <c r="BK63" s="114" t="str">
        <f>_xlfn.IFNA(VLOOKUP($BD63,Programma!$F$3:$M$1101,8,0),"")</f>
        <v/>
      </c>
      <c r="BL63" s="114" t="str">
        <f>_xlfn.IFNA(VLOOKUP($BD63,Programma!$F$3:$N$1101,9,0),"")</f>
        <v/>
      </c>
      <c r="BM63" s="114" t="str">
        <f>_xlfn.IFNA(VLOOKUP($BD63,Programma!$F$3:$O$1101,10,0),"")</f>
        <v/>
      </c>
      <c r="BN63" s="114" t="str">
        <f>_xlfn.IFNA(VLOOKUP($BD63,Programma!$F$3:$P$1101,11,0),"")</f>
        <v/>
      </c>
      <c r="BO63" s="114" t="str">
        <f>_xlfn.IFNA(VLOOKUP($BD63,Programma!$F$3:$Q$1101,12,0),"")</f>
        <v/>
      </c>
      <c r="BP63" s="114" t="str">
        <f>_xlfn.IFNA(VLOOKUP($BD63,Programma!$F$3:$R$1101,13,0),"")</f>
        <v/>
      </c>
      <c r="BQ63" s="114" t="str">
        <f>_xlfn.IFNA(VLOOKUP($BD63,Programma!$F$3:$S$1101,14,0),"")</f>
        <v/>
      </c>
      <c r="BR63" s="114" t="str">
        <f>_xlfn.IFNA(VLOOKUP($BD63,Programma!$F$3:$T$1101,15,0),"")</f>
        <v/>
      </c>
      <c r="BS63" s="114" t="str">
        <f>_xlfn.IFNA(VLOOKUP($BD63,Programma!$F$3:$U$1101,16,0),"")</f>
        <v/>
      </c>
      <c r="BT63" s="114" t="str">
        <f>_xlfn.IFNA(VLOOKUP($BD63,Programma!$F$3:$V$1101,17,0),"")</f>
        <v/>
      </c>
      <c r="BU63" s="114" t="str">
        <f>_xlfn.IFNA(VLOOKUP($BD63,Programma!$F$3:$W$1101,18,0),"")</f>
        <v/>
      </c>
      <c r="BV63" s="114" t="str">
        <f>_xlfn.IFNA(VLOOKUP($BD63,Programma!$F$3:$X$1101,19,0),"")</f>
        <v/>
      </c>
      <c r="BW63" s="114" t="str">
        <f>_xlfn.IFNA(VLOOKUP($BD63,Programma!$F$3:$Y$1101,20,0),"")</f>
        <v/>
      </c>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row>
    <row r="64" spans="1:220" ht="15" customHeight="1">
      <c r="A64" s="31">
        <v>2</v>
      </c>
      <c r="B64" s="105" t="str">
        <f>VLOOKUP(Ruimtestaat[[#This Row],[Code]],Locaties[[Code]:[Locatie]],2,FALSE)</f>
        <v>IKC De Hoge Hoeve</v>
      </c>
      <c r="C64" s="105" t="str">
        <f>VLOOKUP(Ruimtestaat[[#This Row],[Code]],Locaties[[#All],[Code]:[Adres]],4,FALSE)</f>
        <v>De Hoge Hoeve 70</v>
      </c>
      <c r="D64" s="105" t="str">
        <f>VLOOKUP(Ruimtestaat[[#This Row],[Code]],Locaties[[#All],[Code]:[Postcode]],5,FALSE)</f>
        <v>6932 DJ</v>
      </c>
      <c r="E64" s="105" t="str">
        <f>VLOOKUP(Ruimtestaat[[#This Row],[Code]],Locaties[#All],6,FALSE)</f>
        <v>Westervoort</v>
      </c>
      <c r="F64" s="73"/>
      <c r="G64" s="73" t="s">
        <v>1645</v>
      </c>
      <c r="H64" s="271" t="s">
        <v>1756</v>
      </c>
      <c r="I64" s="273" t="s">
        <v>1721</v>
      </c>
      <c r="J64" s="31">
        <v>1</v>
      </c>
      <c r="K64" s="113" t="str">
        <f>VLOOKUP(Ruimtestaat[[#This Row],[Ruimte code]],Ruimtegroepen[[#All],[Code]:[Ruimte omschrijving]],2,FALSE)</f>
        <v>Magazijnen/bergingen</v>
      </c>
      <c r="L64" s="73" t="s">
        <v>102</v>
      </c>
      <c r="M64" s="273" t="s">
        <v>120</v>
      </c>
      <c r="N64" s="106"/>
      <c r="O64" s="112"/>
      <c r="P64" s="106">
        <v>33</v>
      </c>
      <c r="Q64" s="107" t="str">
        <f>VLOOKUP(Ruimtestaat[[#This Row],[Ruimte code]],Ruimtegroepen[],4,FALSE)</f>
        <v>Ve</v>
      </c>
      <c r="R64" s="73"/>
      <c r="S64" s="73"/>
      <c r="T64" s="73">
        <f>IF(R64&gt;0,IF(RIGHT(Ruimtestaat[[#This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 s="73">
        <f>IF(T64&gt;0,VLOOKUP($J64,Ruimtegroepen[],3,FALSE)*VLOOKUP($L64,Vloersoorten[],3,FALSE)*VLOOKUP($S64,Frequenties[],3,FALSE)*VLOOKUP($A64,Locaties[],3,FALSE),0)</f>
        <v>0</v>
      </c>
      <c r="V64" s="73">
        <f>Ruimtestaat[[#This Row],[Uitvoeringen werkdagen]]*Ruimtestaat[[#This Row],[Oppervlak (netto)]]</f>
        <v>0</v>
      </c>
      <c r="W64" s="108">
        <f>IF(U64&gt;0,Ruimtestaat[[#This Row],[Prest. (m2 /jaar) werkdagen]]/Ruimtestaat[[#This Row],[Norm (m2/uur) werkdagen]],0)</f>
        <v>0</v>
      </c>
      <c r="X64" s="109">
        <f>Ruimtestaat[[#This Row],[uren / jaar werkdagen]]*Tariefsopbouw!$E$35</f>
        <v>0</v>
      </c>
      <c r="Y64" s="73"/>
      <c r="Z64" s="73">
        <f>IF(Ruimtestaat[[#This Row],[Frequentie weekend]]&gt;0,VALUE(LEFT(Y64,1))*R64,0)</f>
        <v>0</v>
      </c>
      <c r="AA64" s="72">
        <f>IF($Z64&gt;0,VLOOKUP($J64,Ruimtegroepen[],3,FALSE)*VLOOKUP($L64,Vloersoorten[],3,FALSE)*VLOOKUP($Y64,Frequenties[],3,FALSE)*VLOOKUP(Ruimtestaat[[#This Row],[Code]],Locaties[],3,FALSE),0)</f>
        <v>0</v>
      </c>
      <c r="AB64" s="72">
        <f>Ruimtestaat[[#This Row],[Uitvoeringen weekend]]*Ruimtestaat[[#This Row],[Oppervlak (netto)]]</f>
        <v>0</v>
      </c>
      <c r="AC64" s="72">
        <f>IF(AA64&gt;0,Ruimtestaat[[#This Row],[Prest. (m2 /jaar) weekend]]/Ruimtestaat[[#This Row],[Norm (m2/uur) weekend]],0)</f>
        <v>0</v>
      </c>
      <c r="AD64" s="109">
        <f>Ruimtestaat[[#This Row],[uren / jaar weekend]]*Tariefsopbouw!$D$40</f>
        <v>0</v>
      </c>
      <c r="AE64" s="108">
        <f>Ruimtestaat[[#This Row],[Prest. (m2 /jaar) weekend]]+Ruimtestaat[[#This Row],[Prest. (m2 /jaar) werkdagen]]</f>
        <v>0</v>
      </c>
      <c r="AF64" s="108">
        <f>Ruimtestaat[[#This Row],[uren / jaar weekend]]+Ruimtestaat[[#This Row],[uren / jaar werkdagen]]</f>
        <v>0</v>
      </c>
      <c r="AG64" s="103">
        <f>Ruimtestaat[[#This Row],[kosten / jaar weekend]]+Ruimtestaat[[#This Row],[kosten / jaar werkdagen]]</f>
        <v>0</v>
      </c>
      <c r="AH64" s="103"/>
      <c r="AI64" s="110" t="str">
        <f>IF(Ruimtestaat[[#This Row],[Frequentie werkdagen]]="","",_xlfn.CONCAT(Ruimtestaat[[#This Row],[Ruimte code]],"-",Ruimtestaat[[#This Row],[Frequentie werkdagen]]," ",Ruimtestaat[[#This Row],[Vloer code]]))</f>
        <v/>
      </c>
      <c r="AJ64" s="114" t="str">
        <f>_xlfn.IFNA(VLOOKUP($AI64,Programma!$F$3:$G$1101,2,0),"")</f>
        <v/>
      </c>
      <c r="AK64" s="114" t="str">
        <f>_xlfn.IFNA(VLOOKUP($AI64,Programma!$F$3:$H$1101,3,0),"")</f>
        <v/>
      </c>
      <c r="AL64" s="114" t="str">
        <f>_xlfn.IFNA(VLOOKUP($AI64,Programma!$F$3:$I$1101,4,0),"")</f>
        <v/>
      </c>
      <c r="AM64" s="114" t="str">
        <f>_xlfn.IFNA(VLOOKUP($AI64,Programma!$F$3:$J$1101,5,0),"")</f>
        <v/>
      </c>
      <c r="AN64" s="114" t="str">
        <f>_xlfn.IFNA(VLOOKUP($AI64,Programma!$F$3:$K$1101,6,0),"")</f>
        <v/>
      </c>
      <c r="AO64" s="114" t="str">
        <f>_xlfn.IFNA(VLOOKUP($AI64,Programma!$F$3:$L$1101,7,0),"")</f>
        <v/>
      </c>
      <c r="AP64" s="114" t="str">
        <f>_xlfn.IFNA(VLOOKUP($AI64,Programma!$F$3:$M$1101,8,0),"")</f>
        <v/>
      </c>
      <c r="AQ64" s="114" t="str">
        <f>_xlfn.IFNA(VLOOKUP($AI64,Programma!$F$3:$N$1101,9,0),"")</f>
        <v/>
      </c>
      <c r="AR64" s="114" t="str">
        <f>_xlfn.IFNA(VLOOKUP($AI64,Programma!$F$3:$O$1101,10,0),"")</f>
        <v/>
      </c>
      <c r="AS64" s="114" t="str">
        <f>_xlfn.IFNA(VLOOKUP($AI64,Programma!$F$3:$P$1101,11,0),"")</f>
        <v/>
      </c>
      <c r="AT64" s="114" t="str">
        <f>_xlfn.IFNA(VLOOKUP($AI64,Programma!$F$3:$Q$1101,12,0),"")</f>
        <v/>
      </c>
      <c r="AU64" s="114" t="str">
        <f>_xlfn.IFNA(VLOOKUP($AI64,Programma!$F$3:$R$1101,13,0),"")</f>
        <v/>
      </c>
      <c r="AV64" s="114" t="str">
        <f>_xlfn.IFNA(VLOOKUP($AI64,Programma!$F$3:$S$1101,14,0),"")</f>
        <v/>
      </c>
      <c r="AW64" s="114" t="str">
        <f>_xlfn.IFNA(VLOOKUP($AI64,Programma!$F$3:$T$1101,15,0),"")</f>
        <v/>
      </c>
      <c r="AX64" s="114" t="str">
        <f>_xlfn.IFNA(VLOOKUP($AI64,Programma!$F$3:$U$1101,16,0),"")</f>
        <v/>
      </c>
      <c r="AY64" s="114" t="str">
        <f>_xlfn.IFNA(VLOOKUP($AI64,Programma!$F$3:$V$1101,17,0),"")</f>
        <v/>
      </c>
      <c r="AZ64" s="114" t="str">
        <f>_xlfn.IFNA(VLOOKUP($AI64,Programma!$F$3:$W$1101,18,0),"")</f>
        <v/>
      </c>
      <c r="BA64" s="114" t="str">
        <f>_xlfn.IFNA(VLOOKUP($AI64,Programma!$F$3:$X$1101,19,0),"")</f>
        <v/>
      </c>
      <c r="BB64" s="114" t="str">
        <f>_xlfn.IFNA(VLOOKUP($AI64,Programma!$F$3:$Y$1101,20,0),"")</f>
        <v/>
      </c>
      <c r="BC64" s="111"/>
      <c r="BD64" s="110" t="str">
        <f>IF(Ruimtestaat[[#This Row],[Frequentie weekend]]="","",_xlfn.CONCAT(Ruimtestaat[[#This Row],[Ruimte code]],"-",Ruimtestaat[[#This Row],[Frequentie weekend]]," ",Ruimtestaat[[#This Row],[Vloer code]]))</f>
        <v/>
      </c>
      <c r="BE64" s="114" t="str">
        <f>_xlfn.IFNA(VLOOKUP($BD64,Programma!$F$3:$G$1101,2,0),"")</f>
        <v/>
      </c>
      <c r="BF64" s="114" t="str">
        <f>_xlfn.IFNA(VLOOKUP($BD64,Programma!$F$3:$H$1101,3,0),"")</f>
        <v/>
      </c>
      <c r="BG64" s="114" t="str">
        <f>_xlfn.IFNA(VLOOKUP($BD64,Programma!$F$3:$I$1101,4,0),"")</f>
        <v/>
      </c>
      <c r="BH64" s="114" t="str">
        <f>_xlfn.IFNA(VLOOKUP($BD64,Programma!$F$3:$J$1101,5,0),"")</f>
        <v/>
      </c>
      <c r="BI64" s="114" t="str">
        <f>_xlfn.IFNA(VLOOKUP($BD64,Programma!$F$3:$K$1101,6,0),"")</f>
        <v/>
      </c>
      <c r="BJ64" s="114" t="str">
        <f>_xlfn.IFNA(VLOOKUP($BD64,Programma!$F$3:$L$1101,7,0),"")</f>
        <v/>
      </c>
      <c r="BK64" s="114" t="str">
        <f>_xlfn.IFNA(VLOOKUP($BD64,Programma!$F$3:$M$1101,8,0),"")</f>
        <v/>
      </c>
      <c r="BL64" s="114" t="str">
        <f>_xlfn.IFNA(VLOOKUP($BD64,Programma!$F$3:$N$1101,9,0),"")</f>
        <v/>
      </c>
      <c r="BM64" s="114" t="str">
        <f>_xlfn.IFNA(VLOOKUP($BD64,Programma!$F$3:$O$1101,10,0),"")</f>
        <v/>
      </c>
      <c r="BN64" s="114" t="str">
        <f>_xlfn.IFNA(VLOOKUP($BD64,Programma!$F$3:$P$1101,11,0),"")</f>
        <v/>
      </c>
      <c r="BO64" s="114" t="str">
        <f>_xlfn.IFNA(VLOOKUP($BD64,Programma!$F$3:$Q$1101,12,0),"")</f>
        <v/>
      </c>
      <c r="BP64" s="114" t="str">
        <f>_xlfn.IFNA(VLOOKUP($BD64,Programma!$F$3:$R$1101,13,0),"")</f>
        <v/>
      </c>
      <c r="BQ64" s="114" t="str">
        <f>_xlfn.IFNA(VLOOKUP($BD64,Programma!$F$3:$S$1101,14,0),"")</f>
        <v/>
      </c>
      <c r="BR64" s="114" t="str">
        <f>_xlfn.IFNA(VLOOKUP($BD64,Programma!$F$3:$T$1101,15,0),"")</f>
        <v/>
      </c>
      <c r="BS64" s="114" t="str">
        <f>_xlfn.IFNA(VLOOKUP($BD64,Programma!$F$3:$U$1101,16,0),"")</f>
        <v/>
      </c>
      <c r="BT64" s="114" t="str">
        <f>_xlfn.IFNA(VLOOKUP($BD64,Programma!$F$3:$V$1101,17,0),"")</f>
        <v/>
      </c>
      <c r="BU64" s="114" t="str">
        <f>_xlfn.IFNA(VLOOKUP($BD64,Programma!$F$3:$W$1101,18,0),"")</f>
        <v/>
      </c>
      <c r="BV64" s="114" t="str">
        <f>_xlfn.IFNA(VLOOKUP($BD64,Programma!$F$3:$X$1101,19,0),"")</f>
        <v/>
      </c>
      <c r="BW64" s="114" t="str">
        <f>_xlfn.IFNA(VLOOKUP($BD64,Programma!$F$3:$Y$1101,20,0),"")</f>
        <v/>
      </c>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c r="HL64" s="28"/>
    </row>
    <row r="65" spans="1:220" ht="15" customHeight="1">
      <c r="A65" s="31">
        <v>2</v>
      </c>
      <c r="B65" s="105" t="str">
        <f>VLOOKUP(Ruimtestaat[[#This Row],[Code]],Locaties[[Code]:[Locatie]],2,FALSE)</f>
        <v>IKC De Hoge Hoeve</v>
      </c>
      <c r="C65" s="105" t="str">
        <f>VLOOKUP(Ruimtestaat[[#This Row],[Code]],Locaties[[#All],[Code]:[Adres]],4,FALSE)</f>
        <v>De Hoge Hoeve 70</v>
      </c>
      <c r="D65" s="105" t="str">
        <f>VLOOKUP(Ruimtestaat[[#This Row],[Code]],Locaties[[#All],[Code]:[Postcode]],5,FALSE)</f>
        <v>6932 DJ</v>
      </c>
      <c r="E65" s="105" t="str">
        <f>VLOOKUP(Ruimtestaat[[#This Row],[Code]],Locaties[#All],6,FALSE)</f>
        <v>Westervoort</v>
      </c>
      <c r="F65" s="73"/>
      <c r="G65" s="73" t="s">
        <v>1645</v>
      </c>
      <c r="H65" s="271" t="s">
        <v>1757</v>
      </c>
      <c r="I65" s="273" t="s">
        <v>1722</v>
      </c>
      <c r="J65" s="31">
        <v>1</v>
      </c>
      <c r="K65" s="113" t="str">
        <f>VLOOKUP(Ruimtestaat[[#This Row],[Ruimte code]],Ruimtegroepen[[#All],[Code]:[Ruimte omschrijving]],2,FALSE)</f>
        <v>Magazijnen/bergingen</v>
      </c>
      <c r="L65" s="73" t="s">
        <v>102</v>
      </c>
      <c r="M65" s="273" t="s">
        <v>120</v>
      </c>
      <c r="N65" s="106"/>
      <c r="O65" s="112"/>
      <c r="P65" s="106">
        <v>4</v>
      </c>
      <c r="Q65" s="107" t="str">
        <f>VLOOKUP(Ruimtestaat[[#This Row],[Ruimte code]],Ruimtegroepen[],4,FALSE)</f>
        <v>Ve</v>
      </c>
      <c r="R65" s="73"/>
      <c r="S65" s="73"/>
      <c r="T65" s="73">
        <f>IF(R65&gt;0,IF(RIGHT(Ruimtestaat[[#This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 s="73">
        <f>IF(T65&gt;0,VLOOKUP($J65,Ruimtegroepen[],3,FALSE)*VLOOKUP($L65,Vloersoorten[],3,FALSE)*VLOOKUP($S65,Frequenties[],3,FALSE)*VLOOKUP($A65,Locaties[],3,FALSE),0)</f>
        <v>0</v>
      </c>
      <c r="V65" s="73">
        <f>Ruimtestaat[[#This Row],[Uitvoeringen werkdagen]]*Ruimtestaat[[#This Row],[Oppervlak (netto)]]</f>
        <v>0</v>
      </c>
      <c r="W65" s="108">
        <f>IF(U65&gt;0,Ruimtestaat[[#This Row],[Prest. (m2 /jaar) werkdagen]]/Ruimtestaat[[#This Row],[Norm (m2/uur) werkdagen]],0)</f>
        <v>0</v>
      </c>
      <c r="X65" s="109">
        <f>Ruimtestaat[[#This Row],[uren / jaar werkdagen]]*Tariefsopbouw!$E$35</f>
        <v>0</v>
      </c>
      <c r="Y65" s="73"/>
      <c r="Z65" s="73">
        <f>IF(Ruimtestaat[[#This Row],[Frequentie weekend]]&gt;0,VALUE(LEFT(Y65,1))*R65,0)</f>
        <v>0</v>
      </c>
      <c r="AA65" s="72">
        <f>IF($Z65&gt;0,VLOOKUP($J65,Ruimtegroepen[],3,FALSE)*VLOOKUP($L65,Vloersoorten[],3,FALSE)*VLOOKUP($Y65,Frequenties[],3,FALSE)*VLOOKUP(Ruimtestaat[[#This Row],[Code]],Locaties[],3,FALSE),0)</f>
        <v>0</v>
      </c>
      <c r="AB65" s="72">
        <f>Ruimtestaat[[#This Row],[Uitvoeringen weekend]]*Ruimtestaat[[#This Row],[Oppervlak (netto)]]</f>
        <v>0</v>
      </c>
      <c r="AC65" s="72">
        <f>IF(AA65&gt;0,Ruimtestaat[[#This Row],[Prest. (m2 /jaar) weekend]]/Ruimtestaat[[#This Row],[Norm (m2/uur) weekend]],0)</f>
        <v>0</v>
      </c>
      <c r="AD65" s="109">
        <f>Ruimtestaat[[#This Row],[uren / jaar weekend]]*Tariefsopbouw!$D$40</f>
        <v>0</v>
      </c>
      <c r="AE65" s="108">
        <f>Ruimtestaat[[#This Row],[Prest. (m2 /jaar) weekend]]+Ruimtestaat[[#This Row],[Prest. (m2 /jaar) werkdagen]]</f>
        <v>0</v>
      </c>
      <c r="AF65" s="108">
        <f>Ruimtestaat[[#This Row],[uren / jaar weekend]]+Ruimtestaat[[#This Row],[uren / jaar werkdagen]]</f>
        <v>0</v>
      </c>
      <c r="AG65" s="103">
        <f>Ruimtestaat[[#This Row],[kosten / jaar weekend]]+Ruimtestaat[[#This Row],[kosten / jaar werkdagen]]</f>
        <v>0</v>
      </c>
      <c r="AH65" s="103"/>
      <c r="AI65" s="110" t="str">
        <f>IF(Ruimtestaat[[#This Row],[Frequentie werkdagen]]="","",_xlfn.CONCAT(Ruimtestaat[[#This Row],[Ruimte code]],"-",Ruimtestaat[[#This Row],[Frequentie werkdagen]]," ",Ruimtestaat[[#This Row],[Vloer code]]))</f>
        <v/>
      </c>
      <c r="AJ65" s="114" t="str">
        <f>_xlfn.IFNA(VLOOKUP($AI65,Programma!$F$3:$G$1101,2,0),"")</f>
        <v/>
      </c>
      <c r="AK65" s="114" t="str">
        <f>_xlfn.IFNA(VLOOKUP($AI65,Programma!$F$3:$H$1101,3,0),"")</f>
        <v/>
      </c>
      <c r="AL65" s="114" t="str">
        <f>_xlfn.IFNA(VLOOKUP($AI65,Programma!$F$3:$I$1101,4,0),"")</f>
        <v/>
      </c>
      <c r="AM65" s="114" t="str">
        <f>_xlfn.IFNA(VLOOKUP($AI65,Programma!$F$3:$J$1101,5,0),"")</f>
        <v/>
      </c>
      <c r="AN65" s="114" t="str">
        <f>_xlfn.IFNA(VLOOKUP($AI65,Programma!$F$3:$K$1101,6,0),"")</f>
        <v/>
      </c>
      <c r="AO65" s="114" t="str">
        <f>_xlfn.IFNA(VLOOKUP($AI65,Programma!$F$3:$L$1101,7,0),"")</f>
        <v/>
      </c>
      <c r="AP65" s="114" t="str">
        <f>_xlfn.IFNA(VLOOKUP($AI65,Programma!$F$3:$M$1101,8,0),"")</f>
        <v/>
      </c>
      <c r="AQ65" s="114" t="str">
        <f>_xlfn.IFNA(VLOOKUP($AI65,Programma!$F$3:$N$1101,9,0),"")</f>
        <v/>
      </c>
      <c r="AR65" s="114" t="str">
        <f>_xlfn.IFNA(VLOOKUP($AI65,Programma!$F$3:$O$1101,10,0),"")</f>
        <v/>
      </c>
      <c r="AS65" s="114" t="str">
        <f>_xlfn.IFNA(VLOOKUP($AI65,Programma!$F$3:$P$1101,11,0),"")</f>
        <v/>
      </c>
      <c r="AT65" s="114" t="str">
        <f>_xlfn.IFNA(VLOOKUP($AI65,Programma!$F$3:$Q$1101,12,0),"")</f>
        <v/>
      </c>
      <c r="AU65" s="114" t="str">
        <f>_xlfn.IFNA(VLOOKUP($AI65,Programma!$F$3:$R$1101,13,0),"")</f>
        <v/>
      </c>
      <c r="AV65" s="114" t="str">
        <f>_xlfn.IFNA(VLOOKUP($AI65,Programma!$F$3:$S$1101,14,0),"")</f>
        <v/>
      </c>
      <c r="AW65" s="114" t="str">
        <f>_xlfn.IFNA(VLOOKUP($AI65,Programma!$F$3:$T$1101,15,0),"")</f>
        <v/>
      </c>
      <c r="AX65" s="114" t="str">
        <f>_xlfn.IFNA(VLOOKUP($AI65,Programma!$F$3:$U$1101,16,0),"")</f>
        <v/>
      </c>
      <c r="AY65" s="114" t="str">
        <f>_xlfn.IFNA(VLOOKUP($AI65,Programma!$F$3:$V$1101,17,0),"")</f>
        <v/>
      </c>
      <c r="AZ65" s="114" t="str">
        <f>_xlfn.IFNA(VLOOKUP($AI65,Programma!$F$3:$W$1101,18,0),"")</f>
        <v/>
      </c>
      <c r="BA65" s="114" t="str">
        <f>_xlfn.IFNA(VLOOKUP($AI65,Programma!$F$3:$X$1101,19,0),"")</f>
        <v/>
      </c>
      <c r="BB65" s="114" t="str">
        <f>_xlfn.IFNA(VLOOKUP($AI65,Programma!$F$3:$Y$1101,20,0),"")</f>
        <v/>
      </c>
      <c r="BC65" s="111"/>
      <c r="BD65" s="110" t="str">
        <f>IF(Ruimtestaat[[#This Row],[Frequentie weekend]]="","",_xlfn.CONCAT(Ruimtestaat[[#This Row],[Ruimte code]],"-",Ruimtestaat[[#This Row],[Frequentie weekend]]," ",Ruimtestaat[[#This Row],[Vloer code]]))</f>
        <v/>
      </c>
      <c r="BE65" s="114" t="str">
        <f>_xlfn.IFNA(VLOOKUP($BD65,Programma!$F$3:$G$1101,2,0),"")</f>
        <v/>
      </c>
      <c r="BF65" s="114" t="str">
        <f>_xlfn.IFNA(VLOOKUP($BD65,Programma!$F$3:$H$1101,3,0),"")</f>
        <v/>
      </c>
      <c r="BG65" s="114" t="str">
        <f>_xlfn.IFNA(VLOOKUP($BD65,Programma!$F$3:$I$1101,4,0),"")</f>
        <v/>
      </c>
      <c r="BH65" s="114" t="str">
        <f>_xlfn.IFNA(VLOOKUP($BD65,Programma!$F$3:$J$1101,5,0),"")</f>
        <v/>
      </c>
      <c r="BI65" s="114" t="str">
        <f>_xlfn.IFNA(VLOOKUP($BD65,Programma!$F$3:$K$1101,6,0),"")</f>
        <v/>
      </c>
      <c r="BJ65" s="114" t="str">
        <f>_xlfn.IFNA(VLOOKUP($BD65,Programma!$F$3:$L$1101,7,0),"")</f>
        <v/>
      </c>
      <c r="BK65" s="114" t="str">
        <f>_xlfn.IFNA(VLOOKUP($BD65,Programma!$F$3:$M$1101,8,0),"")</f>
        <v/>
      </c>
      <c r="BL65" s="114" t="str">
        <f>_xlfn.IFNA(VLOOKUP($BD65,Programma!$F$3:$N$1101,9,0),"")</f>
        <v/>
      </c>
      <c r="BM65" s="114" t="str">
        <f>_xlfn.IFNA(VLOOKUP($BD65,Programma!$F$3:$O$1101,10,0),"")</f>
        <v/>
      </c>
      <c r="BN65" s="114" t="str">
        <f>_xlfn.IFNA(VLOOKUP($BD65,Programma!$F$3:$P$1101,11,0),"")</f>
        <v/>
      </c>
      <c r="BO65" s="114" t="str">
        <f>_xlfn.IFNA(VLOOKUP($BD65,Programma!$F$3:$Q$1101,12,0),"")</f>
        <v/>
      </c>
      <c r="BP65" s="114" t="str">
        <f>_xlfn.IFNA(VLOOKUP($BD65,Programma!$F$3:$R$1101,13,0),"")</f>
        <v/>
      </c>
      <c r="BQ65" s="114" t="str">
        <f>_xlfn.IFNA(VLOOKUP($BD65,Programma!$F$3:$S$1101,14,0),"")</f>
        <v/>
      </c>
      <c r="BR65" s="114" t="str">
        <f>_xlfn.IFNA(VLOOKUP($BD65,Programma!$F$3:$T$1101,15,0),"")</f>
        <v/>
      </c>
      <c r="BS65" s="114" t="str">
        <f>_xlfn.IFNA(VLOOKUP($BD65,Programma!$F$3:$U$1101,16,0),"")</f>
        <v/>
      </c>
      <c r="BT65" s="114" t="str">
        <f>_xlfn.IFNA(VLOOKUP($BD65,Programma!$F$3:$V$1101,17,0),"")</f>
        <v/>
      </c>
      <c r="BU65" s="114" t="str">
        <f>_xlfn.IFNA(VLOOKUP($BD65,Programma!$F$3:$W$1101,18,0),"")</f>
        <v/>
      </c>
      <c r="BV65" s="114" t="str">
        <f>_xlfn.IFNA(VLOOKUP($BD65,Programma!$F$3:$X$1101,19,0),"")</f>
        <v/>
      </c>
      <c r="BW65" s="114" t="str">
        <f>_xlfn.IFNA(VLOOKUP($BD65,Programma!$F$3:$Y$1101,20,0),"")</f>
        <v/>
      </c>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c r="HL65" s="28"/>
    </row>
    <row r="66" spans="1:220" ht="15" customHeight="1">
      <c r="A66" s="31">
        <v>2</v>
      </c>
      <c r="B66" s="105" t="str">
        <f>VLOOKUP(Ruimtestaat[[#This Row],[Code]],Locaties[[Code]:[Locatie]],2,FALSE)</f>
        <v>IKC De Hoge Hoeve</v>
      </c>
      <c r="C66" s="105" t="str">
        <f>VLOOKUP(Ruimtestaat[[#This Row],[Code]],Locaties[[#All],[Code]:[Adres]],4,FALSE)</f>
        <v>De Hoge Hoeve 70</v>
      </c>
      <c r="D66" s="105" t="str">
        <f>VLOOKUP(Ruimtestaat[[#This Row],[Code]],Locaties[[#All],[Code]:[Postcode]],5,FALSE)</f>
        <v>6932 DJ</v>
      </c>
      <c r="E66" s="105" t="str">
        <f>VLOOKUP(Ruimtestaat[[#This Row],[Code]],Locaties[#All],6,FALSE)</f>
        <v>Westervoort</v>
      </c>
      <c r="F66" s="73"/>
      <c r="G66" s="73" t="s">
        <v>1645</v>
      </c>
      <c r="H66" s="271" t="s">
        <v>1758</v>
      </c>
      <c r="I66" s="273" t="s">
        <v>1723</v>
      </c>
      <c r="J66" s="31">
        <v>5</v>
      </c>
      <c r="K66" s="113" t="str">
        <f>VLOOKUP(Ruimtestaat[[#This Row],[Ruimte code]],Ruimtegroepen[[#All],[Code]:[Ruimte omschrijving]],2,FALSE)</f>
        <v>Sanitair</v>
      </c>
      <c r="L66" s="73" t="s">
        <v>102</v>
      </c>
      <c r="M66" s="273" t="s">
        <v>120</v>
      </c>
      <c r="N66" s="106"/>
      <c r="O66" s="73"/>
      <c r="P66" s="106">
        <v>9</v>
      </c>
      <c r="Q66" s="107" t="str">
        <f>VLOOKUP(Ruimtestaat[[#This Row],[Ruimte code]],Ruimtegroepen[],4,FALSE)</f>
        <v>Sa</v>
      </c>
      <c r="R66" s="73"/>
      <c r="S66" s="73"/>
      <c r="T66" s="73">
        <f>IF(R66&gt;0,IF(RIGHT(Ruimtestaat[[#This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 s="73">
        <f>IF(T66&gt;0,VLOOKUP($J66,Ruimtegroepen[],3,FALSE)*VLOOKUP($L66,Vloersoorten[],3,FALSE)*VLOOKUP($S66,Frequenties[],3,FALSE)*VLOOKUP($A66,Locaties[],3,FALSE),0)</f>
        <v>0</v>
      </c>
      <c r="V66" s="73">
        <f>Ruimtestaat[[#This Row],[Uitvoeringen werkdagen]]*Ruimtestaat[[#This Row],[Oppervlak (netto)]]</f>
        <v>0</v>
      </c>
      <c r="W66" s="108">
        <f>IF(U66&gt;0,Ruimtestaat[[#This Row],[Prest. (m2 /jaar) werkdagen]]/Ruimtestaat[[#This Row],[Norm (m2/uur) werkdagen]],0)</f>
        <v>0</v>
      </c>
      <c r="X66" s="109">
        <f>Ruimtestaat[[#This Row],[uren / jaar werkdagen]]*Tariefsopbouw!$E$35</f>
        <v>0</v>
      </c>
      <c r="Y66" s="73"/>
      <c r="Z66" s="73">
        <f>IF(Ruimtestaat[[#This Row],[Frequentie weekend]]&gt;0,VALUE(LEFT(Y66,1))*R66,0)</f>
        <v>0</v>
      </c>
      <c r="AA66" s="72">
        <f>IF($Z66&gt;0,VLOOKUP($J66,Ruimtegroepen[],3,FALSE)*VLOOKUP($L66,Vloersoorten[],3,FALSE)*VLOOKUP($Y66,Frequenties[],3,FALSE)*VLOOKUP(Ruimtestaat[[#This Row],[Code]],Locaties[],3,FALSE),0)</f>
        <v>0</v>
      </c>
      <c r="AB66" s="72">
        <f>Ruimtestaat[[#This Row],[Uitvoeringen weekend]]*Ruimtestaat[[#This Row],[Oppervlak (netto)]]</f>
        <v>0</v>
      </c>
      <c r="AC66" s="72">
        <f>IF(AA66&gt;0,Ruimtestaat[[#This Row],[Prest. (m2 /jaar) weekend]]/Ruimtestaat[[#This Row],[Norm (m2/uur) weekend]],0)</f>
        <v>0</v>
      </c>
      <c r="AD66" s="109">
        <f>Ruimtestaat[[#This Row],[uren / jaar weekend]]*Tariefsopbouw!$D$40</f>
        <v>0</v>
      </c>
      <c r="AE66" s="108">
        <f>Ruimtestaat[[#This Row],[Prest. (m2 /jaar) weekend]]+Ruimtestaat[[#This Row],[Prest. (m2 /jaar) werkdagen]]</f>
        <v>0</v>
      </c>
      <c r="AF66" s="108">
        <f>Ruimtestaat[[#This Row],[uren / jaar weekend]]+Ruimtestaat[[#This Row],[uren / jaar werkdagen]]</f>
        <v>0</v>
      </c>
      <c r="AG66" s="103">
        <f>Ruimtestaat[[#This Row],[kosten / jaar weekend]]+Ruimtestaat[[#This Row],[kosten / jaar werkdagen]]</f>
        <v>0</v>
      </c>
      <c r="AH66" s="103"/>
      <c r="AI66" s="110" t="str">
        <f>IF(Ruimtestaat[[#This Row],[Frequentie werkdagen]]="","",_xlfn.CONCAT(Ruimtestaat[[#This Row],[Ruimte code]],"-",Ruimtestaat[[#This Row],[Frequentie werkdagen]]," ",Ruimtestaat[[#This Row],[Vloer code]]))</f>
        <v/>
      </c>
      <c r="AJ66" s="114" t="str">
        <f>_xlfn.IFNA(VLOOKUP($AI66,Programma!$F$3:$G$1101,2,0),"")</f>
        <v/>
      </c>
      <c r="AK66" s="114" t="str">
        <f>_xlfn.IFNA(VLOOKUP($AI66,Programma!$F$3:$H$1101,3,0),"")</f>
        <v/>
      </c>
      <c r="AL66" s="114" t="str">
        <f>_xlfn.IFNA(VLOOKUP($AI66,Programma!$F$3:$I$1101,4,0),"")</f>
        <v/>
      </c>
      <c r="AM66" s="114" t="str">
        <f>_xlfn.IFNA(VLOOKUP($AI66,Programma!$F$3:$J$1101,5,0),"")</f>
        <v/>
      </c>
      <c r="AN66" s="114" t="str">
        <f>_xlfn.IFNA(VLOOKUP($AI66,Programma!$F$3:$K$1101,6,0),"")</f>
        <v/>
      </c>
      <c r="AO66" s="114" t="str">
        <f>_xlfn.IFNA(VLOOKUP($AI66,Programma!$F$3:$L$1101,7,0),"")</f>
        <v/>
      </c>
      <c r="AP66" s="114" t="str">
        <f>_xlfn.IFNA(VLOOKUP($AI66,Programma!$F$3:$M$1101,8,0),"")</f>
        <v/>
      </c>
      <c r="AQ66" s="114" t="str">
        <f>_xlfn.IFNA(VLOOKUP($AI66,Programma!$F$3:$N$1101,9,0),"")</f>
        <v/>
      </c>
      <c r="AR66" s="114" t="str">
        <f>_xlfn.IFNA(VLOOKUP($AI66,Programma!$F$3:$O$1101,10,0),"")</f>
        <v/>
      </c>
      <c r="AS66" s="114" t="str">
        <f>_xlfn.IFNA(VLOOKUP($AI66,Programma!$F$3:$P$1101,11,0),"")</f>
        <v/>
      </c>
      <c r="AT66" s="114" t="str">
        <f>_xlfn.IFNA(VLOOKUP($AI66,Programma!$F$3:$Q$1101,12,0),"")</f>
        <v/>
      </c>
      <c r="AU66" s="114" t="str">
        <f>_xlfn.IFNA(VLOOKUP($AI66,Programma!$F$3:$R$1101,13,0),"")</f>
        <v/>
      </c>
      <c r="AV66" s="114" t="str">
        <f>_xlfn.IFNA(VLOOKUP($AI66,Programma!$F$3:$S$1101,14,0),"")</f>
        <v/>
      </c>
      <c r="AW66" s="114" t="str">
        <f>_xlfn.IFNA(VLOOKUP($AI66,Programma!$F$3:$T$1101,15,0),"")</f>
        <v/>
      </c>
      <c r="AX66" s="114" t="str">
        <f>_xlfn.IFNA(VLOOKUP($AI66,Programma!$F$3:$U$1101,16,0),"")</f>
        <v/>
      </c>
      <c r="AY66" s="114" t="str">
        <f>_xlfn.IFNA(VLOOKUP($AI66,Programma!$F$3:$V$1101,17,0),"")</f>
        <v/>
      </c>
      <c r="AZ66" s="114" t="str">
        <f>_xlfn.IFNA(VLOOKUP($AI66,Programma!$F$3:$W$1101,18,0),"")</f>
        <v/>
      </c>
      <c r="BA66" s="114" t="str">
        <f>_xlfn.IFNA(VLOOKUP($AI66,Programma!$F$3:$X$1101,19,0),"")</f>
        <v/>
      </c>
      <c r="BB66" s="114" t="str">
        <f>_xlfn.IFNA(VLOOKUP($AI66,Programma!$F$3:$Y$1101,20,0),"")</f>
        <v/>
      </c>
      <c r="BC66" s="111"/>
      <c r="BD66" s="110" t="str">
        <f>IF(Ruimtestaat[[#This Row],[Frequentie weekend]]="","",_xlfn.CONCAT(Ruimtestaat[[#This Row],[Ruimte code]],"-",Ruimtestaat[[#This Row],[Frequentie weekend]]," ",Ruimtestaat[[#This Row],[Vloer code]]))</f>
        <v/>
      </c>
      <c r="BE66" s="114" t="str">
        <f>_xlfn.IFNA(VLOOKUP($BD66,Programma!$F$3:$G$1101,2,0),"")</f>
        <v/>
      </c>
      <c r="BF66" s="114" t="str">
        <f>_xlfn.IFNA(VLOOKUP($BD66,Programma!$F$3:$H$1101,3,0),"")</f>
        <v/>
      </c>
      <c r="BG66" s="114" t="str">
        <f>_xlfn.IFNA(VLOOKUP($BD66,Programma!$F$3:$I$1101,4,0),"")</f>
        <v/>
      </c>
      <c r="BH66" s="114" t="str">
        <f>_xlfn.IFNA(VLOOKUP($BD66,Programma!$F$3:$J$1101,5,0),"")</f>
        <v/>
      </c>
      <c r="BI66" s="114" t="str">
        <f>_xlfn.IFNA(VLOOKUP($BD66,Programma!$F$3:$K$1101,6,0),"")</f>
        <v/>
      </c>
      <c r="BJ66" s="114" t="str">
        <f>_xlfn.IFNA(VLOOKUP($BD66,Programma!$F$3:$L$1101,7,0),"")</f>
        <v/>
      </c>
      <c r="BK66" s="114" t="str">
        <f>_xlfn.IFNA(VLOOKUP($BD66,Programma!$F$3:$M$1101,8,0),"")</f>
        <v/>
      </c>
      <c r="BL66" s="114" t="str">
        <f>_xlfn.IFNA(VLOOKUP($BD66,Programma!$F$3:$N$1101,9,0),"")</f>
        <v/>
      </c>
      <c r="BM66" s="114" t="str">
        <f>_xlfn.IFNA(VLOOKUP($BD66,Programma!$F$3:$O$1101,10,0),"")</f>
        <v/>
      </c>
      <c r="BN66" s="114" t="str">
        <f>_xlfn.IFNA(VLOOKUP($BD66,Programma!$F$3:$P$1101,11,0),"")</f>
        <v/>
      </c>
      <c r="BO66" s="114" t="str">
        <f>_xlfn.IFNA(VLOOKUP($BD66,Programma!$F$3:$Q$1101,12,0),"")</f>
        <v/>
      </c>
      <c r="BP66" s="114" t="str">
        <f>_xlfn.IFNA(VLOOKUP($BD66,Programma!$F$3:$R$1101,13,0),"")</f>
        <v/>
      </c>
      <c r="BQ66" s="114" t="str">
        <f>_xlfn.IFNA(VLOOKUP($BD66,Programma!$F$3:$S$1101,14,0),"")</f>
        <v/>
      </c>
      <c r="BR66" s="114" t="str">
        <f>_xlfn.IFNA(VLOOKUP($BD66,Programma!$F$3:$T$1101,15,0),"")</f>
        <v/>
      </c>
      <c r="BS66" s="114" t="str">
        <f>_xlfn.IFNA(VLOOKUP($BD66,Programma!$F$3:$U$1101,16,0),"")</f>
        <v/>
      </c>
      <c r="BT66" s="114" t="str">
        <f>_xlfn.IFNA(VLOOKUP($BD66,Programma!$F$3:$V$1101,17,0),"")</f>
        <v/>
      </c>
      <c r="BU66" s="114" t="str">
        <f>_xlfn.IFNA(VLOOKUP($BD66,Programma!$F$3:$W$1101,18,0),"")</f>
        <v/>
      </c>
      <c r="BV66" s="114" t="str">
        <f>_xlfn.IFNA(VLOOKUP($BD66,Programma!$F$3:$X$1101,19,0),"")</f>
        <v/>
      </c>
      <c r="BW66" s="114" t="str">
        <f>_xlfn.IFNA(VLOOKUP($BD66,Programma!$F$3:$Y$1101,20,0),"")</f>
        <v/>
      </c>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c r="HL66" s="28"/>
    </row>
    <row r="67" spans="1:220" ht="15" customHeight="1">
      <c r="A67" s="31">
        <v>2</v>
      </c>
      <c r="B67" s="105" t="str">
        <f>VLOOKUP(Ruimtestaat[[#This Row],[Code]],Locaties[[Code]:[Locatie]],2,FALSE)</f>
        <v>IKC De Hoge Hoeve</v>
      </c>
      <c r="C67" s="105" t="str">
        <f>VLOOKUP(Ruimtestaat[[#This Row],[Code]],Locaties[[#All],[Code]:[Adres]],4,FALSE)</f>
        <v>De Hoge Hoeve 70</v>
      </c>
      <c r="D67" s="105" t="str">
        <f>VLOOKUP(Ruimtestaat[[#This Row],[Code]],Locaties[[#All],[Code]:[Postcode]],5,FALSE)</f>
        <v>6932 DJ</v>
      </c>
      <c r="E67" s="105" t="str">
        <f>VLOOKUP(Ruimtestaat[[#This Row],[Code]],Locaties[#All],6,FALSE)</f>
        <v>Westervoort</v>
      </c>
      <c r="F67" s="73"/>
      <c r="G67" s="73" t="s">
        <v>1645</v>
      </c>
      <c r="H67" s="271" t="s">
        <v>1759</v>
      </c>
      <c r="I67" s="273" t="s">
        <v>1652</v>
      </c>
      <c r="J67" s="31">
        <v>20</v>
      </c>
      <c r="K67" s="113" t="str">
        <f>VLOOKUP(Ruimtestaat[[#This Row],[Ruimte code]],Ruimtegroepen[[#All],[Code]:[Ruimte omschrijving]],2,FALSE)</f>
        <v>Niet in Onderhoud</v>
      </c>
      <c r="L67" s="73" t="s">
        <v>102</v>
      </c>
      <c r="M67" s="273" t="s">
        <v>120</v>
      </c>
      <c r="N67" s="106"/>
      <c r="O67" s="112">
        <v>2</v>
      </c>
      <c r="P67" s="106"/>
      <c r="Q67" s="107">
        <f>VLOOKUP(Ruimtestaat[[#This Row],[Ruimte code]],Ruimtegroepen[],4,FALSE)</f>
        <v>0</v>
      </c>
      <c r="R67" s="73"/>
      <c r="S67" s="73"/>
      <c r="T67" s="73">
        <f>IF(R67&gt;0,IF(RIGHT(Ruimtestaat[[#This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 s="73">
        <f>IF(T67&gt;0,VLOOKUP($J67,Ruimtegroepen[],3,FALSE)*VLOOKUP($L67,Vloersoorten[],3,FALSE)*VLOOKUP($S67,Frequenties[],3,FALSE)*VLOOKUP($A67,Locaties[],3,FALSE),0)</f>
        <v>0</v>
      </c>
      <c r="V67" s="73">
        <f>Ruimtestaat[[#This Row],[Uitvoeringen werkdagen]]*Ruimtestaat[[#This Row],[Oppervlak (netto)]]</f>
        <v>0</v>
      </c>
      <c r="W67" s="108">
        <f>IF(U67&gt;0,Ruimtestaat[[#This Row],[Prest. (m2 /jaar) werkdagen]]/Ruimtestaat[[#This Row],[Norm (m2/uur) werkdagen]],0)</f>
        <v>0</v>
      </c>
      <c r="X67" s="109">
        <f>Ruimtestaat[[#This Row],[uren / jaar werkdagen]]*Tariefsopbouw!$E$35</f>
        <v>0</v>
      </c>
      <c r="Y67" s="73"/>
      <c r="Z67" s="73">
        <f>IF(Ruimtestaat[[#This Row],[Frequentie weekend]]&gt;0,VALUE(LEFT(Y67,1))*R67,0)</f>
        <v>0</v>
      </c>
      <c r="AA67" s="72">
        <f>IF($Z67&gt;0,VLOOKUP($J67,Ruimtegroepen[],3,FALSE)*VLOOKUP($L67,Vloersoorten[],3,FALSE)*VLOOKUP($Y67,Frequenties[],3,FALSE)*VLOOKUP(Ruimtestaat[[#This Row],[Code]],Locaties[],3,FALSE),0)</f>
        <v>0</v>
      </c>
      <c r="AB67" s="72">
        <f>Ruimtestaat[[#This Row],[Uitvoeringen weekend]]*Ruimtestaat[[#This Row],[Oppervlak (netto)]]</f>
        <v>0</v>
      </c>
      <c r="AC67" s="72">
        <f>IF(AA67&gt;0,Ruimtestaat[[#This Row],[Prest. (m2 /jaar) weekend]]/Ruimtestaat[[#This Row],[Norm (m2/uur) weekend]],0)</f>
        <v>0</v>
      </c>
      <c r="AD67" s="109">
        <f>Ruimtestaat[[#This Row],[uren / jaar weekend]]*Tariefsopbouw!$D$40</f>
        <v>0</v>
      </c>
      <c r="AE67" s="108">
        <f>Ruimtestaat[[#This Row],[Prest. (m2 /jaar) weekend]]+Ruimtestaat[[#This Row],[Prest. (m2 /jaar) werkdagen]]</f>
        <v>0</v>
      </c>
      <c r="AF67" s="108">
        <f>Ruimtestaat[[#This Row],[uren / jaar weekend]]+Ruimtestaat[[#This Row],[uren / jaar werkdagen]]</f>
        <v>0</v>
      </c>
      <c r="AG67" s="103">
        <f>Ruimtestaat[[#This Row],[kosten / jaar weekend]]+Ruimtestaat[[#This Row],[kosten / jaar werkdagen]]</f>
        <v>0</v>
      </c>
      <c r="AH67" s="103"/>
      <c r="AI67" s="110" t="str">
        <f>IF(Ruimtestaat[[#This Row],[Frequentie werkdagen]]="","",_xlfn.CONCAT(Ruimtestaat[[#This Row],[Ruimte code]],"-",Ruimtestaat[[#This Row],[Frequentie werkdagen]]," ",Ruimtestaat[[#This Row],[Vloer code]]))</f>
        <v/>
      </c>
      <c r="AJ67" s="114" t="str">
        <f>_xlfn.IFNA(VLOOKUP($AI67,Programma!$F$3:$G$1101,2,0),"")</f>
        <v/>
      </c>
      <c r="AK67" s="114" t="str">
        <f>_xlfn.IFNA(VLOOKUP($AI67,Programma!$F$3:$H$1101,3,0),"")</f>
        <v/>
      </c>
      <c r="AL67" s="114" t="str">
        <f>_xlfn.IFNA(VLOOKUP($AI67,Programma!$F$3:$I$1101,4,0),"")</f>
        <v/>
      </c>
      <c r="AM67" s="114" t="str">
        <f>_xlfn.IFNA(VLOOKUP($AI67,Programma!$F$3:$J$1101,5,0),"")</f>
        <v/>
      </c>
      <c r="AN67" s="114" t="str">
        <f>_xlfn.IFNA(VLOOKUP($AI67,Programma!$F$3:$K$1101,6,0),"")</f>
        <v/>
      </c>
      <c r="AO67" s="114" t="str">
        <f>_xlfn.IFNA(VLOOKUP($AI67,Programma!$F$3:$L$1101,7,0),"")</f>
        <v/>
      </c>
      <c r="AP67" s="114" t="str">
        <f>_xlfn.IFNA(VLOOKUP($AI67,Programma!$F$3:$M$1101,8,0),"")</f>
        <v/>
      </c>
      <c r="AQ67" s="114" t="str">
        <f>_xlfn.IFNA(VLOOKUP($AI67,Programma!$F$3:$N$1101,9,0),"")</f>
        <v/>
      </c>
      <c r="AR67" s="114" t="str">
        <f>_xlfn.IFNA(VLOOKUP($AI67,Programma!$F$3:$O$1101,10,0),"")</f>
        <v/>
      </c>
      <c r="AS67" s="114" t="str">
        <f>_xlfn.IFNA(VLOOKUP($AI67,Programma!$F$3:$P$1101,11,0),"")</f>
        <v/>
      </c>
      <c r="AT67" s="114" t="str">
        <f>_xlfn.IFNA(VLOOKUP($AI67,Programma!$F$3:$Q$1101,12,0),"")</f>
        <v/>
      </c>
      <c r="AU67" s="114" t="str">
        <f>_xlfn.IFNA(VLOOKUP($AI67,Programma!$F$3:$R$1101,13,0),"")</f>
        <v/>
      </c>
      <c r="AV67" s="114" t="str">
        <f>_xlfn.IFNA(VLOOKUP($AI67,Programma!$F$3:$S$1101,14,0),"")</f>
        <v/>
      </c>
      <c r="AW67" s="114" t="str">
        <f>_xlfn.IFNA(VLOOKUP($AI67,Programma!$F$3:$T$1101,15,0),"")</f>
        <v/>
      </c>
      <c r="AX67" s="114" t="str">
        <f>_xlfn.IFNA(VLOOKUP($AI67,Programma!$F$3:$U$1101,16,0),"")</f>
        <v/>
      </c>
      <c r="AY67" s="114" t="str">
        <f>_xlfn.IFNA(VLOOKUP($AI67,Programma!$F$3:$V$1101,17,0),"")</f>
        <v/>
      </c>
      <c r="AZ67" s="114" t="str">
        <f>_xlfn.IFNA(VLOOKUP($AI67,Programma!$F$3:$W$1101,18,0),"")</f>
        <v/>
      </c>
      <c r="BA67" s="114" t="str">
        <f>_xlfn.IFNA(VLOOKUP($AI67,Programma!$F$3:$X$1101,19,0),"")</f>
        <v/>
      </c>
      <c r="BB67" s="114" t="str">
        <f>_xlfn.IFNA(VLOOKUP($AI67,Programma!$F$3:$Y$1101,20,0),"")</f>
        <v/>
      </c>
      <c r="BC67" s="111"/>
      <c r="BD67" s="110" t="str">
        <f>IF(Ruimtestaat[[#This Row],[Frequentie weekend]]="","",_xlfn.CONCAT(Ruimtestaat[[#This Row],[Ruimte code]],"-",Ruimtestaat[[#This Row],[Frequentie weekend]]," ",Ruimtestaat[[#This Row],[Vloer code]]))</f>
        <v/>
      </c>
      <c r="BE67" s="114" t="str">
        <f>_xlfn.IFNA(VLOOKUP($BD67,Programma!$F$3:$G$1101,2,0),"")</f>
        <v/>
      </c>
      <c r="BF67" s="114" t="str">
        <f>_xlfn.IFNA(VLOOKUP($BD67,Programma!$F$3:$H$1101,3,0),"")</f>
        <v/>
      </c>
      <c r="BG67" s="114" t="str">
        <f>_xlfn.IFNA(VLOOKUP($BD67,Programma!$F$3:$I$1101,4,0),"")</f>
        <v/>
      </c>
      <c r="BH67" s="114" t="str">
        <f>_xlfn.IFNA(VLOOKUP($BD67,Programma!$F$3:$J$1101,5,0),"")</f>
        <v/>
      </c>
      <c r="BI67" s="114" t="str">
        <f>_xlfn.IFNA(VLOOKUP($BD67,Programma!$F$3:$K$1101,6,0),"")</f>
        <v/>
      </c>
      <c r="BJ67" s="114" t="str">
        <f>_xlfn.IFNA(VLOOKUP($BD67,Programma!$F$3:$L$1101,7,0),"")</f>
        <v/>
      </c>
      <c r="BK67" s="114" t="str">
        <f>_xlfn.IFNA(VLOOKUP($BD67,Programma!$F$3:$M$1101,8,0),"")</f>
        <v/>
      </c>
      <c r="BL67" s="114" t="str">
        <f>_xlfn.IFNA(VLOOKUP($BD67,Programma!$F$3:$N$1101,9,0),"")</f>
        <v/>
      </c>
      <c r="BM67" s="114" t="str">
        <f>_xlfn.IFNA(VLOOKUP($BD67,Programma!$F$3:$O$1101,10,0),"")</f>
        <v/>
      </c>
      <c r="BN67" s="114" t="str">
        <f>_xlfn.IFNA(VLOOKUP($BD67,Programma!$F$3:$P$1101,11,0),"")</f>
        <v/>
      </c>
      <c r="BO67" s="114" t="str">
        <f>_xlfn.IFNA(VLOOKUP($BD67,Programma!$F$3:$Q$1101,12,0),"")</f>
        <v/>
      </c>
      <c r="BP67" s="114" t="str">
        <f>_xlfn.IFNA(VLOOKUP($BD67,Programma!$F$3:$R$1101,13,0),"")</f>
        <v/>
      </c>
      <c r="BQ67" s="114" t="str">
        <f>_xlfn.IFNA(VLOOKUP($BD67,Programma!$F$3:$S$1101,14,0),"")</f>
        <v/>
      </c>
      <c r="BR67" s="114" t="str">
        <f>_xlfn.IFNA(VLOOKUP($BD67,Programma!$F$3:$T$1101,15,0),"")</f>
        <v/>
      </c>
      <c r="BS67" s="114" t="str">
        <f>_xlfn.IFNA(VLOOKUP($BD67,Programma!$F$3:$U$1101,16,0),"")</f>
        <v/>
      </c>
      <c r="BT67" s="114" t="str">
        <f>_xlfn.IFNA(VLOOKUP($BD67,Programma!$F$3:$V$1101,17,0),"")</f>
        <v/>
      </c>
      <c r="BU67" s="114" t="str">
        <f>_xlfn.IFNA(VLOOKUP($BD67,Programma!$F$3:$W$1101,18,0),"")</f>
        <v/>
      </c>
      <c r="BV67" s="114" t="str">
        <f>_xlfn.IFNA(VLOOKUP($BD67,Programma!$F$3:$X$1101,19,0),"")</f>
        <v/>
      </c>
      <c r="BW67" s="114" t="str">
        <f>_xlfn.IFNA(VLOOKUP($BD67,Programma!$F$3:$Y$1101,20,0),"")</f>
        <v/>
      </c>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c r="HL67" s="28"/>
    </row>
    <row r="68" spans="1:220" ht="15" customHeight="1">
      <c r="A68" s="31">
        <v>2</v>
      </c>
      <c r="B68" s="105" t="str">
        <f>VLOOKUP(Ruimtestaat[[#This Row],[Code]],Locaties[[Code]:[Locatie]],2,FALSE)</f>
        <v>IKC De Hoge Hoeve</v>
      </c>
      <c r="C68" s="105" t="str">
        <f>VLOOKUP(Ruimtestaat[[#This Row],[Code]],Locaties[[#All],[Code]:[Adres]],4,FALSE)</f>
        <v>De Hoge Hoeve 70</v>
      </c>
      <c r="D68" s="105" t="str">
        <f>VLOOKUP(Ruimtestaat[[#This Row],[Code]],Locaties[[#All],[Code]:[Postcode]],5,FALSE)</f>
        <v>6932 DJ</v>
      </c>
      <c r="E68" s="105" t="str">
        <f>VLOOKUP(Ruimtestaat[[#This Row],[Code]],Locaties[#All],6,FALSE)</f>
        <v>Westervoort</v>
      </c>
      <c r="F68" s="73"/>
      <c r="G68" s="73" t="s">
        <v>1645</v>
      </c>
      <c r="H68" s="271" t="s">
        <v>1760</v>
      </c>
      <c r="I68" s="273" t="s">
        <v>1651</v>
      </c>
      <c r="J68" s="31">
        <v>16</v>
      </c>
      <c r="K68" s="113" t="str">
        <f>VLOOKUP(Ruimtestaat[[#This Row],[Ruimte code]],Ruimtegroepen[[#All],[Code]:[Ruimte omschrijving]],2,FALSE)</f>
        <v>Leslokalen</v>
      </c>
      <c r="L68" s="73" t="s">
        <v>102</v>
      </c>
      <c r="M68" s="273" t="s">
        <v>120</v>
      </c>
      <c r="N68" s="106"/>
      <c r="O68" s="112"/>
      <c r="P68" s="106">
        <v>58</v>
      </c>
      <c r="Q68" s="107" t="str">
        <f>VLOOKUP(Ruimtestaat[[#This Row],[Ruimte code]],Ruimtegroepen[],4,FALSE)</f>
        <v>Le</v>
      </c>
      <c r="R68" s="73"/>
      <c r="S68" s="73"/>
      <c r="T68" s="73">
        <f>IF(R68&gt;0,IF(RIGHT(Ruimtestaat[[#This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 s="73">
        <f>IF(T68&gt;0,VLOOKUP($J68,Ruimtegroepen[],3,FALSE)*VLOOKUP($L68,Vloersoorten[],3,FALSE)*VLOOKUP($S68,Frequenties[],3,FALSE)*VLOOKUP($A68,Locaties[],3,FALSE),0)</f>
        <v>0</v>
      </c>
      <c r="V68" s="73">
        <f>Ruimtestaat[[#This Row],[Uitvoeringen werkdagen]]*Ruimtestaat[[#This Row],[Oppervlak (netto)]]</f>
        <v>0</v>
      </c>
      <c r="W68" s="108">
        <f>IF(U68&gt;0,Ruimtestaat[[#This Row],[Prest. (m2 /jaar) werkdagen]]/Ruimtestaat[[#This Row],[Norm (m2/uur) werkdagen]],0)</f>
        <v>0</v>
      </c>
      <c r="X68" s="109">
        <f>Ruimtestaat[[#This Row],[uren / jaar werkdagen]]*Tariefsopbouw!$E$35</f>
        <v>0</v>
      </c>
      <c r="Y68" s="73"/>
      <c r="Z68" s="73">
        <f>IF(Ruimtestaat[[#This Row],[Frequentie weekend]]&gt;0,VALUE(LEFT(Y68,1))*R68,0)</f>
        <v>0</v>
      </c>
      <c r="AA68" s="72">
        <f>IF($Z68&gt;0,VLOOKUP($J68,Ruimtegroepen[],3,FALSE)*VLOOKUP($L68,Vloersoorten[],3,FALSE)*VLOOKUP($Y68,Frequenties[],3,FALSE)*VLOOKUP(Ruimtestaat[[#This Row],[Code]],Locaties[],3,FALSE),0)</f>
        <v>0</v>
      </c>
      <c r="AB68" s="72">
        <f>Ruimtestaat[[#This Row],[Uitvoeringen weekend]]*Ruimtestaat[[#This Row],[Oppervlak (netto)]]</f>
        <v>0</v>
      </c>
      <c r="AC68" s="72">
        <f>IF(AA68&gt;0,Ruimtestaat[[#This Row],[Prest. (m2 /jaar) weekend]]/Ruimtestaat[[#This Row],[Norm (m2/uur) weekend]],0)</f>
        <v>0</v>
      </c>
      <c r="AD68" s="109">
        <f>Ruimtestaat[[#This Row],[uren / jaar weekend]]*Tariefsopbouw!$D$40</f>
        <v>0</v>
      </c>
      <c r="AE68" s="108">
        <f>Ruimtestaat[[#This Row],[Prest. (m2 /jaar) weekend]]+Ruimtestaat[[#This Row],[Prest. (m2 /jaar) werkdagen]]</f>
        <v>0</v>
      </c>
      <c r="AF68" s="108">
        <f>Ruimtestaat[[#This Row],[uren / jaar weekend]]+Ruimtestaat[[#This Row],[uren / jaar werkdagen]]</f>
        <v>0</v>
      </c>
      <c r="AG68" s="103">
        <f>Ruimtestaat[[#This Row],[kosten / jaar weekend]]+Ruimtestaat[[#This Row],[kosten / jaar werkdagen]]</f>
        <v>0</v>
      </c>
      <c r="AH68" s="103"/>
      <c r="AI68" s="110" t="str">
        <f>IF(Ruimtestaat[[#This Row],[Frequentie werkdagen]]="","",_xlfn.CONCAT(Ruimtestaat[[#This Row],[Ruimte code]],"-",Ruimtestaat[[#This Row],[Frequentie werkdagen]]," ",Ruimtestaat[[#This Row],[Vloer code]]))</f>
        <v/>
      </c>
      <c r="AJ68" s="114" t="str">
        <f>_xlfn.IFNA(VLOOKUP($AI68,Programma!$F$3:$G$1101,2,0),"")</f>
        <v/>
      </c>
      <c r="AK68" s="114" t="str">
        <f>_xlfn.IFNA(VLOOKUP($AI68,Programma!$F$3:$H$1101,3,0),"")</f>
        <v/>
      </c>
      <c r="AL68" s="114" t="str">
        <f>_xlfn.IFNA(VLOOKUP($AI68,Programma!$F$3:$I$1101,4,0),"")</f>
        <v/>
      </c>
      <c r="AM68" s="114" t="str">
        <f>_xlfn.IFNA(VLOOKUP($AI68,Programma!$F$3:$J$1101,5,0),"")</f>
        <v/>
      </c>
      <c r="AN68" s="114" t="str">
        <f>_xlfn.IFNA(VLOOKUP($AI68,Programma!$F$3:$K$1101,6,0),"")</f>
        <v/>
      </c>
      <c r="AO68" s="114" t="str">
        <f>_xlfn.IFNA(VLOOKUP($AI68,Programma!$F$3:$L$1101,7,0),"")</f>
        <v/>
      </c>
      <c r="AP68" s="114" t="str">
        <f>_xlfn.IFNA(VLOOKUP($AI68,Programma!$F$3:$M$1101,8,0),"")</f>
        <v/>
      </c>
      <c r="AQ68" s="114" t="str">
        <f>_xlfn.IFNA(VLOOKUP($AI68,Programma!$F$3:$N$1101,9,0),"")</f>
        <v/>
      </c>
      <c r="AR68" s="114" t="str">
        <f>_xlfn.IFNA(VLOOKUP($AI68,Programma!$F$3:$O$1101,10,0),"")</f>
        <v/>
      </c>
      <c r="AS68" s="114" t="str">
        <f>_xlfn.IFNA(VLOOKUP($AI68,Programma!$F$3:$P$1101,11,0),"")</f>
        <v/>
      </c>
      <c r="AT68" s="114" t="str">
        <f>_xlfn.IFNA(VLOOKUP($AI68,Programma!$F$3:$Q$1101,12,0),"")</f>
        <v/>
      </c>
      <c r="AU68" s="114" t="str">
        <f>_xlfn.IFNA(VLOOKUP($AI68,Programma!$F$3:$R$1101,13,0),"")</f>
        <v/>
      </c>
      <c r="AV68" s="114" t="str">
        <f>_xlfn.IFNA(VLOOKUP($AI68,Programma!$F$3:$S$1101,14,0),"")</f>
        <v/>
      </c>
      <c r="AW68" s="114" t="str">
        <f>_xlfn.IFNA(VLOOKUP($AI68,Programma!$F$3:$T$1101,15,0),"")</f>
        <v/>
      </c>
      <c r="AX68" s="114" t="str">
        <f>_xlfn.IFNA(VLOOKUP($AI68,Programma!$F$3:$U$1101,16,0),"")</f>
        <v/>
      </c>
      <c r="AY68" s="114" t="str">
        <f>_xlfn.IFNA(VLOOKUP($AI68,Programma!$F$3:$V$1101,17,0),"")</f>
        <v/>
      </c>
      <c r="AZ68" s="114" t="str">
        <f>_xlfn.IFNA(VLOOKUP($AI68,Programma!$F$3:$W$1101,18,0),"")</f>
        <v/>
      </c>
      <c r="BA68" s="114" t="str">
        <f>_xlfn.IFNA(VLOOKUP($AI68,Programma!$F$3:$X$1101,19,0),"")</f>
        <v/>
      </c>
      <c r="BB68" s="114" t="str">
        <f>_xlfn.IFNA(VLOOKUP($AI68,Programma!$F$3:$Y$1101,20,0),"")</f>
        <v/>
      </c>
      <c r="BC68" s="111"/>
      <c r="BD68" s="110" t="str">
        <f>IF(Ruimtestaat[[#This Row],[Frequentie weekend]]="","",_xlfn.CONCAT(Ruimtestaat[[#This Row],[Ruimte code]],"-",Ruimtestaat[[#This Row],[Frequentie weekend]]," ",Ruimtestaat[[#This Row],[Vloer code]]))</f>
        <v/>
      </c>
      <c r="BE68" s="114" t="str">
        <f>_xlfn.IFNA(VLOOKUP($BD68,Programma!$F$3:$G$1101,2,0),"")</f>
        <v/>
      </c>
      <c r="BF68" s="114" t="str">
        <f>_xlfn.IFNA(VLOOKUP($BD68,Programma!$F$3:$H$1101,3,0),"")</f>
        <v/>
      </c>
      <c r="BG68" s="114" t="str">
        <f>_xlfn.IFNA(VLOOKUP($BD68,Programma!$F$3:$I$1101,4,0),"")</f>
        <v/>
      </c>
      <c r="BH68" s="114" t="str">
        <f>_xlfn.IFNA(VLOOKUP($BD68,Programma!$F$3:$J$1101,5,0),"")</f>
        <v/>
      </c>
      <c r="BI68" s="114" t="str">
        <f>_xlfn.IFNA(VLOOKUP($BD68,Programma!$F$3:$K$1101,6,0),"")</f>
        <v/>
      </c>
      <c r="BJ68" s="114" t="str">
        <f>_xlfn.IFNA(VLOOKUP($BD68,Programma!$F$3:$L$1101,7,0),"")</f>
        <v/>
      </c>
      <c r="BK68" s="114" t="str">
        <f>_xlfn.IFNA(VLOOKUP($BD68,Programma!$F$3:$M$1101,8,0),"")</f>
        <v/>
      </c>
      <c r="BL68" s="114" t="str">
        <f>_xlfn.IFNA(VLOOKUP($BD68,Programma!$F$3:$N$1101,9,0),"")</f>
        <v/>
      </c>
      <c r="BM68" s="114" t="str">
        <f>_xlfn.IFNA(VLOOKUP($BD68,Programma!$F$3:$O$1101,10,0),"")</f>
        <v/>
      </c>
      <c r="BN68" s="114" t="str">
        <f>_xlfn.IFNA(VLOOKUP($BD68,Programma!$F$3:$P$1101,11,0),"")</f>
        <v/>
      </c>
      <c r="BO68" s="114" t="str">
        <f>_xlfn.IFNA(VLOOKUP($BD68,Programma!$F$3:$Q$1101,12,0),"")</f>
        <v/>
      </c>
      <c r="BP68" s="114" t="str">
        <f>_xlfn.IFNA(VLOOKUP($BD68,Programma!$F$3:$R$1101,13,0),"")</f>
        <v/>
      </c>
      <c r="BQ68" s="114" t="str">
        <f>_xlfn.IFNA(VLOOKUP($BD68,Programma!$F$3:$S$1101,14,0),"")</f>
        <v/>
      </c>
      <c r="BR68" s="114" t="str">
        <f>_xlfn.IFNA(VLOOKUP($BD68,Programma!$F$3:$T$1101,15,0),"")</f>
        <v/>
      </c>
      <c r="BS68" s="114" t="str">
        <f>_xlfn.IFNA(VLOOKUP($BD68,Programma!$F$3:$U$1101,16,0),"")</f>
        <v/>
      </c>
      <c r="BT68" s="114" t="str">
        <f>_xlfn.IFNA(VLOOKUP($BD68,Programma!$F$3:$V$1101,17,0),"")</f>
        <v/>
      </c>
      <c r="BU68" s="114" t="str">
        <f>_xlfn.IFNA(VLOOKUP($BD68,Programma!$F$3:$W$1101,18,0),"")</f>
        <v/>
      </c>
      <c r="BV68" s="114" t="str">
        <f>_xlfn.IFNA(VLOOKUP($BD68,Programma!$F$3:$X$1101,19,0),"")</f>
        <v/>
      </c>
      <c r="BW68" s="114" t="str">
        <f>_xlfn.IFNA(VLOOKUP($BD68,Programma!$F$3:$Y$1101,20,0),"")</f>
        <v/>
      </c>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c r="HL68" s="28"/>
    </row>
    <row r="69" spans="1:220" ht="15" customHeight="1">
      <c r="A69" s="31">
        <v>2</v>
      </c>
      <c r="B69" s="105" t="str">
        <f>VLOOKUP(Ruimtestaat[[#This Row],[Code]],Locaties[[Code]:[Locatie]],2,FALSE)</f>
        <v>IKC De Hoge Hoeve</v>
      </c>
      <c r="C69" s="105" t="str">
        <f>VLOOKUP(Ruimtestaat[[#This Row],[Code]],Locaties[[#All],[Code]:[Adres]],4,FALSE)</f>
        <v>De Hoge Hoeve 70</v>
      </c>
      <c r="D69" s="105" t="str">
        <f>VLOOKUP(Ruimtestaat[[#This Row],[Code]],Locaties[[#All],[Code]:[Postcode]],5,FALSE)</f>
        <v>6932 DJ</v>
      </c>
      <c r="E69" s="105" t="str">
        <f>VLOOKUP(Ruimtestaat[[#This Row],[Code]],Locaties[#All],6,FALSE)</f>
        <v>Westervoort</v>
      </c>
      <c r="F69" s="73"/>
      <c r="G69" s="73" t="s">
        <v>1645</v>
      </c>
      <c r="H69" s="271" t="s">
        <v>1761</v>
      </c>
      <c r="I69" s="273" t="s">
        <v>1723</v>
      </c>
      <c r="J69" s="31">
        <v>5</v>
      </c>
      <c r="K69" s="113" t="str">
        <f>VLOOKUP(Ruimtestaat[[#This Row],[Ruimte code]],Ruimtegroepen[[#All],[Code]:[Ruimte omschrijving]],2,FALSE)</f>
        <v>Sanitair</v>
      </c>
      <c r="L69" s="73" t="s">
        <v>102</v>
      </c>
      <c r="M69" s="273" t="s">
        <v>120</v>
      </c>
      <c r="N69" s="106"/>
      <c r="O69" s="73"/>
      <c r="P69" s="106">
        <v>6</v>
      </c>
      <c r="Q69" s="107" t="str">
        <f>VLOOKUP(Ruimtestaat[[#This Row],[Ruimte code]],Ruimtegroepen[],4,FALSE)</f>
        <v>Sa</v>
      </c>
      <c r="R69" s="73"/>
      <c r="S69" s="73"/>
      <c r="T69" s="73">
        <f>IF(R69&gt;0,IF(RIGHT(Ruimtestaat[[#This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 s="73">
        <f>IF(T69&gt;0,VLOOKUP($J69,Ruimtegroepen[],3,FALSE)*VLOOKUP($L69,Vloersoorten[],3,FALSE)*VLOOKUP($S69,Frequenties[],3,FALSE)*VLOOKUP($A69,Locaties[],3,FALSE),0)</f>
        <v>0</v>
      </c>
      <c r="V69" s="73">
        <f>Ruimtestaat[[#This Row],[Uitvoeringen werkdagen]]*Ruimtestaat[[#This Row],[Oppervlak (netto)]]</f>
        <v>0</v>
      </c>
      <c r="W69" s="108">
        <f>IF(U69&gt;0,Ruimtestaat[[#This Row],[Prest. (m2 /jaar) werkdagen]]/Ruimtestaat[[#This Row],[Norm (m2/uur) werkdagen]],0)</f>
        <v>0</v>
      </c>
      <c r="X69" s="109">
        <f>Ruimtestaat[[#This Row],[uren / jaar werkdagen]]*Tariefsopbouw!$E$35</f>
        <v>0</v>
      </c>
      <c r="Y69" s="73"/>
      <c r="Z69" s="73">
        <f>IF(Ruimtestaat[[#This Row],[Frequentie weekend]]&gt;0,VALUE(LEFT(Y69,1))*R69,0)</f>
        <v>0</v>
      </c>
      <c r="AA69" s="72">
        <f>IF($Z69&gt;0,VLOOKUP($J69,Ruimtegroepen[],3,FALSE)*VLOOKUP($L69,Vloersoorten[],3,FALSE)*VLOOKUP($Y69,Frequenties[],3,FALSE)*VLOOKUP(Ruimtestaat[[#This Row],[Code]],Locaties[],3,FALSE),0)</f>
        <v>0</v>
      </c>
      <c r="AB69" s="72">
        <f>Ruimtestaat[[#This Row],[Uitvoeringen weekend]]*Ruimtestaat[[#This Row],[Oppervlak (netto)]]</f>
        <v>0</v>
      </c>
      <c r="AC69" s="72">
        <f>IF(AA69&gt;0,Ruimtestaat[[#This Row],[Prest. (m2 /jaar) weekend]]/Ruimtestaat[[#This Row],[Norm (m2/uur) weekend]],0)</f>
        <v>0</v>
      </c>
      <c r="AD69" s="109">
        <f>Ruimtestaat[[#This Row],[uren / jaar weekend]]*Tariefsopbouw!$D$40</f>
        <v>0</v>
      </c>
      <c r="AE69" s="108">
        <f>Ruimtestaat[[#This Row],[Prest. (m2 /jaar) weekend]]+Ruimtestaat[[#This Row],[Prest. (m2 /jaar) werkdagen]]</f>
        <v>0</v>
      </c>
      <c r="AF69" s="108">
        <f>Ruimtestaat[[#This Row],[uren / jaar weekend]]+Ruimtestaat[[#This Row],[uren / jaar werkdagen]]</f>
        <v>0</v>
      </c>
      <c r="AG69" s="103">
        <f>Ruimtestaat[[#This Row],[kosten / jaar weekend]]+Ruimtestaat[[#This Row],[kosten / jaar werkdagen]]</f>
        <v>0</v>
      </c>
      <c r="AH69" s="103"/>
      <c r="AI69" s="110" t="str">
        <f>IF(Ruimtestaat[[#This Row],[Frequentie werkdagen]]="","",_xlfn.CONCAT(Ruimtestaat[[#This Row],[Ruimte code]],"-",Ruimtestaat[[#This Row],[Frequentie werkdagen]]," ",Ruimtestaat[[#This Row],[Vloer code]]))</f>
        <v/>
      </c>
      <c r="AJ69" s="114" t="str">
        <f>_xlfn.IFNA(VLOOKUP($AI69,Programma!$F$3:$G$1101,2,0),"")</f>
        <v/>
      </c>
      <c r="AK69" s="114" t="str">
        <f>_xlfn.IFNA(VLOOKUP($AI69,Programma!$F$3:$H$1101,3,0),"")</f>
        <v/>
      </c>
      <c r="AL69" s="114" t="str">
        <f>_xlfn.IFNA(VLOOKUP($AI69,Programma!$F$3:$I$1101,4,0),"")</f>
        <v/>
      </c>
      <c r="AM69" s="114" t="str">
        <f>_xlfn.IFNA(VLOOKUP($AI69,Programma!$F$3:$J$1101,5,0),"")</f>
        <v/>
      </c>
      <c r="AN69" s="114" t="str">
        <f>_xlfn.IFNA(VLOOKUP($AI69,Programma!$F$3:$K$1101,6,0),"")</f>
        <v/>
      </c>
      <c r="AO69" s="114" t="str">
        <f>_xlfn.IFNA(VLOOKUP($AI69,Programma!$F$3:$L$1101,7,0),"")</f>
        <v/>
      </c>
      <c r="AP69" s="114" t="str">
        <f>_xlfn.IFNA(VLOOKUP($AI69,Programma!$F$3:$M$1101,8,0),"")</f>
        <v/>
      </c>
      <c r="AQ69" s="114" t="str">
        <f>_xlfn.IFNA(VLOOKUP($AI69,Programma!$F$3:$N$1101,9,0),"")</f>
        <v/>
      </c>
      <c r="AR69" s="114" t="str">
        <f>_xlfn.IFNA(VLOOKUP($AI69,Programma!$F$3:$O$1101,10,0),"")</f>
        <v/>
      </c>
      <c r="AS69" s="114" t="str">
        <f>_xlfn.IFNA(VLOOKUP($AI69,Programma!$F$3:$P$1101,11,0),"")</f>
        <v/>
      </c>
      <c r="AT69" s="114" t="str">
        <f>_xlfn.IFNA(VLOOKUP($AI69,Programma!$F$3:$Q$1101,12,0),"")</f>
        <v/>
      </c>
      <c r="AU69" s="114" t="str">
        <f>_xlfn.IFNA(VLOOKUP($AI69,Programma!$F$3:$R$1101,13,0),"")</f>
        <v/>
      </c>
      <c r="AV69" s="114" t="str">
        <f>_xlfn.IFNA(VLOOKUP($AI69,Programma!$F$3:$S$1101,14,0),"")</f>
        <v/>
      </c>
      <c r="AW69" s="114" t="str">
        <f>_xlfn.IFNA(VLOOKUP($AI69,Programma!$F$3:$T$1101,15,0),"")</f>
        <v/>
      </c>
      <c r="AX69" s="114" t="str">
        <f>_xlfn.IFNA(VLOOKUP($AI69,Programma!$F$3:$U$1101,16,0),"")</f>
        <v/>
      </c>
      <c r="AY69" s="114" t="str">
        <f>_xlfn.IFNA(VLOOKUP($AI69,Programma!$F$3:$V$1101,17,0),"")</f>
        <v/>
      </c>
      <c r="AZ69" s="114" t="str">
        <f>_xlfn.IFNA(VLOOKUP($AI69,Programma!$F$3:$W$1101,18,0),"")</f>
        <v/>
      </c>
      <c r="BA69" s="114" t="str">
        <f>_xlfn.IFNA(VLOOKUP($AI69,Programma!$F$3:$X$1101,19,0),"")</f>
        <v/>
      </c>
      <c r="BB69" s="114" t="str">
        <f>_xlfn.IFNA(VLOOKUP($AI69,Programma!$F$3:$Y$1101,20,0),"")</f>
        <v/>
      </c>
      <c r="BC69" s="111"/>
      <c r="BD69" s="110" t="str">
        <f>IF(Ruimtestaat[[#This Row],[Frequentie weekend]]="","",_xlfn.CONCAT(Ruimtestaat[[#This Row],[Ruimte code]],"-",Ruimtestaat[[#This Row],[Frequentie weekend]]," ",Ruimtestaat[[#This Row],[Vloer code]]))</f>
        <v/>
      </c>
      <c r="BE69" s="114" t="str">
        <f>_xlfn.IFNA(VLOOKUP($BD69,Programma!$F$3:$G$1101,2,0),"")</f>
        <v/>
      </c>
      <c r="BF69" s="114" t="str">
        <f>_xlfn.IFNA(VLOOKUP($BD69,Programma!$F$3:$H$1101,3,0),"")</f>
        <v/>
      </c>
      <c r="BG69" s="114" t="str">
        <f>_xlfn.IFNA(VLOOKUP($BD69,Programma!$F$3:$I$1101,4,0),"")</f>
        <v/>
      </c>
      <c r="BH69" s="114" t="str">
        <f>_xlfn.IFNA(VLOOKUP($BD69,Programma!$F$3:$J$1101,5,0),"")</f>
        <v/>
      </c>
      <c r="BI69" s="114" t="str">
        <f>_xlfn.IFNA(VLOOKUP($BD69,Programma!$F$3:$K$1101,6,0),"")</f>
        <v/>
      </c>
      <c r="BJ69" s="114" t="str">
        <f>_xlfn.IFNA(VLOOKUP($BD69,Programma!$F$3:$L$1101,7,0),"")</f>
        <v/>
      </c>
      <c r="BK69" s="114" t="str">
        <f>_xlfn.IFNA(VLOOKUP($BD69,Programma!$F$3:$M$1101,8,0),"")</f>
        <v/>
      </c>
      <c r="BL69" s="114" t="str">
        <f>_xlfn.IFNA(VLOOKUP($BD69,Programma!$F$3:$N$1101,9,0),"")</f>
        <v/>
      </c>
      <c r="BM69" s="114" t="str">
        <f>_xlfn.IFNA(VLOOKUP($BD69,Programma!$F$3:$O$1101,10,0),"")</f>
        <v/>
      </c>
      <c r="BN69" s="114" t="str">
        <f>_xlfn.IFNA(VLOOKUP($BD69,Programma!$F$3:$P$1101,11,0),"")</f>
        <v/>
      </c>
      <c r="BO69" s="114" t="str">
        <f>_xlfn.IFNA(VLOOKUP($BD69,Programma!$F$3:$Q$1101,12,0),"")</f>
        <v/>
      </c>
      <c r="BP69" s="114" t="str">
        <f>_xlfn.IFNA(VLOOKUP($BD69,Programma!$F$3:$R$1101,13,0),"")</f>
        <v/>
      </c>
      <c r="BQ69" s="114" t="str">
        <f>_xlfn.IFNA(VLOOKUP($BD69,Programma!$F$3:$S$1101,14,0),"")</f>
        <v/>
      </c>
      <c r="BR69" s="114" t="str">
        <f>_xlfn.IFNA(VLOOKUP($BD69,Programma!$F$3:$T$1101,15,0),"")</f>
        <v/>
      </c>
      <c r="BS69" s="114" t="str">
        <f>_xlfn.IFNA(VLOOKUP($BD69,Programma!$F$3:$U$1101,16,0),"")</f>
        <v/>
      </c>
      <c r="BT69" s="114" t="str">
        <f>_xlfn.IFNA(VLOOKUP($BD69,Programma!$F$3:$V$1101,17,0),"")</f>
        <v/>
      </c>
      <c r="BU69" s="114" t="str">
        <f>_xlfn.IFNA(VLOOKUP($BD69,Programma!$F$3:$W$1101,18,0),"")</f>
        <v/>
      </c>
      <c r="BV69" s="114" t="str">
        <f>_xlfn.IFNA(VLOOKUP($BD69,Programma!$F$3:$X$1101,19,0),"")</f>
        <v/>
      </c>
      <c r="BW69" s="114" t="str">
        <f>_xlfn.IFNA(VLOOKUP($BD69,Programma!$F$3:$Y$1101,20,0),"")</f>
        <v/>
      </c>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c r="GC69" s="28"/>
      <c r="GD69" s="28"/>
      <c r="GE69" s="28"/>
      <c r="GF69" s="28"/>
      <c r="GG69" s="28"/>
      <c r="GH69" s="28"/>
      <c r="GI69" s="28"/>
      <c r="GJ69" s="28"/>
      <c r="GK69" s="28"/>
      <c r="GL69" s="28"/>
      <c r="GM69" s="28"/>
      <c r="GN69" s="28"/>
      <c r="GO69" s="28"/>
      <c r="GP69" s="28"/>
      <c r="GQ69" s="28"/>
      <c r="GR69" s="28"/>
      <c r="GS69" s="28"/>
      <c r="GT69" s="28"/>
      <c r="GU69" s="28"/>
      <c r="GV69" s="28"/>
      <c r="GW69" s="28"/>
      <c r="GX69" s="28"/>
      <c r="GY69" s="28"/>
      <c r="GZ69" s="28"/>
      <c r="HA69" s="28"/>
      <c r="HB69" s="28"/>
      <c r="HC69" s="28"/>
      <c r="HD69" s="28"/>
      <c r="HE69" s="28"/>
      <c r="HF69" s="28"/>
      <c r="HG69" s="28"/>
      <c r="HH69" s="28"/>
      <c r="HI69" s="28"/>
      <c r="HJ69" s="28"/>
      <c r="HK69" s="28"/>
      <c r="HL69" s="28"/>
    </row>
    <row r="70" spans="1:220" ht="15" customHeight="1">
      <c r="A70" s="31">
        <v>2</v>
      </c>
      <c r="B70" s="105" t="str">
        <f>VLOOKUP(Ruimtestaat[[#This Row],[Code]],Locaties[[Code]:[Locatie]],2,FALSE)</f>
        <v>IKC De Hoge Hoeve</v>
      </c>
      <c r="C70" s="105" t="str">
        <f>VLOOKUP(Ruimtestaat[[#This Row],[Code]],Locaties[[#All],[Code]:[Adres]],4,FALSE)</f>
        <v>De Hoge Hoeve 70</v>
      </c>
      <c r="D70" s="105" t="str">
        <f>VLOOKUP(Ruimtestaat[[#This Row],[Code]],Locaties[[#All],[Code]:[Postcode]],5,FALSE)</f>
        <v>6932 DJ</v>
      </c>
      <c r="E70" s="105" t="str">
        <f>VLOOKUP(Ruimtestaat[[#This Row],[Code]],Locaties[#All],6,FALSE)</f>
        <v>Westervoort</v>
      </c>
      <c r="F70" s="73"/>
      <c r="G70" s="73" t="s">
        <v>1645</v>
      </c>
      <c r="H70" s="271" t="s">
        <v>1762</v>
      </c>
      <c r="I70" s="273" t="s">
        <v>1659</v>
      </c>
      <c r="J70" s="31">
        <v>6</v>
      </c>
      <c r="K70" s="113" t="str">
        <f>VLOOKUP(Ruimtestaat[[#This Row],[Ruimte code]],Ruimtegroepen[[#All],[Code]:[Ruimte omschrijving]],2,FALSE)</f>
        <v>Gangen/hallen</v>
      </c>
      <c r="L70" s="73" t="s">
        <v>99</v>
      </c>
      <c r="M70" s="273" t="s">
        <v>36</v>
      </c>
      <c r="N70" s="106"/>
      <c r="O70" s="112"/>
      <c r="P70" s="106">
        <v>8</v>
      </c>
      <c r="Q70" s="107" t="str">
        <f>VLOOKUP(Ruimtestaat[[#This Row],[Ruimte code]],Ruimtegroepen[],4,FALSE)</f>
        <v>Ve</v>
      </c>
      <c r="R70" s="73"/>
      <c r="S70" s="73"/>
      <c r="T70" s="73">
        <f>IF(R70&gt;0,IF(RIGHT(Ruimtestaat[[#This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0" s="73">
        <f>IF(T70&gt;0,VLOOKUP($J70,Ruimtegroepen[],3,FALSE)*VLOOKUP($L70,Vloersoorten[],3,FALSE)*VLOOKUP($S70,Frequenties[],3,FALSE)*VLOOKUP($A70,Locaties[],3,FALSE),0)</f>
        <v>0</v>
      </c>
      <c r="V70" s="73">
        <f>Ruimtestaat[[#This Row],[Uitvoeringen werkdagen]]*Ruimtestaat[[#This Row],[Oppervlak (netto)]]</f>
        <v>0</v>
      </c>
      <c r="W70" s="108">
        <f>IF(U70&gt;0,Ruimtestaat[[#This Row],[Prest. (m2 /jaar) werkdagen]]/Ruimtestaat[[#This Row],[Norm (m2/uur) werkdagen]],0)</f>
        <v>0</v>
      </c>
      <c r="X70" s="109">
        <f>Ruimtestaat[[#This Row],[uren / jaar werkdagen]]*Tariefsopbouw!$E$35</f>
        <v>0</v>
      </c>
      <c r="Y70" s="73"/>
      <c r="Z70" s="73">
        <f>IF(Ruimtestaat[[#This Row],[Frequentie weekend]]&gt;0,VALUE(LEFT(Y70,1))*R70,0)</f>
        <v>0</v>
      </c>
      <c r="AA70" s="72">
        <f>IF($Z70&gt;0,VLOOKUP($J70,Ruimtegroepen[],3,FALSE)*VLOOKUP($L70,Vloersoorten[],3,FALSE)*VLOOKUP($Y70,Frequenties[],3,FALSE)*VLOOKUP(Ruimtestaat[[#This Row],[Code]],Locaties[],3,FALSE),0)</f>
        <v>0</v>
      </c>
      <c r="AB70" s="72">
        <f>Ruimtestaat[[#This Row],[Uitvoeringen weekend]]*Ruimtestaat[[#This Row],[Oppervlak (netto)]]</f>
        <v>0</v>
      </c>
      <c r="AC70" s="72">
        <f>IF(AA70&gt;0,Ruimtestaat[[#This Row],[Prest. (m2 /jaar) weekend]]/Ruimtestaat[[#This Row],[Norm (m2/uur) weekend]],0)</f>
        <v>0</v>
      </c>
      <c r="AD70" s="109">
        <f>Ruimtestaat[[#This Row],[uren / jaar weekend]]*Tariefsopbouw!$D$40</f>
        <v>0</v>
      </c>
      <c r="AE70" s="108">
        <f>Ruimtestaat[[#This Row],[Prest. (m2 /jaar) weekend]]+Ruimtestaat[[#This Row],[Prest. (m2 /jaar) werkdagen]]</f>
        <v>0</v>
      </c>
      <c r="AF70" s="108">
        <f>Ruimtestaat[[#This Row],[uren / jaar weekend]]+Ruimtestaat[[#This Row],[uren / jaar werkdagen]]</f>
        <v>0</v>
      </c>
      <c r="AG70" s="103">
        <f>Ruimtestaat[[#This Row],[kosten / jaar weekend]]+Ruimtestaat[[#This Row],[kosten / jaar werkdagen]]</f>
        <v>0</v>
      </c>
      <c r="AH70" s="103"/>
      <c r="AI70" s="110" t="str">
        <f>IF(Ruimtestaat[[#This Row],[Frequentie werkdagen]]="","",_xlfn.CONCAT(Ruimtestaat[[#This Row],[Ruimte code]],"-",Ruimtestaat[[#This Row],[Frequentie werkdagen]]," ",Ruimtestaat[[#This Row],[Vloer code]]))</f>
        <v/>
      </c>
      <c r="AJ70" s="114" t="str">
        <f>_xlfn.IFNA(VLOOKUP($AI70,Programma!$F$3:$G$1101,2,0),"")</f>
        <v/>
      </c>
      <c r="AK70" s="114" t="str">
        <f>_xlfn.IFNA(VLOOKUP($AI70,Programma!$F$3:$H$1101,3,0),"")</f>
        <v/>
      </c>
      <c r="AL70" s="114" t="str">
        <f>_xlfn.IFNA(VLOOKUP($AI70,Programma!$F$3:$I$1101,4,0),"")</f>
        <v/>
      </c>
      <c r="AM70" s="114" t="str">
        <f>_xlfn.IFNA(VLOOKUP($AI70,Programma!$F$3:$J$1101,5,0),"")</f>
        <v/>
      </c>
      <c r="AN70" s="114" t="str">
        <f>_xlfn.IFNA(VLOOKUP($AI70,Programma!$F$3:$K$1101,6,0),"")</f>
        <v/>
      </c>
      <c r="AO70" s="114" t="str">
        <f>_xlfn.IFNA(VLOOKUP($AI70,Programma!$F$3:$L$1101,7,0),"")</f>
        <v/>
      </c>
      <c r="AP70" s="114" t="str">
        <f>_xlfn.IFNA(VLOOKUP($AI70,Programma!$F$3:$M$1101,8,0),"")</f>
        <v/>
      </c>
      <c r="AQ70" s="114" t="str">
        <f>_xlfn.IFNA(VLOOKUP($AI70,Programma!$F$3:$N$1101,9,0),"")</f>
        <v/>
      </c>
      <c r="AR70" s="114" t="str">
        <f>_xlfn.IFNA(VLOOKUP($AI70,Programma!$F$3:$O$1101,10,0),"")</f>
        <v/>
      </c>
      <c r="AS70" s="114" t="str">
        <f>_xlfn.IFNA(VLOOKUP($AI70,Programma!$F$3:$P$1101,11,0),"")</f>
        <v/>
      </c>
      <c r="AT70" s="114" t="str">
        <f>_xlfn.IFNA(VLOOKUP($AI70,Programma!$F$3:$Q$1101,12,0),"")</f>
        <v/>
      </c>
      <c r="AU70" s="114" t="str">
        <f>_xlfn.IFNA(VLOOKUP($AI70,Programma!$F$3:$R$1101,13,0),"")</f>
        <v/>
      </c>
      <c r="AV70" s="114" t="str">
        <f>_xlfn.IFNA(VLOOKUP($AI70,Programma!$F$3:$S$1101,14,0),"")</f>
        <v/>
      </c>
      <c r="AW70" s="114" t="str">
        <f>_xlfn.IFNA(VLOOKUP($AI70,Programma!$F$3:$T$1101,15,0),"")</f>
        <v/>
      </c>
      <c r="AX70" s="114" t="str">
        <f>_xlfn.IFNA(VLOOKUP($AI70,Programma!$F$3:$U$1101,16,0),"")</f>
        <v/>
      </c>
      <c r="AY70" s="114" t="str">
        <f>_xlfn.IFNA(VLOOKUP($AI70,Programma!$F$3:$V$1101,17,0),"")</f>
        <v/>
      </c>
      <c r="AZ70" s="114" t="str">
        <f>_xlfn.IFNA(VLOOKUP($AI70,Programma!$F$3:$W$1101,18,0),"")</f>
        <v/>
      </c>
      <c r="BA70" s="114" t="str">
        <f>_xlfn.IFNA(VLOOKUP($AI70,Programma!$F$3:$X$1101,19,0),"")</f>
        <v/>
      </c>
      <c r="BB70" s="114" t="str">
        <f>_xlfn.IFNA(VLOOKUP($AI70,Programma!$F$3:$Y$1101,20,0),"")</f>
        <v/>
      </c>
      <c r="BC70" s="111"/>
      <c r="BD70" s="110" t="str">
        <f>IF(Ruimtestaat[[#This Row],[Frequentie weekend]]="","",_xlfn.CONCAT(Ruimtestaat[[#This Row],[Ruimte code]],"-",Ruimtestaat[[#This Row],[Frequentie weekend]]," ",Ruimtestaat[[#This Row],[Vloer code]]))</f>
        <v/>
      </c>
      <c r="BE70" s="114" t="str">
        <f>_xlfn.IFNA(VLOOKUP($BD70,Programma!$F$3:$G$1101,2,0),"")</f>
        <v/>
      </c>
      <c r="BF70" s="114" t="str">
        <f>_xlfn.IFNA(VLOOKUP($BD70,Programma!$F$3:$H$1101,3,0),"")</f>
        <v/>
      </c>
      <c r="BG70" s="114" t="str">
        <f>_xlfn.IFNA(VLOOKUP($BD70,Programma!$F$3:$I$1101,4,0),"")</f>
        <v/>
      </c>
      <c r="BH70" s="114" t="str">
        <f>_xlfn.IFNA(VLOOKUP($BD70,Programma!$F$3:$J$1101,5,0),"")</f>
        <v/>
      </c>
      <c r="BI70" s="114" t="str">
        <f>_xlfn.IFNA(VLOOKUP($BD70,Programma!$F$3:$K$1101,6,0),"")</f>
        <v/>
      </c>
      <c r="BJ70" s="114" t="str">
        <f>_xlfn.IFNA(VLOOKUP($BD70,Programma!$F$3:$L$1101,7,0),"")</f>
        <v/>
      </c>
      <c r="BK70" s="114" t="str">
        <f>_xlfn.IFNA(VLOOKUP($BD70,Programma!$F$3:$M$1101,8,0),"")</f>
        <v/>
      </c>
      <c r="BL70" s="114" t="str">
        <f>_xlfn.IFNA(VLOOKUP($BD70,Programma!$F$3:$N$1101,9,0),"")</f>
        <v/>
      </c>
      <c r="BM70" s="114" t="str">
        <f>_xlfn.IFNA(VLOOKUP($BD70,Programma!$F$3:$O$1101,10,0),"")</f>
        <v/>
      </c>
      <c r="BN70" s="114" t="str">
        <f>_xlfn.IFNA(VLOOKUP($BD70,Programma!$F$3:$P$1101,11,0),"")</f>
        <v/>
      </c>
      <c r="BO70" s="114" t="str">
        <f>_xlfn.IFNA(VLOOKUP($BD70,Programma!$F$3:$Q$1101,12,0),"")</f>
        <v/>
      </c>
      <c r="BP70" s="114" t="str">
        <f>_xlfn.IFNA(VLOOKUP($BD70,Programma!$F$3:$R$1101,13,0),"")</f>
        <v/>
      </c>
      <c r="BQ70" s="114" t="str">
        <f>_xlfn.IFNA(VLOOKUP($BD70,Programma!$F$3:$S$1101,14,0),"")</f>
        <v/>
      </c>
      <c r="BR70" s="114" t="str">
        <f>_xlfn.IFNA(VLOOKUP($BD70,Programma!$F$3:$T$1101,15,0),"")</f>
        <v/>
      </c>
      <c r="BS70" s="114" t="str">
        <f>_xlfn.IFNA(VLOOKUP($BD70,Programma!$F$3:$U$1101,16,0),"")</f>
        <v/>
      </c>
      <c r="BT70" s="114" t="str">
        <f>_xlfn.IFNA(VLOOKUP($BD70,Programma!$F$3:$V$1101,17,0),"")</f>
        <v/>
      </c>
      <c r="BU70" s="114" t="str">
        <f>_xlfn.IFNA(VLOOKUP($BD70,Programma!$F$3:$W$1101,18,0),"")</f>
        <v/>
      </c>
      <c r="BV70" s="114" t="str">
        <f>_xlfn.IFNA(VLOOKUP($BD70,Programma!$F$3:$X$1101,19,0),"")</f>
        <v/>
      </c>
      <c r="BW70" s="114" t="str">
        <f>_xlfn.IFNA(VLOOKUP($BD70,Programma!$F$3:$Y$1101,20,0),"")</f>
        <v/>
      </c>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c r="GF70" s="28"/>
      <c r="GG70" s="28"/>
      <c r="GH70" s="28"/>
      <c r="GI70" s="28"/>
      <c r="GJ70" s="28"/>
      <c r="GK70" s="28"/>
      <c r="GL70" s="28"/>
      <c r="GM70" s="28"/>
      <c r="GN70" s="28"/>
      <c r="GO70" s="28"/>
      <c r="GP70" s="28"/>
      <c r="GQ70" s="28"/>
      <c r="GR70" s="28"/>
      <c r="GS70" s="28"/>
      <c r="GT70" s="28"/>
      <c r="GU70" s="28"/>
      <c r="GV70" s="28"/>
      <c r="GW70" s="28"/>
      <c r="GX70" s="28"/>
      <c r="GY70" s="28"/>
      <c r="GZ70" s="28"/>
      <c r="HA70" s="28"/>
      <c r="HB70" s="28"/>
      <c r="HC70" s="28"/>
      <c r="HD70" s="28"/>
      <c r="HE70" s="28"/>
      <c r="HF70" s="28"/>
      <c r="HG70" s="28"/>
      <c r="HH70" s="28"/>
      <c r="HI70" s="28"/>
      <c r="HJ70" s="28"/>
      <c r="HK70" s="28"/>
      <c r="HL70" s="28"/>
    </row>
    <row r="71" spans="1:220" ht="15" customHeight="1">
      <c r="A71" s="31">
        <v>2</v>
      </c>
      <c r="B71" s="105" t="str">
        <f>VLOOKUP(Ruimtestaat[[#This Row],[Code]],Locaties[[Code]:[Locatie]],2,FALSE)</f>
        <v>IKC De Hoge Hoeve</v>
      </c>
      <c r="C71" s="105" t="str">
        <f>VLOOKUP(Ruimtestaat[[#This Row],[Code]],Locaties[[#All],[Code]:[Adres]],4,FALSE)</f>
        <v>De Hoge Hoeve 70</v>
      </c>
      <c r="D71" s="105" t="str">
        <f>VLOOKUP(Ruimtestaat[[#This Row],[Code]],Locaties[[#All],[Code]:[Postcode]],5,FALSE)</f>
        <v>6932 DJ</v>
      </c>
      <c r="E71" s="105" t="str">
        <f>VLOOKUP(Ruimtestaat[[#This Row],[Code]],Locaties[#All],6,FALSE)</f>
        <v>Westervoort</v>
      </c>
      <c r="F71" s="73"/>
      <c r="G71" s="73" t="s">
        <v>1645</v>
      </c>
      <c r="H71" s="271" t="s">
        <v>1678</v>
      </c>
      <c r="I71" s="273" t="s">
        <v>1725</v>
      </c>
      <c r="J71" s="31">
        <v>16</v>
      </c>
      <c r="K71" s="113" t="str">
        <f>VLOOKUP(Ruimtestaat[[#This Row],[Ruimte code]],Ruimtegroepen[[#All],[Code]:[Ruimte omschrijving]],2,FALSE)</f>
        <v>Leslokalen</v>
      </c>
      <c r="L71" s="73" t="s">
        <v>99</v>
      </c>
      <c r="M71" s="273" t="s">
        <v>36</v>
      </c>
      <c r="N71" s="106"/>
      <c r="O71" s="112"/>
      <c r="P71" s="106">
        <v>64</v>
      </c>
      <c r="Q71" s="107" t="str">
        <f>VLOOKUP(Ruimtestaat[[#This Row],[Ruimte code]],Ruimtegroepen[],4,FALSE)</f>
        <v>Le</v>
      </c>
      <c r="R71" s="73"/>
      <c r="S71" s="73"/>
      <c r="T71" s="73">
        <f>IF(R71&gt;0,IF(RIGHT(Ruimtestaat[[#This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1" s="73">
        <f>IF(T71&gt;0,VLOOKUP($J71,Ruimtegroepen[],3,FALSE)*VLOOKUP($L71,Vloersoorten[],3,FALSE)*VLOOKUP($S71,Frequenties[],3,FALSE)*VLOOKUP($A71,Locaties[],3,FALSE),0)</f>
        <v>0</v>
      </c>
      <c r="V71" s="73">
        <f>Ruimtestaat[[#This Row],[Uitvoeringen werkdagen]]*Ruimtestaat[[#This Row],[Oppervlak (netto)]]</f>
        <v>0</v>
      </c>
      <c r="W71" s="108">
        <f>IF(U71&gt;0,Ruimtestaat[[#This Row],[Prest. (m2 /jaar) werkdagen]]/Ruimtestaat[[#This Row],[Norm (m2/uur) werkdagen]],0)</f>
        <v>0</v>
      </c>
      <c r="X71" s="109">
        <f>Ruimtestaat[[#This Row],[uren / jaar werkdagen]]*Tariefsopbouw!$E$35</f>
        <v>0</v>
      </c>
      <c r="Y71" s="73"/>
      <c r="Z71" s="73">
        <f>IF(Ruimtestaat[[#This Row],[Frequentie weekend]]&gt;0,VALUE(LEFT(Y71,1))*R71,0)</f>
        <v>0</v>
      </c>
      <c r="AA71" s="72">
        <f>IF($Z71&gt;0,VLOOKUP($J71,Ruimtegroepen[],3,FALSE)*VLOOKUP($L71,Vloersoorten[],3,FALSE)*VLOOKUP($Y71,Frequenties[],3,FALSE)*VLOOKUP(Ruimtestaat[[#This Row],[Code]],Locaties[],3,FALSE),0)</f>
        <v>0</v>
      </c>
      <c r="AB71" s="72">
        <f>Ruimtestaat[[#This Row],[Uitvoeringen weekend]]*Ruimtestaat[[#This Row],[Oppervlak (netto)]]</f>
        <v>0</v>
      </c>
      <c r="AC71" s="72">
        <f>IF(AA71&gt;0,Ruimtestaat[[#This Row],[Prest. (m2 /jaar) weekend]]/Ruimtestaat[[#This Row],[Norm (m2/uur) weekend]],0)</f>
        <v>0</v>
      </c>
      <c r="AD71" s="109">
        <f>Ruimtestaat[[#This Row],[uren / jaar weekend]]*Tariefsopbouw!$D$40</f>
        <v>0</v>
      </c>
      <c r="AE71" s="108">
        <f>Ruimtestaat[[#This Row],[Prest. (m2 /jaar) weekend]]+Ruimtestaat[[#This Row],[Prest. (m2 /jaar) werkdagen]]</f>
        <v>0</v>
      </c>
      <c r="AF71" s="108">
        <f>Ruimtestaat[[#This Row],[uren / jaar weekend]]+Ruimtestaat[[#This Row],[uren / jaar werkdagen]]</f>
        <v>0</v>
      </c>
      <c r="AG71" s="103">
        <f>Ruimtestaat[[#This Row],[kosten / jaar weekend]]+Ruimtestaat[[#This Row],[kosten / jaar werkdagen]]</f>
        <v>0</v>
      </c>
      <c r="AH71" s="103"/>
      <c r="AI71" s="110" t="str">
        <f>IF(Ruimtestaat[[#This Row],[Frequentie werkdagen]]="","",_xlfn.CONCAT(Ruimtestaat[[#This Row],[Ruimte code]],"-",Ruimtestaat[[#This Row],[Frequentie werkdagen]]," ",Ruimtestaat[[#This Row],[Vloer code]]))</f>
        <v/>
      </c>
      <c r="AJ71" s="114" t="str">
        <f>_xlfn.IFNA(VLOOKUP($AI71,Programma!$F$3:$G$1101,2,0),"")</f>
        <v/>
      </c>
      <c r="AK71" s="114" t="str">
        <f>_xlfn.IFNA(VLOOKUP($AI71,Programma!$F$3:$H$1101,3,0),"")</f>
        <v/>
      </c>
      <c r="AL71" s="114" t="str">
        <f>_xlfn.IFNA(VLOOKUP($AI71,Programma!$F$3:$I$1101,4,0),"")</f>
        <v/>
      </c>
      <c r="AM71" s="114" t="str">
        <f>_xlfn.IFNA(VLOOKUP($AI71,Programma!$F$3:$J$1101,5,0),"")</f>
        <v/>
      </c>
      <c r="AN71" s="114" t="str">
        <f>_xlfn.IFNA(VLOOKUP($AI71,Programma!$F$3:$K$1101,6,0),"")</f>
        <v/>
      </c>
      <c r="AO71" s="114" t="str">
        <f>_xlfn.IFNA(VLOOKUP($AI71,Programma!$F$3:$L$1101,7,0),"")</f>
        <v/>
      </c>
      <c r="AP71" s="114" t="str">
        <f>_xlfn.IFNA(VLOOKUP($AI71,Programma!$F$3:$M$1101,8,0),"")</f>
        <v/>
      </c>
      <c r="AQ71" s="114" t="str">
        <f>_xlfn.IFNA(VLOOKUP($AI71,Programma!$F$3:$N$1101,9,0),"")</f>
        <v/>
      </c>
      <c r="AR71" s="114" t="str">
        <f>_xlfn.IFNA(VLOOKUP($AI71,Programma!$F$3:$O$1101,10,0),"")</f>
        <v/>
      </c>
      <c r="AS71" s="114" t="str">
        <f>_xlfn.IFNA(VLOOKUP($AI71,Programma!$F$3:$P$1101,11,0),"")</f>
        <v/>
      </c>
      <c r="AT71" s="114" t="str">
        <f>_xlfn.IFNA(VLOOKUP($AI71,Programma!$F$3:$Q$1101,12,0),"")</f>
        <v/>
      </c>
      <c r="AU71" s="114" t="str">
        <f>_xlfn.IFNA(VLOOKUP($AI71,Programma!$F$3:$R$1101,13,0),"")</f>
        <v/>
      </c>
      <c r="AV71" s="114" t="str">
        <f>_xlfn.IFNA(VLOOKUP($AI71,Programma!$F$3:$S$1101,14,0),"")</f>
        <v/>
      </c>
      <c r="AW71" s="114" t="str">
        <f>_xlfn.IFNA(VLOOKUP($AI71,Programma!$F$3:$T$1101,15,0),"")</f>
        <v/>
      </c>
      <c r="AX71" s="114" t="str">
        <f>_xlfn.IFNA(VLOOKUP($AI71,Programma!$F$3:$U$1101,16,0),"")</f>
        <v/>
      </c>
      <c r="AY71" s="114" t="str">
        <f>_xlfn.IFNA(VLOOKUP($AI71,Programma!$F$3:$V$1101,17,0),"")</f>
        <v/>
      </c>
      <c r="AZ71" s="114" t="str">
        <f>_xlfn.IFNA(VLOOKUP($AI71,Programma!$F$3:$W$1101,18,0),"")</f>
        <v/>
      </c>
      <c r="BA71" s="114" t="str">
        <f>_xlfn.IFNA(VLOOKUP($AI71,Programma!$F$3:$X$1101,19,0),"")</f>
        <v/>
      </c>
      <c r="BB71" s="114" t="str">
        <f>_xlfn.IFNA(VLOOKUP($AI71,Programma!$F$3:$Y$1101,20,0),"")</f>
        <v/>
      </c>
      <c r="BC71" s="111"/>
      <c r="BD71" s="110" t="str">
        <f>IF(Ruimtestaat[[#This Row],[Frequentie weekend]]="","",_xlfn.CONCAT(Ruimtestaat[[#This Row],[Ruimte code]],"-",Ruimtestaat[[#This Row],[Frequentie weekend]]," ",Ruimtestaat[[#This Row],[Vloer code]]))</f>
        <v/>
      </c>
      <c r="BE71" s="114" t="str">
        <f>_xlfn.IFNA(VLOOKUP($BD71,Programma!$F$3:$G$1101,2,0),"")</f>
        <v/>
      </c>
      <c r="BF71" s="114" t="str">
        <f>_xlfn.IFNA(VLOOKUP($BD71,Programma!$F$3:$H$1101,3,0),"")</f>
        <v/>
      </c>
      <c r="BG71" s="114" t="str">
        <f>_xlfn.IFNA(VLOOKUP($BD71,Programma!$F$3:$I$1101,4,0),"")</f>
        <v/>
      </c>
      <c r="BH71" s="114" t="str">
        <f>_xlfn.IFNA(VLOOKUP($BD71,Programma!$F$3:$J$1101,5,0),"")</f>
        <v/>
      </c>
      <c r="BI71" s="114" t="str">
        <f>_xlfn.IFNA(VLOOKUP($BD71,Programma!$F$3:$K$1101,6,0),"")</f>
        <v/>
      </c>
      <c r="BJ71" s="114" t="str">
        <f>_xlfn.IFNA(VLOOKUP($BD71,Programma!$F$3:$L$1101,7,0),"")</f>
        <v/>
      </c>
      <c r="BK71" s="114" t="str">
        <f>_xlfn.IFNA(VLOOKUP($BD71,Programma!$F$3:$M$1101,8,0),"")</f>
        <v/>
      </c>
      <c r="BL71" s="114" t="str">
        <f>_xlfn.IFNA(VLOOKUP($BD71,Programma!$F$3:$N$1101,9,0),"")</f>
        <v/>
      </c>
      <c r="BM71" s="114" t="str">
        <f>_xlfn.IFNA(VLOOKUP($BD71,Programma!$F$3:$O$1101,10,0),"")</f>
        <v/>
      </c>
      <c r="BN71" s="114" t="str">
        <f>_xlfn.IFNA(VLOOKUP($BD71,Programma!$F$3:$P$1101,11,0),"")</f>
        <v/>
      </c>
      <c r="BO71" s="114" t="str">
        <f>_xlfn.IFNA(VLOOKUP($BD71,Programma!$F$3:$Q$1101,12,0),"")</f>
        <v/>
      </c>
      <c r="BP71" s="114" t="str">
        <f>_xlfn.IFNA(VLOOKUP($BD71,Programma!$F$3:$R$1101,13,0),"")</f>
        <v/>
      </c>
      <c r="BQ71" s="114" t="str">
        <f>_xlfn.IFNA(VLOOKUP($BD71,Programma!$F$3:$S$1101,14,0),"")</f>
        <v/>
      </c>
      <c r="BR71" s="114" t="str">
        <f>_xlfn.IFNA(VLOOKUP($BD71,Programma!$F$3:$T$1101,15,0),"")</f>
        <v/>
      </c>
      <c r="BS71" s="114" t="str">
        <f>_xlfn.IFNA(VLOOKUP($BD71,Programma!$F$3:$U$1101,16,0),"")</f>
        <v/>
      </c>
      <c r="BT71" s="114" t="str">
        <f>_xlfn.IFNA(VLOOKUP($BD71,Programma!$F$3:$V$1101,17,0),"")</f>
        <v/>
      </c>
      <c r="BU71" s="114" t="str">
        <f>_xlfn.IFNA(VLOOKUP($BD71,Programma!$F$3:$W$1101,18,0),"")</f>
        <v/>
      </c>
      <c r="BV71" s="114" t="str">
        <f>_xlfn.IFNA(VLOOKUP($BD71,Programma!$F$3:$X$1101,19,0),"")</f>
        <v/>
      </c>
      <c r="BW71" s="114" t="str">
        <f>_xlfn.IFNA(VLOOKUP($BD71,Programma!$F$3:$Y$1101,20,0),"")</f>
        <v/>
      </c>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c r="GF71" s="28"/>
      <c r="GG71" s="28"/>
      <c r="GH71" s="28"/>
      <c r="GI71" s="28"/>
      <c r="GJ71" s="28"/>
      <c r="GK71" s="28"/>
      <c r="GL71" s="28"/>
      <c r="GM71" s="28"/>
      <c r="GN71" s="28"/>
      <c r="GO71" s="28"/>
      <c r="GP71" s="28"/>
      <c r="GQ71" s="28"/>
      <c r="GR71" s="28"/>
      <c r="GS71" s="28"/>
      <c r="GT71" s="28"/>
      <c r="GU71" s="28"/>
      <c r="GV71" s="28"/>
      <c r="GW71" s="28"/>
      <c r="GX71" s="28"/>
      <c r="GY71" s="28"/>
      <c r="GZ71" s="28"/>
      <c r="HA71" s="28"/>
      <c r="HB71" s="28"/>
      <c r="HC71" s="28"/>
      <c r="HD71" s="28"/>
      <c r="HE71" s="28"/>
      <c r="HF71" s="28"/>
      <c r="HG71" s="28"/>
      <c r="HH71" s="28"/>
      <c r="HI71" s="28"/>
      <c r="HJ71" s="28"/>
      <c r="HK71" s="28"/>
      <c r="HL71" s="28"/>
    </row>
    <row r="72" spans="1:220" ht="15" customHeight="1">
      <c r="A72" s="31">
        <v>2</v>
      </c>
      <c r="B72" s="105" t="str">
        <f>VLOOKUP(Ruimtestaat[[#This Row],[Code]],Locaties[[Code]:[Locatie]],2,FALSE)</f>
        <v>IKC De Hoge Hoeve</v>
      </c>
      <c r="C72" s="105" t="str">
        <f>VLOOKUP(Ruimtestaat[[#This Row],[Code]],Locaties[[#All],[Code]:[Adres]],4,FALSE)</f>
        <v>De Hoge Hoeve 70</v>
      </c>
      <c r="D72" s="105" t="str">
        <f>VLOOKUP(Ruimtestaat[[#This Row],[Code]],Locaties[[#All],[Code]:[Postcode]],5,FALSE)</f>
        <v>6932 DJ</v>
      </c>
      <c r="E72" s="105" t="str">
        <f>VLOOKUP(Ruimtestaat[[#This Row],[Code]],Locaties[#All],6,FALSE)</f>
        <v>Westervoort</v>
      </c>
      <c r="F72" s="73"/>
      <c r="G72" s="73" t="s">
        <v>1645</v>
      </c>
      <c r="H72" s="271" t="s">
        <v>1679</v>
      </c>
      <c r="I72" s="273" t="s">
        <v>1726</v>
      </c>
      <c r="J72" s="31">
        <v>2</v>
      </c>
      <c r="K72" s="113" t="str">
        <f>VLOOKUP(Ruimtestaat[[#This Row],[Ruimte code]],Ruimtegroepen[[#All],[Code]:[Ruimte omschrijving]],2,FALSE)</f>
        <v>Kantoren</v>
      </c>
      <c r="L72" s="73" t="s">
        <v>102</v>
      </c>
      <c r="M72" s="273" t="s">
        <v>120</v>
      </c>
      <c r="N72" s="106"/>
      <c r="O72" s="73"/>
      <c r="P72" s="106">
        <v>16</v>
      </c>
      <c r="Q72" s="107" t="str">
        <f>VLOOKUP(Ruimtestaat[[#This Row],[Ruimte code]],Ruimtegroepen[],4,FALSE)</f>
        <v>Bu</v>
      </c>
      <c r="R72" s="73"/>
      <c r="S72" s="73"/>
      <c r="T72" s="73">
        <f>IF(R72&gt;0,IF(RIGHT(Ruimtestaat[[#This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2" s="73">
        <f>IF(T72&gt;0,VLOOKUP($J72,Ruimtegroepen[],3,FALSE)*VLOOKUP($L72,Vloersoorten[],3,FALSE)*VLOOKUP($S72,Frequenties[],3,FALSE)*VLOOKUP($A72,Locaties[],3,FALSE),0)</f>
        <v>0</v>
      </c>
      <c r="V72" s="73">
        <f>Ruimtestaat[[#This Row],[Uitvoeringen werkdagen]]*Ruimtestaat[[#This Row],[Oppervlak (netto)]]</f>
        <v>0</v>
      </c>
      <c r="W72" s="108">
        <f>IF(U72&gt;0,Ruimtestaat[[#This Row],[Prest. (m2 /jaar) werkdagen]]/Ruimtestaat[[#This Row],[Norm (m2/uur) werkdagen]],0)</f>
        <v>0</v>
      </c>
      <c r="X72" s="109">
        <f>Ruimtestaat[[#This Row],[uren / jaar werkdagen]]*Tariefsopbouw!$E$35</f>
        <v>0</v>
      </c>
      <c r="Y72" s="73"/>
      <c r="Z72" s="73">
        <f>IF(Ruimtestaat[[#This Row],[Frequentie weekend]]&gt;0,VALUE(LEFT(Y72,1))*R72,0)</f>
        <v>0</v>
      </c>
      <c r="AA72" s="72">
        <f>IF($Z72&gt;0,VLOOKUP($J72,Ruimtegroepen[],3,FALSE)*VLOOKUP($L72,Vloersoorten[],3,FALSE)*VLOOKUP($Y72,Frequenties[],3,FALSE)*VLOOKUP(Ruimtestaat[[#This Row],[Code]],Locaties[],3,FALSE),0)</f>
        <v>0</v>
      </c>
      <c r="AB72" s="72">
        <f>Ruimtestaat[[#This Row],[Uitvoeringen weekend]]*Ruimtestaat[[#This Row],[Oppervlak (netto)]]</f>
        <v>0</v>
      </c>
      <c r="AC72" s="72">
        <f>IF(AA72&gt;0,Ruimtestaat[[#This Row],[Prest. (m2 /jaar) weekend]]/Ruimtestaat[[#This Row],[Norm (m2/uur) weekend]],0)</f>
        <v>0</v>
      </c>
      <c r="AD72" s="109">
        <f>Ruimtestaat[[#This Row],[uren / jaar weekend]]*Tariefsopbouw!$D$40</f>
        <v>0</v>
      </c>
      <c r="AE72" s="108">
        <f>Ruimtestaat[[#This Row],[Prest. (m2 /jaar) weekend]]+Ruimtestaat[[#This Row],[Prest. (m2 /jaar) werkdagen]]</f>
        <v>0</v>
      </c>
      <c r="AF72" s="108">
        <f>Ruimtestaat[[#This Row],[uren / jaar weekend]]+Ruimtestaat[[#This Row],[uren / jaar werkdagen]]</f>
        <v>0</v>
      </c>
      <c r="AG72" s="103">
        <f>Ruimtestaat[[#This Row],[kosten / jaar weekend]]+Ruimtestaat[[#This Row],[kosten / jaar werkdagen]]</f>
        <v>0</v>
      </c>
      <c r="AH72" s="103"/>
      <c r="AI72" s="110" t="str">
        <f>IF(Ruimtestaat[[#This Row],[Frequentie werkdagen]]="","",_xlfn.CONCAT(Ruimtestaat[[#This Row],[Ruimte code]],"-",Ruimtestaat[[#This Row],[Frequentie werkdagen]]," ",Ruimtestaat[[#This Row],[Vloer code]]))</f>
        <v/>
      </c>
      <c r="AJ72" s="114" t="str">
        <f>_xlfn.IFNA(VLOOKUP($AI72,Programma!$F$3:$G$1101,2,0),"")</f>
        <v/>
      </c>
      <c r="AK72" s="114" t="str">
        <f>_xlfn.IFNA(VLOOKUP($AI72,Programma!$F$3:$H$1101,3,0),"")</f>
        <v/>
      </c>
      <c r="AL72" s="114" t="str">
        <f>_xlfn.IFNA(VLOOKUP($AI72,Programma!$F$3:$I$1101,4,0),"")</f>
        <v/>
      </c>
      <c r="AM72" s="114" t="str">
        <f>_xlfn.IFNA(VLOOKUP($AI72,Programma!$F$3:$J$1101,5,0),"")</f>
        <v/>
      </c>
      <c r="AN72" s="114" t="str">
        <f>_xlfn.IFNA(VLOOKUP($AI72,Programma!$F$3:$K$1101,6,0),"")</f>
        <v/>
      </c>
      <c r="AO72" s="114" t="str">
        <f>_xlfn.IFNA(VLOOKUP($AI72,Programma!$F$3:$L$1101,7,0),"")</f>
        <v/>
      </c>
      <c r="AP72" s="114" t="str">
        <f>_xlfn.IFNA(VLOOKUP($AI72,Programma!$F$3:$M$1101,8,0),"")</f>
        <v/>
      </c>
      <c r="AQ72" s="114" t="str">
        <f>_xlfn.IFNA(VLOOKUP($AI72,Programma!$F$3:$N$1101,9,0),"")</f>
        <v/>
      </c>
      <c r="AR72" s="114" t="str">
        <f>_xlfn.IFNA(VLOOKUP($AI72,Programma!$F$3:$O$1101,10,0),"")</f>
        <v/>
      </c>
      <c r="AS72" s="114" t="str">
        <f>_xlfn.IFNA(VLOOKUP($AI72,Programma!$F$3:$P$1101,11,0),"")</f>
        <v/>
      </c>
      <c r="AT72" s="114" t="str">
        <f>_xlfn.IFNA(VLOOKUP($AI72,Programma!$F$3:$Q$1101,12,0),"")</f>
        <v/>
      </c>
      <c r="AU72" s="114" t="str">
        <f>_xlfn.IFNA(VLOOKUP($AI72,Programma!$F$3:$R$1101,13,0),"")</f>
        <v/>
      </c>
      <c r="AV72" s="114" t="str">
        <f>_xlfn.IFNA(VLOOKUP($AI72,Programma!$F$3:$S$1101,14,0),"")</f>
        <v/>
      </c>
      <c r="AW72" s="114" t="str">
        <f>_xlfn.IFNA(VLOOKUP($AI72,Programma!$F$3:$T$1101,15,0),"")</f>
        <v/>
      </c>
      <c r="AX72" s="114" t="str">
        <f>_xlfn.IFNA(VLOOKUP($AI72,Programma!$F$3:$U$1101,16,0),"")</f>
        <v/>
      </c>
      <c r="AY72" s="114" t="str">
        <f>_xlfn.IFNA(VLOOKUP($AI72,Programma!$F$3:$V$1101,17,0),"")</f>
        <v/>
      </c>
      <c r="AZ72" s="114" t="str">
        <f>_xlfn.IFNA(VLOOKUP($AI72,Programma!$F$3:$W$1101,18,0),"")</f>
        <v/>
      </c>
      <c r="BA72" s="114" t="str">
        <f>_xlfn.IFNA(VLOOKUP($AI72,Programma!$F$3:$X$1101,19,0),"")</f>
        <v/>
      </c>
      <c r="BB72" s="114" t="str">
        <f>_xlfn.IFNA(VLOOKUP($AI72,Programma!$F$3:$Y$1101,20,0),"")</f>
        <v/>
      </c>
      <c r="BC72" s="111"/>
      <c r="BD72" s="110" t="str">
        <f>IF(Ruimtestaat[[#This Row],[Frequentie weekend]]="","",_xlfn.CONCAT(Ruimtestaat[[#This Row],[Ruimte code]],"-",Ruimtestaat[[#This Row],[Frequentie weekend]]," ",Ruimtestaat[[#This Row],[Vloer code]]))</f>
        <v/>
      </c>
      <c r="BE72" s="114" t="str">
        <f>_xlfn.IFNA(VLOOKUP($BD72,Programma!$F$3:$G$1101,2,0),"")</f>
        <v/>
      </c>
      <c r="BF72" s="114" t="str">
        <f>_xlfn.IFNA(VLOOKUP($BD72,Programma!$F$3:$H$1101,3,0),"")</f>
        <v/>
      </c>
      <c r="BG72" s="114" t="str">
        <f>_xlfn.IFNA(VLOOKUP($BD72,Programma!$F$3:$I$1101,4,0),"")</f>
        <v/>
      </c>
      <c r="BH72" s="114" t="str">
        <f>_xlfn.IFNA(VLOOKUP($BD72,Programma!$F$3:$J$1101,5,0),"")</f>
        <v/>
      </c>
      <c r="BI72" s="114" t="str">
        <f>_xlfn.IFNA(VLOOKUP($BD72,Programma!$F$3:$K$1101,6,0),"")</f>
        <v/>
      </c>
      <c r="BJ72" s="114" t="str">
        <f>_xlfn.IFNA(VLOOKUP($BD72,Programma!$F$3:$L$1101,7,0),"")</f>
        <v/>
      </c>
      <c r="BK72" s="114" t="str">
        <f>_xlfn.IFNA(VLOOKUP($BD72,Programma!$F$3:$M$1101,8,0),"")</f>
        <v/>
      </c>
      <c r="BL72" s="114" t="str">
        <f>_xlfn.IFNA(VLOOKUP($BD72,Programma!$F$3:$N$1101,9,0),"")</f>
        <v/>
      </c>
      <c r="BM72" s="114" t="str">
        <f>_xlfn.IFNA(VLOOKUP($BD72,Programma!$F$3:$O$1101,10,0),"")</f>
        <v/>
      </c>
      <c r="BN72" s="114" t="str">
        <f>_xlfn.IFNA(VLOOKUP($BD72,Programma!$F$3:$P$1101,11,0),"")</f>
        <v/>
      </c>
      <c r="BO72" s="114" t="str">
        <f>_xlfn.IFNA(VLOOKUP($BD72,Programma!$F$3:$Q$1101,12,0),"")</f>
        <v/>
      </c>
      <c r="BP72" s="114" t="str">
        <f>_xlfn.IFNA(VLOOKUP($BD72,Programma!$F$3:$R$1101,13,0),"")</f>
        <v/>
      </c>
      <c r="BQ72" s="114" t="str">
        <f>_xlfn.IFNA(VLOOKUP($BD72,Programma!$F$3:$S$1101,14,0),"")</f>
        <v/>
      </c>
      <c r="BR72" s="114" t="str">
        <f>_xlfn.IFNA(VLOOKUP($BD72,Programma!$F$3:$T$1101,15,0),"")</f>
        <v/>
      </c>
      <c r="BS72" s="114" t="str">
        <f>_xlfn.IFNA(VLOOKUP($BD72,Programma!$F$3:$U$1101,16,0),"")</f>
        <v/>
      </c>
      <c r="BT72" s="114" t="str">
        <f>_xlfn.IFNA(VLOOKUP($BD72,Programma!$F$3:$V$1101,17,0),"")</f>
        <v/>
      </c>
      <c r="BU72" s="114" t="str">
        <f>_xlfn.IFNA(VLOOKUP($BD72,Programma!$F$3:$W$1101,18,0),"")</f>
        <v/>
      </c>
      <c r="BV72" s="114" t="str">
        <f>_xlfn.IFNA(VLOOKUP($BD72,Programma!$F$3:$X$1101,19,0),"")</f>
        <v/>
      </c>
      <c r="BW72" s="114" t="str">
        <f>_xlfn.IFNA(VLOOKUP($BD72,Programma!$F$3:$Y$1101,20,0),"")</f>
        <v/>
      </c>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c r="HL72" s="28"/>
    </row>
    <row r="73" spans="1:220" ht="15" customHeight="1">
      <c r="A73" s="31">
        <v>2</v>
      </c>
      <c r="B73" s="105" t="str">
        <f>VLOOKUP(Ruimtestaat[[#This Row],[Code]],Locaties[[Code]:[Locatie]],2,FALSE)</f>
        <v>IKC De Hoge Hoeve</v>
      </c>
      <c r="C73" s="105" t="str">
        <f>VLOOKUP(Ruimtestaat[[#This Row],[Code]],Locaties[[#All],[Code]:[Adres]],4,FALSE)</f>
        <v>De Hoge Hoeve 70</v>
      </c>
      <c r="D73" s="105" t="str">
        <f>VLOOKUP(Ruimtestaat[[#This Row],[Code]],Locaties[[#All],[Code]:[Postcode]],5,FALSE)</f>
        <v>6932 DJ</v>
      </c>
      <c r="E73" s="105" t="str">
        <f>VLOOKUP(Ruimtestaat[[#This Row],[Code]],Locaties[#All],6,FALSE)</f>
        <v>Westervoort</v>
      </c>
      <c r="F73" s="73"/>
      <c r="G73" s="73" t="s">
        <v>1645</v>
      </c>
      <c r="H73" s="271" t="s">
        <v>1680</v>
      </c>
      <c r="I73" s="273" t="s">
        <v>1723</v>
      </c>
      <c r="J73" s="31">
        <v>5</v>
      </c>
      <c r="K73" s="113" t="str">
        <f>VLOOKUP(Ruimtestaat[[#This Row],[Ruimte code]],Ruimtegroepen[[#All],[Code]:[Ruimte omschrijving]],2,FALSE)</f>
        <v>Sanitair</v>
      </c>
      <c r="L73" s="73" t="s">
        <v>102</v>
      </c>
      <c r="M73" s="273" t="s">
        <v>120</v>
      </c>
      <c r="N73" s="106"/>
      <c r="O73" s="112"/>
      <c r="P73" s="106">
        <v>6</v>
      </c>
      <c r="Q73" s="107" t="str">
        <f>VLOOKUP(Ruimtestaat[[#This Row],[Ruimte code]],Ruimtegroepen[],4,FALSE)</f>
        <v>Sa</v>
      </c>
      <c r="R73" s="73"/>
      <c r="S73" s="73"/>
      <c r="T73" s="73">
        <f>IF(R73&gt;0,IF(RIGHT(Ruimtestaat[[#This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3" s="73">
        <f>IF(T73&gt;0,VLOOKUP($J73,Ruimtegroepen[],3,FALSE)*VLOOKUP($L73,Vloersoorten[],3,FALSE)*VLOOKUP($S73,Frequenties[],3,FALSE)*VLOOKUP($A73,Locaties[],3,FALSE),0)</f>
        <v>0</v>
      </c>
      <c r="V73" s="73">
        <f>Ruimtestaat[[#This Row],[Uitvoeringen werkdagen]]*Ruimtestaat[[#This Row],[Oppervlak (netto)]]</f>
        <v>0</v>
      </c>
      <c r="W73" s="108">
        <f>IF(U73&gt;0,Ruimtestaat[[#This Row],[Prest. (m2 /jaar) werkdagen]]/Ruimtestaat[[#This Row],[Norm (m2/uur) werkdagen]],0)</f>
        <v>0</v>
      </c>
      <c r="X73" s="109">
        <f>Ruimtestaat[[#This Row],[uren / jaar werkdagen]]*Tariefsopbouw!$E$35</f>
        <v>0</v>
      </c>
      <c r="Y73" s="73"/>
      <c r="Z73" s="73">
        <f>IF(Ruimtestaat[[#This Row],[Frequentie weekend]]&gt;0,VALUE(LEFT(Y73,1))*R73,0)</f>
        <v>0</v>
      </c>
      <c r="AA73" s="72">
        <f>IF($Z73&gt;0,VLOOKUP($J73,Ruimtegroepen[],3,FALSE)*VLOOKUP($L73,Vloersoorten[],3,FALSE)*VLOOKUP($Y73,Frequenties[],3,FALSE)*VLOOKUP(Ruimtestaat[[#This Row],[Code]],Locaties[],3,FALSE),0)</f>
        <v>0</v>
      </c>
      <c r="AB73" s="72">
        <f>Ruimtestaat[[#This Row],[Uitvoeringen weekend]]*Ruimtestaat[[#This Row],[Oppervlak (netto)]]</f>
        <v>0</v>
      </c>
      <c r="AC73" s="72">
        <f>IF(AA73&gt;0,Ruimtestaat[[#This Row],[Prest. (m2 /jaar) weekend]]/Ruimtestaat[[#This Row],[Norm (m2/uur) weekend]],0)</f>
        <v>0</v>
      </c>
      <c r="AD73" s="109">
        <f>Ruimtestaat[[#This Row],[uren / jaar weekend]]*Tariefsopbouw!$D$40</f>
        <v>0</v>
      </c>
      <c r="AE73" s="108">
        <f>Ruimtestaat[[#This Row],[Prest. (m2 /jaar) weekend]]+Ruimtestaat[[#This Row],[Prest. (m2 /jaar) werkdagen]]</f>
        <v>0</v>
      </c>
      <c r="AF73" s="108">
        <f>Ruimtestaat[[#This Row],[uren / jaar weekend]]+Ruimtestaat[[#This Row],[uren / jaar werkdagen]]</f>
        <v>0</v>
      </c>
      <c r="AG73" s="103">
        <f>Ruimtestaat[[#This Row],[kosten / jaar weekend]]+Ruimtestaat[[#This Row],[kosten / jaar werkdagen]]</f>
        <v>0</v>
      </c>
      <c r="AH73" s="103"/>
      <c r="AI73" s="110" t="str">
        <f>IF(Ruimtestaat[[#This Row],[Frequentie werkdagen]]="","",_xlfn.CONCAT(Ruimtestaat[[#This Row],[Ruimte code]],"-",Ruimtestaat[[#This Row],[Frequentie werkdagen]]," ",Ruimtestaat[[#This Row],[Vloer code]]))</f>
        <v/>
      </c>
      <c r="AJ73" s="114" t="str">
        <f>_xlfn.IFNA(VLOOKUP($AI73,Programma!$F$3:$G$1101,2,0),"")</f>
        <v/>
      </c>
      <c r="AK73" s="114" t="str">
        <f>_xlfn.IFNA(VLOOKUP($AI73,Programma!$F$3:$H$1101,3,0),"")</f>
        <v/>
      </c>
      <c r="AL73" s="114" t="str">
        <f>_xlfn.IFNA(VLOOKUP($AI73,Programma!$F$3:$I$1101,4,0),"")</f>
        <v/>
      </c>
      <c r="AM73" s="114" t="str">
        <f>_xlfn.IFNA(VLOOKUP($AI73,Programma!$F$3:$J$1101,5,0),"")</f>
        <v/>
      </c>
      <c r="AN73" s="114" t="str">
        <f>_xlfn.IFNA(VLOOKUP($AI73,Programma!$F$3:$K$1101,6,0),"")</f>
        <v/>
      </c>
      <c r="AO73" s="114" t="str">
        <f>_xlfn.IFNA(VLOOKUP($AI73,Programma!$F$3:$L$1101,7,0),"")</f>
        <v/>
      </c>
      <c r="AP73" s="114" t="str">
        <f>_xlfn.IFNA(VLOOKUP($AI73,Programma!$F$3:$M$1101,8,0),"")</f>
        <v/>
      </c>
      <c r="AQ73" s="114" t="str">
        <f>_xlfn.IFNA(VLOOKUP($AI73,Programma!$F$3:$N$1101,9,0),"")</f>
        <v/>
      </c>
      <c r="AR73" s="114" t="str">
        <f>_xlfn.IFNA(VLOOKUP($AI73,Programma!$F$3:$O$1101,10,0),"")</f>
        <v/>
      </c>
      <c r="AS73" s="114" t="str">
        <f>_xlfn.IFNA(VLOOKUP($AI73,Programma!$F$3:$P$1101,11,0),"")</f>
        <v/>
      </c>
      <c r="AT73" s="114" t="str">
        <f>_xlfn.IFNA(VLOOKUP($AI73,Programma!$F$3:$Q$1101,12,0),"")</f>
        <v/>
      </c>
      <c r="AU73" s="114" t="str">
        <f>_xlfn.IFNA(VLOOKUP($AI73,Programma!$F$3:$R$1101,13,0),"")</f>
        <v/>
      </c>
      <c r="AV73" s="114" t="str">
        <f>_xlfn.IFNA(VLOOKUP($AI73,Programma!$F$3:$S$1101,14,0),"")</f>
        <v/>
      </c>
      <c r="AW73" s="114" t="str">
        <f>_xlfn.IFNA(VLOOKUP($AI73,Programma!$F$3:$T$1101,15,0),"")</f>
        <v/>
      </c>
      <c r="AX73" s="114" t="str">
        <f>_xlfn.IFNA(VLOOKUP($AI73,Programma!$F$3:$U$1101,16,0),"")</f>
        <v/>
      </c>
      <c r="AY73" s="114" t="str">
        <f>_xlfn.IFNA(VLOOKUP($AI73,Programma!$F$3:$V$1101,17,0),"")</f>
        <v/>
      </c>
      <c r="AZ73" s="114" t="str">
        <f>_xlfn.IFNA(VLOOKUP($AI73,Programma!$F$3:$W$1101,18,0),"")</f>
        <v/>
      </c>
      <c r="BA73" s="114" t="str">
        <f>_xlfn.IFNA(VLOOKUP($AI73,Programma!$F$3:$X$1101,19,0),"")</f>
        <v/>
      </c>
      <c r="BB73" s="114" t="str">
        <f>_xlfn.IFNA(VLOOKUP($AI73,Programma!$F$3:$Y$1101,20,0),"")</f>
        <v/>
      </c>
      <c r="BC73" s="111"/>
      <c r="BD73" s="110" t="str">
        <f>IF(Ruimtestaat[[#This Row],[Frequentie weekend]]="","",_xlfn.CONCAT(Ruimtestaat[[#This Row],[Ruimte code]],"-",Ruimtestaat[[#This Row],[Frequentie weekend]]," ",Ruimtestaat[[#This Row],[Vloer code]]))</f>
        <v/>
      </c>
      <c r="BE73" s="114" t="str">
        <f>_xlfn.IFNA(VLOOKUP($BD73,Programma!$F$3:$G$1101,2,0),"")</f>
        <v/>
      </c>
      <c r="BF73" s="114" t="str">
        <f>_xlfn.IFNA(VLOOKUP($BD73,Programma!$F$3:$H$1101,3,0),"")</f>
        <v/>
      </c>
      <c r="BG73" s="114" t="str">
        <f>_xlfn.IFNA(VLOOKUP($BD73,Programma!$F$3:$I$1101,4,0),"")</f>
        <v/>
      </c>
      <c r="BH73" s="114" t="str">
        <f>_xlfn.IFNA(VLOOKUP($BD73,Programma!$F$3:$J$1101,5,0),"")</f>
        <v/>
      </c>
      <c r="BI73" s="114" t="str">
        <f>_xlfn.IFNA(VLOOKUP($BD73,Programma!$F$3:$K$1101,6,0),"")</f>
        <v/>
      </c>
      <c r="BJ73" s="114" t="str">
        <f>_xlfn.IFNA(VLOOKUP($BD73,Programma!$F$3:$L$1101,7,0),"")</f>
        <v/>
      </c>
      <c r="BK73" s="114" t="str">
        <f>_xlfn.IFNA(VLOOKUP($BD73,Programma!$F$3:$M$1101,8,0),"")</f>
        <v/>
      </c>
      <c r="BL73" s="114" t="str">
        <f>_xlfn.IFNA(VLOOKUP($BD73,Programma!$F$3:$N$1101,9,0),"")</f>
        <v/>
      </c>
      <c r="BM73" s="114" t="str">
        <f>_xlfn.IFNA(VLOOKUP($BD73,Programma!$F$3:$O$1101,10,0),"")</f>
        <v/>
      </c>
      <c r="BN73" s="114" t="str">
        <f>_xlfn.IFNA(VLOOKUP($BD73,Programma!$F$3:$P$1101,11,0),"")</f>
        <v/>
      </c>
      <c r="BO73" s="114" t="str">
        <f>_xlfn.IFNA(VLOOKUP($BD73,Programma!$F$3:$Q$1101,12,0),"")</f>
        <v/>
      </c>
      <c r="BP73" s="114" t="str">
        <f>_xlfn.IFNA(VLOOKUP($BD73,Programma!$F$3:$R$1101,13,0),"")</f>
        <v/>
      </c>
      <c r="BQ73" s="114" t="str">
        <f>_xlfn.IFNA(VLOOKUP($BD73,Programma!$F$3:$S$1101,14,0),"")</f>
        <v/>
      </c>
      <c r="BR73" s="114" t="str">
        <f>_xlfn.IFNA(VLOOKUP($BD73,Programma!$F$3:$T$1101,15,0),"")</f>
        <v/>
      </c>
      <c r="BS73" s="114" t="str">
        <f>_xlfn.IFNA(VLOOKUP($BD73,Programma!$F$3:$U$1101,16,0),"")</f>
        <v/>
      </c>
      <c r="BT73" s="114" t="str">
        <f>_xlfn.IFNA(VLOOKUP($BD73,Programma!$F$3:$V$1101,17,0),"")</f>
        <v/>
      </c>
      <c r="BU73" s="114" t="str">
        <f>_xlfn.IFNA(VLOOKUP($BD73,Programma!$F$3:$W$1101,18,0),"")</f>
        <v/>
      </c>
      <c r="BV73" s="114" t="str">
        <f>_xlfn.IFNA(VLOOKUP($BD73,Programma!$F$3:$X$1101,19,0),"")</f>
        <v/>
      </c>
      <c r="BW73" s="114" t="str">
        <f>_xlfn.IFNA(VLOOKUP($BD73,Programma!$F$3:$Y$1101,20,0),"")</f>
        <v/>
      </c>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c r="GC73" s="28"/>
      <c r="GD73" s="28"/>
      <c r="GE73" s="28"/>
      <c r="GF73" s="28"/>
      <c r="GG73" s="28"/>
      <c r="GH73" s="28"/>
      <c r="GI73" s="28"/>
      <c r="GJ73" s="28"/>
      <c r="GK73" s="28"/>
      <c r="GL73" s="28"/>
      <c r="GM73" s="28"/>
      <c r="GN73" s="28"/>
      <c r="GO73" s="28"/>
      <c r="GP73" s="28"/>
      <c r="GQ73" s="28"/>
      <c r="GR73" s="28"/>
      <c r="GS73" s="28"/>
      <c r="GT73" s="28"/>
      <c r="GU73" s="28"/>
      <c r="GV73" s="28"/>
      <c r="GW73" s="28"/>
      <c r="GX73" s="28"/>
      <c r="GY73" s="28"/>
      <c r="GZ73" s="28"/>
      <c r="HA73" s="28"/>
      <c r="HB73" s="28"/>
      <c r="HC73" s="28"/>
      <c r="HD73" s="28"/>
      <c r="HE73" s="28"/>
      <c r="HF73" s="28"/>
      <c r="HG73" s="28"/>
      <c r="HH73" s="28"/>
      <c r="HI73" s="28"/>
      <c r="HJ73" s="28"/>
      <c r="HK73" s="28"/>
      <c r="HL73" s="28"/>
    </row>
    <row r="74" spans="1:220" ht="15" customHeight="1">
      <c r="A74" s="31">
        <v>2</v>
      </c>
      <c r="B74" s="105" t="str">
        <f>VLOOKUP(Ruimtestaat[[#This Row],[Code]],Locaties[[Code]:[Locatie]],2,FALSE)</f>
        <v>IKC De Hoge Hoeve</v>
      </c>
      <c r="C74" s="105" t="str">
        <f>VLOOKUP(Ruimtestaat[[#This Row],[Code]],Locaties[[#All],[Code]:[Adres]],4,FALSE)</f>
        <v>De Hoge Hoeve 70</v>
      </c>
      <c r="D74" s="105" t="str">
        <f>VLOOKUP(Ruimtestaat[[#This Row],[Code]],Locaties[[#All],[Code]:[Postcode]],5,FALSE)</f>
        <v>6932 DJ</v>
      </c>
      <c r="E74" s="105" t="str">
        <f>VLOOKUP(Ruimtestaat[[#This Row],[Code]],Locaties[#All],6,FALSE)</f>
        <v>Westervoort</v>
      </c>
      <c r="F74" s="73"/>
      <c r="G74" s="73" t="s">
        <v>1645</v>
      </c>
      <c r="H74" s="271" t="s">
        <v>1681</v>
      </c>
      <c r="I74" s="273" t="s">
        <v>1727</v>
      </c>
      <c r="J74" s="31">
        <v>16</v>
      </c>
      <c r="K74" s="113" t="str">
        <f>VLOOKUP(Ruimtestaat[[#This Row],[Ruimte code]],Ruimtegroepen[[#All],[Code]:[Ruimte omschrijving]],2,FALSE)</f>
        <v>Leslokalen</v>
      </c>
      <c r="L74" s="73" t="s">
        <v>102</v>
      </c>
      <c r="M74" s="273" t="s">
        <v>120</v>
      </c>
      <c r="N74" s="106"/>
      <c r="O74" s="112"/>
      <c r="P74" s="106">
        <v>58</v>
      </c>
      <c r="Q74" s="107" t="str">
        <f>VLOOKUP(Ruimtestaat[[#This Row],[Ruimte code]],Ruimtegroepen[],4,FALSE)</f>
        <v>Le</v>
      </c>
      <c r="R74" s="73"/>
      <c r="S74" s="73"/>
      <c r="T74" s="73">
        <f>IF(R74&gt;0,IF(RIGHT(Ruimtestaat[[#This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4" s="73">
        <f>IF(T74&gt;0,VLOOKUP($J74,Ruimtegroepen[],3,FALSE)*VLOOKUP($L74,Vloersoorten[],3,FALSE)*VLOOKUP($S74,Frequenties[],3,FALSE)*VLOOKUP($A74,Locaties[],3,FALSE),0)</f>
        <v>0</v>
      </c>
      <c r="V74" s="73">
        <f>Ruimtestaat[[#This Row],[Uitvoeringen werkdagen]]*Ruimtestaat[[#This Row],[Oppervlak (netto)]]</f>
        <v>0</v>
      </c>
      <c r="W74" s="108">
        <f>IF(U74&gt;0,Ruimtestaat[[#This Row],[Prest. (m2 /jaar) werkdagen]]/Ruimtestaat[[#This Row],[Norm (m2/uur) werkdagen]],0)</f>
        <v>0</v>
      </c>
      <c r="X74" s="109">
        <f>Ruimtestaat[[#This Row],[uren / jaar werkdagen]]*Tariefsopbouw!$E$35</f>
        <v>0</v>
      </c>
      <c r="Y74" s="73"/>
      <c r="Z74" s="73">
        <f>IF(Ruimtestaat[[#This Row],[Frequentie weekend]]&gt;0,VALUE(LEFT(Y74,1))*R74,0)</f>
        <v>0</v>
      </c>
      <c r="AA74" s="72">
        <f>IF($Z74&gt;0,VLOOKUP($J74,Ruimtegroepen[],3,FALSE)*VLOOKUP($L74,Vloersoorten[],3,FALSE)*VLOOKUP($Y74,Frequenties[],3,FALSE)*VLOOKUP(Ruimtestaat[[#This Row],[Code]],Locaties[],3,FALSE),0)</f>
        <v>0</v>
      </c>
      <c r="AB74" s="72">
        <f>Ruimtestaat[[#This Row],[Uitvoeringen weekend]]*Ruimtestaat[[#This Row],[Oppervlak (netto)]]</f>
        <v>0</v>
      </c>
      <c r="AC74" s="72">
        <f>IF(AA74&gt;0,Ruimtestaat[[#This Row],[Prest. (m2 /jaar) weekend]]/Ruimtestaat[[#This Row],[Norm (m2/uur) weekend]],0)</f>
        <v>0</v>
      </c>
      <c r="AD74" s="109">
        <f>Ruimtestaat[[#This Row],[uren / jaar weekend]]*Tariefsopbouw!$D$40</f>
        <v>0</v>
      </c>
      <c r="AE74" s="108">
        <f>Ruimtestaat[[#This Row],[Prest. (m2 /jaar) weekend]]+Ruimtestaat[[#This Row],[Prest. (m2 /jaar) werkdagen]]</f>
        <v>0</v>
      </c>
      <c r="AF74" s="108">
        <f>Ruimtestaat[[#This Row],[uren / jaar weekend]]+Ruimtestaat[[#This Row],[uren / jaar werkdagen]]</f>
        <v>0</v>
      </c>
      <c r="AG74" s="103">
        <f>Ruimtestaat[[#This Row],[kosten / jaar weekend]]+Ruimtestaat[[#This Row],[kosten / jaar werkdagen]]</f>
        <v>0</v>
      </c>
      <c r="AH74" s="103"/>
      <c r="AI74" s="110" t="str">
        <f>IF(Ruimtestaat[[#This Row],[Frequentie werkdagen]]="","",_xlfn.CONCAT(Ruimtestaat[[#This Row],[Ruimte code]],"-",Ruimtestaat[[#This Row],[Frequentie werkdagen]]," ",Ruimtestaat[[#This Row],[Vloer code]]))</f>
        <v/>
      </c>
      <c r="AJ74" s="114" t="str">
        <f>_xlfn.IFNA(VLOOKUP($AI74,Programma!$F$3:$G$1101,2,0),"")</f>
        <v/>
      </c>
      <c r="AK74" s="114" t="str">
        <f>_xlfn.IFNA(VLOOKUP($AI74,Programma!$F$3:$H$1101,3,0),"")</f>
        <v/>
      </c>
      <c r="AL74" s="114" t="str">
        <f>_xlfn.IFNA(VLOOKUP($AI74,Programma!$F$3:$I$1101,4,0),"")</f>
        <v/>
      </c>
      <c r="AM74" s="114" t="str">
        <f>_xlfn.IFNA(VLOOKUP($AI74,Programma!$F$3:$J$1101,5,0),"")</f>
        <v/>
      </c>
      <c r="AN74" s="114" t="str">
        <f>_xlfn.IFNA(VLOOKUP($AI74,Programma!$F$3:$K$1101,6,0),"")</f>
        <v/>
      </c>
      <c r="AO74" s="114" t="str">
        <f>_xlfn.IFNA(VLOOKUP($AI74,Programma!$F$3:$L$1101,7,0),"")</f>
        <v/>
      </c>
      <c r="AP74" s="114" t="str">
        <f>_xlfn.IFNA(VLOOKUP($AI74,Programma!$F$3:$M$1101,8,0),"")</f>
        <v/>
      </c>
      <c r="AQ74" s="114" t="str">
        <f>_xlfn.IFNA(VLOOKUP($AI74,Programma!$F$3:$N$1101,9,0),"")</f>
        <v/>
      </c>
      <c r="AR74" s="114" t="str">
        <f>_xlfn.IFNA(VLOOKUP($AI74,Programma!$F$3:$O$1101,10,0),"")</f>
        <v/>
      </c>
      <c r="AS74" s="114" t="str">
        <f>_xlfn.IFNA(VLOOKUP($AI74,Programma!$F$3:$P$1101,11,0),"")</f>
        <v/>
      </c>
      <c r="AT74" s="114" t="str">
        <f>_xlfn.IFNA(VLOOKUP($AI74,Programma!$F$3:$Q$1101,12,0),"")</f>
        <v/>
      </c>
      <c r="AU74" s="114" t="str">
        <f>_xlfn.IFNA(VLOOKUP($AI74,Programma!$F$3:$R$1101,13,0),"")</f>
        <v/>
      </c>
      <c r="AV74" s="114" t="str">
        <f>_xlfn.IFNA(VLOOKUP($AI74,Programma!$F$3:$S$1101,14,0),"")</f>
        <v/>
      </c>
      <c r="AW74" s="114" t="str">
        <f>_xlfn.IFNA(VLOOKUP($AI74,Programma!$F$3:$T$1101,15,0),"")</f>
        <v/>
      </c>
      <c r="AX74" s="114" t="str">
        <f>_xlfn.IFNA(VLOOKUP($AI74,Programma!$F$3:$U$1101,16,0),"")</f>
        <v/>
      </c>
      <c r="AY74" s="114" t="str">
        <f>_xlfn.IFNA(VLOOKUP($AI74,Programma!$F$3:$V$1101,17,0),"")</f>
        <v/>
      </c>
      <c r="AZ74" s="114" t="str">
        <f>_xlfn.IFNA(VLOOKUP($AI74,Programma!$F$3:$W$1101,18,0),"")</f>
        <v/>
      </c>
      <c r="BA74" s="114" t="str">
        <f>_xlfn.IFNA(VLOOKUP($AI74,Programma!$F$3:$X$1101,19,0),"")</f>
        <v/>
      </c>
      <c r="BB74" s="114" t="str">
        <f>_xlfn.IFNA(VLOOKUP($AI74,Programma!$F$3:$Y$1101,20,0),"")</f>
        <v/>
      </c>
      <c r="BC74" s="111"/>
      <c r="BD74" s="110" t="str">
        <f>IF(Ruimtestaat[[#This Row],[Frequentie weekend]]="","",_xlfn.CONCAT(Ruimtestaat[[#This Row],[Ruimte code]],"-",Ruimtestaat[[#This Row],[Frequentie weekend]]," ",Ruimtestaat[[#This Row],[Vloer code]]))</f>
        <v/>
      </c>
      <c r="BE74" s="114" t="str">
        <f>_xlfn.IFNA(VLOOKUP($BD74,Programma!$F$3:$G$1101,2,0),"")</f>
        <v/>
      </c>
      <c r="BF74" s="114" t="str">
        <f>_xlfn.IFNA(VLOOKUP($BD74,Programma!$F$3:$H$1101,3,0),"")</f>
        <v/>
      </c>
      <c r="BG74" s="114" t="str">
        <f>_xlfn.IFNA(VLOOKUP($BD74,Programma!$F$3:$I$1101,4,0),"")</f>
        <v/>
      </c>
      <c r="BH74" s="114" t="str">
        <f>_xlfn.IFNA(VLOOKUP($BD74,Programma!$F$3:$J$1101,5,0),"")</f>
        <v/>
      </c>
      <c r="BI74" s="114" t="str">
        <f>_xlfn.IFNA(VLOOKUP($BD74,Programma!$F$3:$K$1101,6,0),"")</f>
        <v/>
      </c>
      <c r="BJ74" s="114" t="str">
        <f>_xlfn.IFNA(VLOOKUP($BD74,Programma!$F$3:$L$1101,7,0),"")</f>
        <v/>
      </c>
      <c r="BK74" s="114" t="str">
        <f>_xlfn.IFNA(VLOOKUP($BD74,Programma!$F$3:$M$1101,8,0),"")</f>
        <v/>
      </c>
      <c r="BL74" s="114" t="str">
        <f>_xlfn.IFNA(VLOOKUP($BD74,Programma!$F$3:$N$1101,9,0),"")</f>
        <v/>
      </c>
      <c r="BM74" s="114" t="str">
        <f>_xlfn.IFNA(VLOOKUP($BD74,Programma!$F$3:$O$1101,10,0),"")</f>
        <v/>
      </c>
      <c r="BN74" s="114" t="str">
        <f>_xlfn.IFNA(VLOOKUP($BD74,Programma!$F$3:$P$1101,11,0),"")</f>
        <v/>
      </c>
      <c r="BO74" s="114" t="str">
        <f>_xlfn.IFNA(VLOOKUP($BD74,Programma!$F$3:$Q$1101,12,0),"")</f>
        <v/>
      </c>
      <c r="BP74" s="114" t="str">
        <f>_xlfn.IFNA(VLOOKUP($BD74,Programma!$F$3:$R$1101,13,0),"")</f>
        <v/>
      </c>
      <c r="BQ74" s="114" t="str">
        <f>_xlfn.IFNA(VLOOKUP($BD74,Programma!$F$3:$S$1101,14,0),"")</f>
        <v/>
      </c>
      <c r="BR74" s="114" t="str">
        <f>_xlfn.IFNA(VLOOKUP($BD74,Programma!$F$3:$T$1101,15,0),"")</f>
        <v/>
      </c>
      <c r="BS74" s="114" t="str">
        <f>_xlfn.IFNA(VLOOKUP($BD74,Programma!$F$3:$U$1101,16,0),"")</f>
        <v/>
      </c>
      <c r="BT74" s="114" t="str">
        <f>_xlfn.IFNA(VLOOKUP($BD74,Programma!$F$3:$V$1101,17,0),"")</f>
        <v/>
      </c>
      <c r="BU74" s="114" t="str">
        <f>_xlfn.IFNA(VLOOKUP($BD74,Programma!$F$3:$W$1101,18,0),"")</f>
        <v/>
      </c>
      <c r="BV74" s="114" t="str">
        <f>_xlfn.IFNA(VLOOKUP($BD74,Programma!$F$3:$X$1101,19,0),"")</f>
        <v/>
      </c>
      <c r="BW74" s="114" t="str">
        <f>_xlfn.IFNA(VLOOKUP($BD74,Programma!$F$3:$Y$1101,20,0),"")</f>
        <v/>
      </c>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c r="HL74" s="28"/>
    </row>
    <row r="75" spans="1:220" ht="15" customHeight="1">
      <c r="A75" s="31">
        <v>2</v>
      </c>
      <c r="B75" s="105" t="str">
        <f>VLOOKUP(Ruimtestaat[[#This Row],[Code]],Locaties[[Code]:[Locatie]],2,FALSE)</f>
        <v>IKC De Hoge Hoeve</v>
      </c>
      <c r="C75" s="105" t="str">
        <f>VLOOKUP(Ruimtestaat[[#This Row],[Code]],Locaties[[#All],[Code]:[Adres]],4,FALSE)</f>
        <v>De Hoge Hoeve 70</v>
      </c>
      <c r="D75" s="105" t="str">
        <f>VLOOKUP(Ruimtestaat[[#This Row],[Code]],Locaties[[#All],[Code]:[Postcode]],5,FALSE)</f>
        <v>6932 DJ</v>
      </c>
      <c r="E75" s="105" t="str">
        <f>VLOOKUP(Ruimtestaat[[#This Row],[Code]],Locaties[#All],6,FALSE)</f>
        <v>Westervoort</v>
      </c>
      <c r="F75" s="73"/>
      <c r="G75" s="73" t="s">
        <v>1645</v>
      </c>
      <c r="H75" s="271" t="s">
        <v>1682</v>
      </c>
      <c r="I75" s="273" t="s">
        <v>1728</v>
      </c>
      <c r="J75" s="31">
        <v>7</v>
      </c>
      <c r="K75" s="113" t="str">
        <f>VLOOKUP(Ruimtestaat[[#This Row],[Ruimte code]],Ruimtegroepen[[#All],[Code]:[Ruimte omschrijving]],2,FALSE)</f>
        <v>Entree</v>
      </c>
      <c r="L75" s="73" t="s">
        <v>99</v>
      </c>
      <c r="M75" s="273" t="s">
        <v>1978</v>
      </c>
      <c r="N75" s="106"/>
      <c r="O75" s="73"/>
      <c r="P75" s="106">
        <v>11</v>
      </c>
      <c r="Q75" s="107" t="str">
        <f>VLOOKUP(Ruimtestaat[[#This Row],[Ruimte code]],Ruimtegroepen[],4,FALSE)</f>
        <v>Ve</v>
      </c>
      <c r="R75" s="73"/>
      <c r="S75" s="73"/>
      <c r="T75" s="73">
        <f>IF(R75&gt;0,IF(RIGHT(Ruimtestaat[[#This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5" s="73">
        <f>IF(T75&gt;0,VLOOKUP($J75,Ruimtegroepen[],3,FALSE)*VLOOKUP($L75,Vloersoorten[],3,FALSE)*VLOOKUP($S75,Frequenties[],3,FALSE)*VLOOKUP($A75,Locaties[],3,FALSE),0)</f>
        <v>0</v>
      </c>
      <c r="V75" s="73">
        <f>Ruimtestaat[[#This Row],[Uitvoeringen werkdagen]]*Ruimtestaat[[#This Row],[Oppervlak (netto)]]</f>
        <v>0</v>
      </c>
      <c r="W75" s="108">
        <f>IF(U75&gt;0,Ruimtestaat[[#This Row],[Prest. (m2 /jaar) werkdagen]]/Ruimtestaat[[#This Row],[Norm (m2/uur) werkdagen]],0)</f>
        <v>0</v>
      </c>
      <c r="X75" s="109">
        <f>Ruimtestaat[[#This Row],[uren / jaar werkdagen]]*Tariefsopbouw!$E$35</f>
        <v>0</v>
      </c>
      <c r="Y75" s="73"/>
      <c r="Z75" s="73">
        <f>IF(Ruimtestaat[[#This Row],[Frequentie weekend]]&gt;0,VALUE(LEFT(Y75,1))*R75,0)</f>
        <v>0</v>
      </c>
      <c r="AA75" s="72">
        <f>IF($Z75&gt;0,VLOOKUP($J75,Ruimtegroepen[],3,FALSE)*VLOOKUP($L75,Vloersoorten[],3,FALSE)*VLOOKUP($Y75,Frequenties[],3,FALSE)*VLOOKUP(Ruimtestaat[[#This Row],[Code]],Locaties[],3,FALSE),0)</f>
        <v>0</v>
      </c>
      <c r="AB75" s="72">
        <f>Ruimtestaat[[#This Row],[Uitvoeringen weekend]]*Ruimtestaat[[#This Row],[Oppervlak (netto)]]</f>
        <v>0</v>
      </c>
      <c r="AC75" s="72">
        <f>IF(AA75&gt;0,Ruimtestaat[[#This Row],[Prest. (m2 /jaar) weekend]]/Ruimtestaat[[#This Row],[Norm (m2/uur) weekend]],0)</f>
        <v>0</v>
      </c>
      <c r="AD75" s="109">
        <f>Ruimtestaat[[#This Row],[uren / jaar weekend]]*Tariefsopbouw!$D$40</f>
        <v>0</v>
      </c>
      <c r="AE75" s="108">
        <f>Ruimtestaat[[#This Row],[Prest. (m2 /jaar) weekend]]+Ruimtestaat[[#This Row],[Prest. (m2 /jaar) werkdagen]]</f>
        <v>0</v>
      </c>
      <c r="AF75" s="108">
        <f>Ruimtestaat[[#This Row],[uren / jaar weekend]]+Ruimtestaat[[#This Row],[uren / jaar werkdagen]]</f>
        <v>0</v>
      </c>
      <c r="AG75" s="103">
        <f>Ruimtestaat[[#This Row],[kosten / jaar weekend]]+Ruimtestaat[[#This Row],[kosten / jaar werkdagen]]</f>
        <v>0</v>
      </c>
      <c r="AH75" s="103"/>
      <c r="AI75" s="110" t="str">
        <f>IF(Ruimtestaat[[#This Row],[Frequentie werkdagen]]="","",_xlfn.CONCAT(Ruimtestaat[[#This Row],[Ruimte code]],"-",Ruimtestaat[[#This Row],[Frequentie werkdagen]]," ",Ruimtestaat[[#This Row],[Vloer code]]))</f>
        <v/>
      </c>
      <c r="AJ75" s="114" t="str">
        <f>_xlfn.IFNA(VLOOKUP($AI75,Programma!$F$3:$G$1101,2,0),"")</f>
        <v/>
      </c>
      <c r="AK75" s="114" t="str">
        <f>_xlfn.IFNA(VLOOKUP($AI75,Programma!$F$3:$H$1101,3,0),"")</f>
        <v/>
      </c>
      <c r="AL75" s="114" t="str">
        <f>_xlfn.IFNA(VLOOKUP($AI75,Programma!$F$3:$I$1101,4,0),"")</f>
        <v/>
      </c>
      <c r="AM75" s="114" t="str">
        <f>_xlfn.IFNA(VLOOKUP($AI75,Programma!$F$3:$J$1101,5,0),"")</f>
        <v/>
      </c>
      <c r="AN75" s="114" t="str">
        <f>_xlfn.IFNA(VLOOKUP($AI75,Programma!$F$3:$K$1101,6,0),"")</f>
        <v/>
      </c>
      <c r="AO75" s="114" t="str">
        <f>_xlfn.IFNA(VLOOKUP($AI75,Programma!$F$3:$L$1101,7,0),"")</f>
        <v/>
      </c>
      <c r="AP75" s="114" t="str">
        <f>_xlfn.IFNA(VLOOKUP($AI75,Programma!$F$3:$M$1101,8,0),"")</f>
        <v/>
      </c>
      <c r="AQ75" s="114" t="str">
        <f>_xlfn.IFNA(VLOOKUP($AI75,Programma!$F$3:$N$1101,9,0),"")</f>
        <v/>
      </c>
      <c r="AR75" s="114" t="str">
        <f>_xlfn.IFNA(VLOOKUP($AI75,Programma!$F$3:$O$1101,10,0),"")</f>
        <v/>
      </c>
      <c r="AS75" s="114" t="str">
        <f>_xlfn.IFNA(VLOOKUP($AI75,Programma!$F$3:$P$1101,11,0),"")</f>
        <v/>
      </c>
      <c r="AT75" s="114" t="str">
        <f>_xlfn.IFNA(VLOOKUP($AI75,Programma!$F$3:$Q$1101,12,0),"")</f>
        <v/>
      </c>
      <c r="AU75" s="114" t="str">
        <f>_xlfn.IFNA(VLOOKUP($AI75,Programma!$F$3:$R$1101,13,0),"")</f>
        <v/>
      </c>
      <c r="AV75" s="114" t="str">
        <f>_xlfn.IFNA(VLOOKUP($AI75,Programma!$F$3:$S$1101,14,0),"")</f>
        <v/>
      </c>
      <c r="AW75" s="114" t="str">
        <f>_xlfn.IFNA(VLOOKUP($AI75,Programma!$F$3:$T$1101,15,0),"")</f>
        <v/>
      </c>
      <c r="AX75" s="114" t="str">
        <f>_xlfn.IFNA(VLOOKUP($AI75,Programma!$F$3:$U$1101,16,0),"")</f>
        <v/>
      </c>
      <c r="AY75" s="114" t="str">
        <f>_xlfn.IFNA(VLOOKUP($AI75,Programma!$F$3:$V$1101,17,0),"")</f>
        <v/>
      </c>
      <c r="AZ75" s="114" t="str">
        <f>_xlfn.IFNA(VLOOKUP($AI75,Programma!$F$3:$W$1101,18,0),"")</f>
        <v/>
      </c>
      <c r="BA75" s="114" t="str">
        <f>_xlfn.IFNA(VLOOKUP($AI75,Programma!$F$3:$X$1101,19,0),"")</f>
        <v/>
      </c>
      <c r="BB75" s="114" t="str">
        <f>_xlfn.IFNA(VLOOKUP($AI75,Programma!$F$3:$Y$1101,20,0),"")</f>
        <v/>
      </c>
      <c r="BC75" s="111"/>
      <c r="BD75" s="110" t="str">
        <f>IF(Ruimtestaat[[#This Row],[Frequentie weekend]]="","",_xlfn.CONCAT(Ruimtestaat[[#This Row],[Ruimte code]],"-",Ruimtestaat[[#This Row],[Frequentie weekend]]," ",Ruimtestaat[[#This Row],[Vloer code]]))</f>
        <v/>
      </c>
      <c r="BE75" s="114" t="str">
        <f>_xlfn.IFNA(VLOOKUP($BD75,Programma!$F$3:$G$1101,2,0),"")</f>
        <v/>
      </c>
      <c r="BF75" s="114" t="str">
        <f>_xlfn.IFNA(VLOOKUP($BD75,Programma!$F$3:$H$1101,3,0),"")</f>
        <v/>
      </c>
      <c r="BG75" s="114" t="str">
        <f>_xlfn.IFNA(VLOOKUP($BD75,Programma!$F$3:$I$1101,4,0),"")</f>
        <v/>
      </c>
      <c r="BH75" s="114" t="str">
        <f>_xlfn.IFNA(VLOOKUP($BD75,Programma!$F$3:$J$1101,5,0),"")</f>
        <v/>
      </c>
      <c r="BI75" s="114" t="str">
        <f>_xlfn.IFNA(VLOOKUP($BD75,Programma!$F$3:$K$1101,6,0),"")</f>
        <v/>
      </c>
      <c r="BJ75" s="114" t="str">
        <f>_xlfn.IFNA(VLOOKUP($BD75,Programma!$F$3:$L$1101,7,0),"")</f>
        <v/>
      </c>
      <c r="BK75" s="114" t="str">
        <f>_xlfn.IFNA(VLOOKUP($BD75,Programma!$F$3:$M$1101,8,0),"")</f>
        <v/>
      </c>
      <c r="BL75" s="114" t="str">
        <f>_xlfn.IFNA(VLOOKUP($BD75,Programma!$F$3:$N$1101,9,0),"")</f>
        <v/>
      </c>
      <c r="BM75" s="114" t="str">
        <f>_xlfn.IFNA(VLOOKUP($BD75,Programma!$F$3:$O$1101,10,0),"")</f>
        <v/>
      </c>
      <c r="BN75" s="114" t="str">
        <f>_xlfn.IFNA(VLOOKUP($BD75,Programma!$F$3:$P$1101,11,0),"")</f>
        <v/>
      </c>
      <c r="BO75" s="114" t="str">
        <f>_xlfn.IFNA(VLOOKUP($BD75,Programma!$F$3:$Q$1101,12,0),"")</f>
        <v/>
      </c>
      <c r="BP75" s="114" t="str">
        <f>_xlfn.IFNA(VLOOKUP($BD75,Programma!$F$3:$R$1101,13,0),"")</f>
        <v/>
      </c>
      <c r="BQ75" s="114" t="str">
        <f>_xlfn.IFNA(VLOOKUP($BD75,Programma!$F$3:$S$1101,14,0),"")</f>
        <v/>
      </c>
      <c r="BR75" s="114" t="str">
        <f>_xlfn.IFNA(VLOOKUP($BD75,Programma!$F$3:$T$1101,15,0),"")</f>
        <v/>
      </c>
      <c r="BS75" s="114" t="str">
        <f>_xlfn.IFNA(VLOOKUP($BD75,Programma!$F$3:$U$1101,16,0),"")</f>
        <v/>
      </c>
      <c r="BT75" s="114" t="str">
        <f>_xlfn.IFNA(VLOOKUP($BD75,Programma!$F$3:$V$1101,17,0),"")</f>
        <v/>
      </c>
      <c r="BU75" s="114" t="str">
        <f>_xlfn.IFNA(VLOOKUP($BD75,Programma!$F$3:$W$1101,18,0),"")</f>
        <v/>
      </c>
      <c r="BV75" s="114" t="str">
        <f>_xlfn.IFNA(VLOOKUP($BD75,Programma!$F$3:$X$1101,19,0),"")</f>
        <v/>
      </c>
      <c r="BW75" s="114" t="str">
        <f>_xlfn.IFNA(VLOOKUP($BD75,Programma!$F$3:$Y$1101,20,0),"")</f>
        <v/>
      </c>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c r="HL75" s="28"/>
    </row>
    <row r="76" spans="1:220" ht="15" customHeight="1">
      <c r="A76" s="31">
        <v>2</v>
      </c>
      <c r="B76" s="105" t="str">
        <f>VLOOKUP(Ruimtestaat[[#This Row],[Code]],Locaties[[Code]:[Locatie]],2,FALSE)</f>
        <v>IKC De Hoge Hoeve</v>
      </c>
      <c r="C76" s="105" t="str">
        <f>VLOOKUP(Ruimtestaat[[#This Row],[Code]],Locaties[[#All],[Code]:[Adres]],4,FALSE)</f>
        <v>De Hoge Hoeve 70</v>
      </c>
      <c r="D76" s="105" t="str">
        <f>VLOOKUP(Ruimtestaat[[#This Row],[Code]],Locaties[[#All],[Code]:[Postcode]],5,FALSE)</f>
        <v>6932 DJ</v>
      </c>
      <c r="E76" s="105" t="str">
        <f>VLOOKUP(Ruimtestaat[[#This Row],[Code]],Locaties[#All],6,FALSE)</f>
        <v>Westervoort</v>
      </c>
      <c r="F76" s="73"/>
      <c r="G76" s="73" t="s">
        <v>1645</v>
      </c>
      <c r="H76" s="271" t="s">
        <v>1683</v>
      </c>
      <c r="I76" s="273" t="s">
        <v>1729</v>
      </c>
      <c r="J76" s="31">
        <v>6</v>
      </c>
      <c r="K76" s="113" t="str">
        <f>VLOOKUP(Ruimtestaat[[#This Row],[Ruimte code]],Ruimtegroepen[[#All],[Code]:[Ruimte omschrijving]],2,FALSE)</f>
        <v>Gangen/hallen</v>
      </c>
      <c r="L76" s="73" t="s">
        <v>102</v>
      </c>
      <c r="M76" s="273" t="s">
        <v>120</v>
      </c>
      <c r="N76" s="106"/>
      <c r="O76" s="112"/>
      <c r="P76" s="106">
        <v>85</v>
      </c>
      <c r="Q76" s="107" t="str">
        <f>VLOOKUP(Ruimtestaat[[#This Row],[Ruimte code]],Ruimtegroepen[],4,FALSE)</f>
        <v>Ve</v>
      </c>
      <c r="R76" s="73"/>
      <c r="S76" s="73"/>
      <c r="T76" s="73">
        <f>IF(R76&gt;0,IF(RIGHT(Ruimtestaat[[#This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6" s="73">
        <f>IF(T76&gt;0,VLOOKUP($J76,Ruimtegroepen[],3,FALSE)*VLOOKUP($L76,Vloersoorten[],3,FALSE)*VLOOKUP($S76,Frequenties[],3,FALSE)*VLOOKUP($A76,Locaties[],3,FALSE),0)</f>
        <v>0</v>
      </c>
      <c r="V76" s="73">
        <f>Ruimtestaat[[#This Row],[Uitvoeringen werkdagen]]*Ruimtestaat[[#This Row],[Oppervlak (netto)]]</f>
        <v>0</v>
      </c>
      <c r="W76" s="108">
        <f>IF(U76&gt;0,Ruimtestaat[[#This Row],[Prest. (m2 /jaar) werkdagen]]/Ruimtestaat[[#This Row],[Norm (m2/uur) werkdagen]],0)</f>
        <v>0</v>
      </c>
      <c r="X76" s="109">
        <f>Ruimtestaat[[#This Row],[uren / jaar werkdagen]]*Tariefsopbouw!$E$35</f>
        <v>0</v>
      </c>
      <c r="Y76" s="73"/>
      <c r="Z76" s="73">
        <f>IF(Ruimtestaat[[#This Row],[Frequentie weekend]]&gt;0,VALUE(LEFT(Y76,1))*R76,0)</f>
        <v>0</v>
      </c>
      <c r="AA76" s="72">
        <f>IF($Z76&gt;0,VLOOKUP($J76,Ruimtegroepen[],3,FALSE)*VLOOKUP($L76,Vloersoorten[],3,FALSE)*VLOOKUP($Y76,Frequenties[],3,FALSE)*VLOOKUP(Ruimtestaat[[#This Row],[Code]],Locaties[],3,FALSE),0)</f>
        <v>0</v>
      </c>
      <c r="AB76" s="72">
        <f>Ruimtestaat[[#This Row],[Uitvoeringen weekend]]*Ruimtestaat[[#This Row],[Oppervlak (netto)]]</f>
        <v>0</v>
      </c>
      <c r="AC76" s="72">
        <f>IF(AA76&gt;0,Ruimtestaat[[#This Row],[Prest. (m2 /jaar) weekend]]/Ruimtestaat[[#This Row],[Norm (m2/uur) weekend]],0)</f>
        <v>0</v>
      </c>
      <c r="AD76" s="109">
        <f>Ruimtestaat[[#This Row],[uren / jaar weekend]]*Tariefsopbouw!$D$40</f>
        <v>0</v>
      </c>
      <c r="AE76" s="108">
        <f>Ruimtestaat[[#This Row],[Prest. (m2 /jaar) weekend]]+Ruimtestaat[[#This Row],[Prest. (m2 /jaar) werkdagen]]</f>
        <v>0</v>
      </c>
      <c r="AF76" s="108">
        <f>Ruimtestaat[[#This Row],[uren / jaar weekend]]+Ruimtestaat[[#This Row],[uren / jaar werkdagen]]</f>
        <v>0</v>
      </c>
      <c r="AG76" s="103">
        <f>Ruimtestaat[[#This Row],[kosten / jaar weekend]]+Ruimtestaat[[#This Row],[kosten / jaar werkdagen]]</f>
        <v>0</v>
      </c>
      <c r="AH76" s="103"/>
      <c r="AI76" s="110" t="str">
        <f>IF(Ruimtestaat[[#This Row],[Frequentie werkdagen]]="","",_xlfn.CONCAT(Ruimtestaat[[#This Row],[Ruimte code]],"-",Ruimtestaat[[#This Row],[Frequentie werkdagen]]," ",Ruimtestaat[[#This Row],[Vloer code]]))</f>
        <v/>
      </c>
      <c r="AJ76" s="114" t="str">
        <f>_xlfn.IFNA(VLOOKUP($AI76,Programma!$F$3:$G$1101,2,0),"")</f>
        <v/>
      </c>
      <c r="AK76" s="114" t="str">
        <f>_xlfn.IFNA(VLOOKUP($AI76,Programma!$F$3:$H$1101,3,0),"")</f>
        <v/>
      </c>
      <c r="AL76" s="114" t="str">
        <f>_xlfn.IFNA(VLOOKUP($AI76,Programma!$F$3:$I$1101,4,0),"")</f>
        <v/>
      </c>
      <c r="AM76" s="114" t="str">
        <f>_xlfn.IFNA(VLOOKUP($AI76,Programma!$F$3:$J$1101,5,0),"")</f>
        <v/>
      </c>
      <c r="AN76" s="114" t="str">
        <f>_xlfn.IFNA(VLOOKUP($AI76,Programma!$F$3:$K$1101,6,0),"")</f>
        <v/>
      </c>
      <c r="AO76" s="114" t="str">
        <f>_xlfn.IFNA(VLOOKUP($AI76,Programma!$F$3:$L$1101,7,0),"")</f>
        <v/>
      </c>
      <c r="AP76" s="114" t="str">
        <f>_xlfn.IFNA(VLOOKUP($AI76,Programma!$F$3:$M$1101,8,0),"")</f>
        <v/>
      </c>
      <c r="AQ76" s="114" t="str">
        <f>_xlfn.IFNA(VLOOKUP($AI76,Programma!$F$3:$N$1101,9,0),"")</f>
        <v/>
      </c>
      <c r="AR76" s="114" t="str">
        <f>_xlfn.IFNA(VLOOKUP($AI76,Programma!$F$3:$O$1101,10,0),"")</f>
        <v/>
      </c>
      <c r="AS76" s="114" t="str">
        <f>_xlfn.IFNA(VLOOKUP($AI76,Programma!$F$3:$P$1101,11,0),"")</f>
        <v/>
      </c>
      <c r="AT76" s="114" t="str">
        <f>_xlfn.IFNA(VLOOKUP($AI76,Programma!$F$3:$Q$1101,12,0),"")</f>
        <v/>
      </c>
      <c r="AU76" s="114" t="str">
        <f>_xlfn.IFNA(VLOOKUP($AI76,Programma!$F$3:$R$1101,13,0),"")</f>
        <v/>
      </c>
      <c r="AV76" s="114" t="str">
        <f>_xlfn.IFNA(VLOOKUP($AI76,Programma!$F$3:$S$1101,14,0),"")</f>
        <v/>
      </c>
      <c r="AW76" s="114" t="str">
        <f>_xlfn.IFNA(VLOOKUP($AI76,Programma!$F$3:$T$1101,15,0),"")</f>
        <v/>
      </c>
      <c r="AX76" s="114" t="str">
        <f>_xlfn.IFNA(VLOOKUP($AI76,Programma!$F$3:$U$1101,16,0),"")</f>
        <v/>
      </c>
      <c r="AY76" s="114" t="str">
        <f>_xlfn.IFNA(VLOOKUP($AI76,Programma!$F$3:$V$1101,17,0),"")</f>
        <v/>
      </c>
      <c r="AZ76" s="114" t="str">
        <f>_xlfn.IFNA(VLOOKUP($AI76,Programma!$F$3:$W$1101,18,0),"")</f>
        <v/>
      </c>
      <c r="BA76" s="114" t="str">
        <f>_xlfn.IFNA(VLOOKUP($AI76,Programma!$F$3:$X$1101,19,0),"")</f>
        <v/>
      </c>
      <c r="BB76" s="114" t="str">
        <f>_xlfn.IFNA(VLOOKUP($AI76,Programma!$F$3:$Y$1101,20,0),"")</f>
        <v/>
      </c>
      <c r="BC76" s="111"/>
      <c r="BD76" s="110" t="str">
        <f>IF(Ruimtestaat[[#This Row],[Frequentie weekend]]="","",_xlfn.CONCAT(Ruimtestaat[[#This Row],[Ruimte code]],"-",Ruimtestaat[[#This Row],[Frequentie weekend]]," ",Ruimtestaat[[#This Row],[Vloer code]]))</f>
        <v/>
      </c>
      <c r="BE76" s="114" t="str">
        <f>_xlfn.IFNA(VLOOKUP($BD76,Programma!$F$3:$G$1101,2,0),"")</f>
        <v/>
      </c>
      <c r="BF76" s="114" t="str">
        <f>_xlfn.IFNA(VLOOKUP($BD76,Programma!$F$3:$H$1101,3,0),"")</f>
        <v/>
      </c>
      <c r="BG76" s="114" t="str">
        <f>_xlfn.IFNA(VLOOKUP($BD76,Programma!$F$3:$I$1101,4,0),"")</f>
        <v/>
      </c>
      <c r="BH76" s="114" t="str">
        <f>_xlfn.IFNA(VLOOKUP($BD76,Programma!$F$3:$J$1101,5,0),"")</f>
        <v/>
      </c>
      <c r="BI76" s="114" t="str">
        <f>_xlfn.IFNA(VLOOKUP($BD76,Programma!$F$3:$K$1101,6,0),"")</f>
        <v/>
      </c>
      <c r="BJ76" s="114" t="str">
        <f>_xlfn.IFNA(VLOOKUP($BD76,Programma!$F$3:$L$1101,7,0),"")</f>
        <v/>
      </c>
      <c r="BK76" s="114" t="str">
        <f>_xlfn.IFNA(VLOOKUP($BD76,Programma!$F$3:$M$1101,8,0),"")</f>
        <v/>
      </c>
      <c r="BL76" s="114" t="str">
        <f>_xlfn.IFNA(VLOOKUP($BD76,Programma!$F$3:$N$1101,9,0),"")</f>
        <v/>
      </c>
      <c r="BM76" s="114" t="str">
        <f>_xlfn.IFNA(VLOOKUP($BD76,Programma!$F$3:$O$1101,10,0),"")</f>
        <v/>
      </c>
      <c r="BN76" s="114" t="str">
        <f>_xlfn.IFNA(VLOOKUP($BD76,Programma!$F$3:$P$1101,11,0),"")</f>
        <v/>
      </c>
      <c r="BO76" s="114" t="str">
        <f>_xlfn.IFNA(VLOOKUP($BD76,Programma!$F$3:$Q$1101,12,0),"")</f>
        <v/>
      </c>
      <c r="BP76" s="114" t="str">
        <f>_xlfn.IFNA(VLOOKUP($BD76,Programma!$F$3:$R$1101,13,0),"")</f>
        <v/>
      </c>
      <c r="BQ76" s="114" t="str">
        <f>_xlfn.IFNA(VLOOKUP($BD76,Programma!$F$3:$S$1101,14,0),"")</f>
        <v/>
      </c>
      <c r="BR76" s="114" t="str">
        <f>_xlfn.IFNA(VLOOKUP($BD76,Programma!$F$3:$T$1101,15,0),"")</f>
        <v/>
      </c>
      <c r="BS76" s="114" t="str">
        <f>_xlfn.IFNA(VLOOKUP($BD76,Programma!$F$3:$U$1101,16,0),"")</f>
        <v/>
      </c>
      <c r="BT76" s="114" t="str">
        <f>_xlfn.IFNA(VLOOKUP($BD76,Programma!$F$3:$V$1101,17,0),"")</f>
        <v/>
      </c>
      <c r="BU76" s="114" t="str">
        <f>_xlfn.IFNA(VLOOKUP($BD76,Programma!$F$3:$W$1101,18,0),"")</f>
        <v/>
      </c>
      <c r="BV76" s="114" t="str">
        <f>_xlfn.IFNA(VLOOKUP($BD76,Programma!$F$3:$X$1101,19,0),"")</f>
        <v/>
      </c>
      <c r="BW76" s="114" t="str">
        <f>_xlfn.IFNA(VLOOKUP($BD76,Programma!$F$3:$Y$1101,20,0),"")</f>
        <v/>
      </c>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c r="HL76" s="28"/>
    </row>
    <row r="77" spans="1:220" ht="15" customHeight="1">
      <c r="A77" s="31">
        <v>2</v>
      </c>
      <c r="B77" s="105" t="str">
        <f>VLOOKUP(Ruimtestaat[[#This Row],[Code]],Locaties[[Code]:[Locatie]],2,FALSE)</f>
        <v>IKC De Hoge Hoeve</v>
      </c>
      <c r="C77" s="105" t="str">
        <f>VLOOKUP(Ruimtestaat[[#This Row],[Code]],Locaties[[#All],[Code]:[Adres]],4,FALSE)</f>
        <v>De Hoge Hoeve 70</v>
      </c>
      <c r="D77" s="105" t="str">
        <f>VLOOKUP(Ruimtestaat[[#This Row],[Code]],Locaties[[#All],[Code]:[Postcode]],5,FALSE)</f>
        <v>6932 DJ</v>
      </c>
      <c r="E77" s="105" t="str">
        <f>VLOOKUP(Ruimtestaat[[#This Row],[Code]],Locaties[#All],6,FALSE)</f>
        <v>Westervoort</v>
      </c>
      <c r="F77" s="73"/>
      <c r="G77" s="73" t="s">
        <v>1645</v>
      </c>
      <c r="H77" s="271" t="s">
        <v>1684</v>
      </c>
      <c r="I77" s="273" t="s">
        <v>1667</v>
      </c>
      <c r="J77" s="31">
        <v>16</v>
      </c>
      <c r="K77" s="113" t="str">
        <f>VLOOKUP(Ruimtestaat[[#This Row],[Ruimte code]],Ruimtegroepen[[#All],[Code]:[Ruimte omschrijving]],2,FALSE)</f>
        <v>Leslokalen</v>
      </c>
      <c r="L77" s="73" t="s">
        <v>102</v>
      </c>
      <c r="M77" s="273" t="s">
        <v>120</v>
      </c>
      <c r="N77" s="106"/>
      <c r="O77" s="112"/>
      <c r="P77" s="106">
        <v>58</v>
      </c>
      <c r="Q77" s="107" t="str">
        <f>VLOOKUP(Ruimtestaat[[#This Row],[Ruimte code]],Ruimtegroepen[],4,FALSE)</f>
        <v>Le</v>
      </c>
      <c r="R77" s="73"/>
      <c r="S77" s="73"/>
      <c r="T77" s="73">
        <f>IF(R77&gt;0,IF(RIGHT(Ruimtestaat[[#This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7" s="73">
        <f>IF(T77&gt;0,VLOOKUP($J77,Ruimtegroepen[],3,FALSE)*VLOOKUP($L77,Vloersoorten[],3,FALSE)*VLOOKUP($S77,Frequenties[],3,FALSE)*VLOOKUP($A77,Locaties[],3,FALSE),0)</f>
        <v>0</v>
      </c>
      <c r="V77" s="73">
        <f>Ruimtestaat[[#This Row],[Uitvoeringen werkdagen]]*Ruimtestaat[[#This Row],[Oppervlak (netto)]]</f>
        <v>0</v>
      </c>
      <c r="W77" s="108">
        <f>IF(U77&gt;0,Ruimtestaat[[#This Row],[Prest. (m2 /jaar) werkdagen]]/Ruimtestaat[[#This Row],[Norm (m2/uur) werkdagen]],0)</f>
        <v>0</v>
      </c>
      <c r="X77" s="109">
        <f>Ruimtestaat[[#This Row],[uren / jaar werkdagen]]*Tariefsopbouw!$E$35</f>
        <v>0</v>
      </c>
      <c r="Y77" s="73"/>
      <c r="Z77" s="73">
        <f>IF(Ruimtestaat[[#This Row],[Frequentie weekend]]&gt;0,VALUE(LEFT(Y77,1))*R77,0)</f>
        <v>0</v>
      </c>
      <c r="AA77" s="72">
        <f>IF($Z77&gt;0,VLOOKUP($J77,Ruimtegroepen[],3,FALSE)*VLOOKUP($L77,Vloersoorten[],3,FALSE)*VLOOKUP($Y77,Frequenties[],3,FALSE)*VLOOKUP(Ruimtestaat[[#This Row],[Code]],Locaties[],3,FALSE),0)</f>
        <v>0</v>
      </c>
      <c r="AB77" s="72">
        <f>Ruimtestaat[[#This Row],[Uitvoeringen weekend]]*Ruimtestaat[[#This Row],[Oppervlak (netto)]]</f>
        <v>0</v>
      </c>
      <c r="AC77" s="72">
        <f>IF(AA77&gt;0,Ruimtestaat[[#This Row],[Prest. (m2 /jaar) weekend]]/Ruimtestaat[[#This Row],[Norm (m2/uur) weekend]],0)</f>
        <v>0</v>
      </c>
      <c r="AD77" s="109">
        <f>Ruimtestaat[[#This Row],[uren / jaar weekend]]*Tariefsopbouw!$D$40</f>
        <v>0</v>
      </c>
      <c r="AE77" s="108">
        <f>Ruimtestaat[[#This Row],[Prest. (m2 /jaar) weekend]]+Ruimtestaat[[#This Row],[Prest. (m2 /jaar) werkdagen]]</f>
        <v>0</v>
      </c>
      <c r="AF77" s="108">
        <f>Ruimtestaat[[#This Row],[uren / jaar weekend]]+Ruimtestaat[[#This Row],[uren / jaar werkdagen]]</f>
        <v>0</v>
      </c>
      <c r="AG77" s="103">
        <f>Ruimtestaat[[#This Row],[kosten / jaar weekend]]+Ruimtestaat[[#This Row],[kosten / jaar werkdagen]]</f>
        <v>0</v>
      </c>
      <c r="AH77" s="103"/>
      <c r="AI77" s="110" t="str">
        <f>IF(Ruimtestaat[[#This Row],[Frequentie werkdagen]]="","",_xlfn.CONCAT(Ruimtestaat[[#This Row],[Ruimte code]],"-",Ruimtestaat[[#This Row],[Frequentie werkdagen]]," ",Ruimtestaat[[#This Row],[Vloer code]]))</f>
        <v/>
      </c>
      <c r="AJ77" s="114" t="str">
        <f>_xlfn.IFNA(VLOOKUP($AI77,Programma!$F$3:$G$1101,2,0),"")</f>
        <v/>
      </c>
      <c r="AK77" s="114" t="str">
        <f>_xlfn.IFNA(VLOOKUP($AI77,Programma!$F$3:$H$1101,3,0),"")</f>
        <v/>
      </c>
      <c r="AL77" s="114" t="str">
        <f>_xlfn.IFNA(VLOOKUP($AI77,Programma!$F$3:$I$1101,4,0),"")</f>
        <v/>
      </c>
      <c r="AM77" s="114" t="str">
        <f>_xlfn.IFNA(VLOOKUP($AI77,Programma!$F$3:$J$1101,5,0),"")</f>
        <v/>
      </c>
      <c r="AN77" s="114" t="str">
        <f>_xlfn.IFNA(VLOOKUP($AI77,Programma!$F$3:$K$1101,6,0),"")</f>
        <v/>
      </c>
      <c r="AO77" s="114" t="str">
        <f>_xlfn.IFNA(VLOOKUP($AI77,Programma!$F$3:$L$1101,7,0),"")</f>
        <v/>
      </c>
      <c r="AP77" s="114" t="str">
        <f>_xlfn.IFNA(VLOOKUP($AI77,Programma!$F$3:$M$1101,8,0),"")</f>
        <v/>
      </c>
      <c r="AQ77" s="114" t="str">
        <f>_xlfn.IFNA(VLOOKUP($AI77,Programma!$F$3:$N$1101,9,0),"")</f>
        <v/>
      </c>
      <c r="AR77" s="114" t="str">
        <f>_xlfn.IFNA(VLOOKUP($AI77,Programma!$F$3:$O$1101,10,0),"")</f>
        <v/>
      </c>
      <c r="AS77" s="114" t="str">
        <f>_xlfn.IFNA(VLOOKUP($AI77,Programma!$F$3:$P$1101,11,0),"")</f>
        <v/>
      </c>
      <c r="AT77" s="114" t="str">
        <f>_xlfn.IFNA(VLOOKUP($AI77,Programma!$F$3:$Q$1101,12,0),"")</f>
        <v/>
      </c>
      <c r="AU77" s="114" t="str">
        <f>_xlfn.IFNA(VLOOKUP($AI77,Programma!$F$3:$R$1101,13,0),"")</f>
        <v/>
      </c>
      <c r="AV77" s="114" t="str">
        <f>_xlfn.IFNA(VLOOKUP($AI77,Programma!$F$3:$S$1101,14,0),"")</f>
        <v/>
      </c>
      <c r="AW77" s="114" t="str">
        <f>_xlfn.IFNA(VLOOKUP($AI77,Programma!$F$3:$T$1101,15,0),"")</f>
        <v/>
      </c>
      <c r="AX77" s="114" t="str">
        <f>_xlfn.IFNA(VLOOKUP($AI77,Programma!$F$3:$U$1101,16,0),"")</f>
        <v/>
      </c>
      <c r="AY77" s="114" t="str">
        <f>_xlfn.IFNA(VLOOKUP($AI77,Programma!$F$3:$V$1101,17,0),"")</f>
        <v/>
      </c>
      <c r="AZ77" s="114" t="str">
        <f>_xlfn.IFNA(VLOOKUP($AI77,Programma!$F$3:$W$1101,18,0),"")</f>
        <v/>
      </c>
      <c r="BA77" s="114" t="str">
        <f>_xlfn.IFNA(VLOOKUP($AI77,Programma!$F$3:$X$1101,19,0),"")</f>
        <v/>
      </c>
      <c r="BB77" s="114" t="str">
        <f>_xlfn.IFNA(VLOOKUP($AI77,Programma!$F$3:$Y$1101,20,0),"")</f>
        <v/>
      </c>
      <c r="BC77" s="111"/>
      <c r="BD77" s="110" t="str">
        <f>IF(Ruimtestaat[[#This Row],[Frequentie weekend]]="","",_xlfn.CONCAT(Ruimtestaat[[#This Row],[Ruimte code]],"-",Ruimtestaat[[#This Row],[Frequentie weekend]]," ",Ruimtestaat[[#This Row],[Vloer code]]))</f>
        <v/>
      </c>
      <c r="BE77" s="114" t="str">
        <f>_xlfn.IFNA(VLOOKUP($BD77,Programma!$F$3:$G$1101,2,0),"")</f>
        <v/>
      </c>
      <c r="BF77" s="114" t="str">
        <f>_xlfn.IFNA(VLOOKUP($BD77,Programma!$F$3:$H$1101,3,0),"")</f>
        <v/>
      </c>
      <c r="BG77" s="114" t="str">
        <f>_xlfn.IFNA(VLOOKUP($BD77,Programma!$F$3:$I$1101,4,0),"")</f>
        <v/>
      </c>
      <c r="BH77" s="114" t="str">
        <f>_xlfn.IFNA(VLOOKUP($BD77,Programma!$F$3:$J$1101,5,0),"")</f>
        <v/>
      </c>
      <c r="BI77" s="114" t="str">
        <f>_xlfn.IFNA(VLOOKUP($BD77,Programma!$F$3:$K$1101,6,0),"")</f>
        <v/>
      </c>
      <c r="BJ77" s="114" t="str">
        <f>_xlfn.IFNA(VLOOKUP($BD77,Programma!$F$3:$L$1101,7,0),"")</f>
        <v/>
      </c>
      <c r="BK77" s="114" t="str">
        <f>_xlfn.IFNA(VLOOKUP($BD77,Programma!$F$3:$M$1101,8,0),"")</f>
        <v/>
      </c>
      <c r="BL77" s="114" t="str">
        <f>_xlfn.IFNA(VLOOKUP($BD77,Programma!$F$3:$N$1101,9,0),"")</f>
        <v/>
      </c>
      <c r="BM77" s="114" t="str">
        <f>_xlfn.IFNA(VLOOKUP($BD77,Programma!$F$3:$O$1101,10,0),"")</f>
        <v/>
      </c>
      <c r="BN77" s="114" t="str">
        <f>_xlfn.IFNA(VLOOKUP($BD77,Programma!$F$3:$P$1101,11,0),"")</f>
        <v/>
      </c>
      <c r="BO77" s="114" t="str">
        <f>_xlfn.IFNA(VLOOKUP($BD77,Programma!$F$3:$Q$1101,12,0),"")</f>
        <v/>
      </c>
      <c r="BP77" s="114" t="str">
        <f>_xlfn.IFNA(VLOOKUP($BD77,Programma!$F$3:$R$1101,13,0),"")</f>
        <v/>
      </c>
      <c r="BQ77" s="114" t="str">
        <f>_xlfn.IFNA(VLOOKUP($BD77,Programma!$F$3:$S$1101,14,0),"")</f>
        <v/>
      </c>
      <c r="BR77" s="114" t="str">
        <f>_xlfn.IFNA(VLOOKUP($BD77,Programma!$F$3:$T$1101,15,0),"")</f>
        <v/>
      </c>
      <c r="BS77" s="114" t="str">
        <f>_xlfn.IFNA(VLOOKUP($BD77,Programma!$F$3:$U$1101,16,0),"")</f>
        <v/>
      </c>
      <c r="BT77" s="114" t="str">
        <f>_xlfn.IFNA(VLOOKUP($BD77,Programma!$F$3:$V$1101,17,0),"")</f>
        <v/>
      </c>
      <c r="BU77" s="114" t="str">
        <f>_xlfn.IFNA(VLOOKUP($BD77,Programma!$F$3:$W$1101,18,0),"")</f>
        <v/>
      </c>
      <c r="BV77" s="114" t="str">
        <f>_xlfn.IFNA(VLOOKUP($BD77,Programma!$F$3:$X$1101,19,0),"")</f>
        <v/>
      </c>
      <c r="BW77" s="114" t="str">
        <f>_xlfn.IFNA(VLOOKUP($BD77,Programma!$F$3:$Y$1101,20,0),"")</f>
        <v/>
      </c>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c r="GC77" s="28"/>
      <c r="GD77" s="28"/>
      <c r="GE77" s="28"/>
      <c r="GF77" s="28"/>
      <c r="GG77" s="28"/>
      <c r="GH77" s="28"/>
      <c r="GI77" s="28"/>
      <c r="GJ77" s="28"/>
      <c r="GK77" s="28"/>
      <c r="GL77" s="28"/>
      <c r="GM77" s="28"/>
      <c r="GN77" s="28"/>
      <c r="GO77" s="28"/>
      <c r="GP77" s="28"/>
      <c r="GQ77" s="28"/>
      <c r="GR77" s="28"/>
      <c r="GS77" s="28"/>
      <c r="GT77" s="28"/>
      <c r="GU77" s="28"/>
      <c r="GV77" s="28"/>
      <c r="GW77" s="28"/>
      <c r="GX77" s="28"/>
      <c r="GY77" s="28"/>
      <c r="GZ77" s="28"/>
      <c r="HA77" s="28"/>
      <c r="HB77" s="28"/>
      <c r="HC77" s="28"/>
      <c r="HD77" s="28"/>
      <c r="HE77" s="28"/>
      <c r="HF77" s="28"/>
      <c r="HG77" s="28"/>
      <c r="HH77" s="28"/>
      <c r="HI77" s="28"/>
      <c r="HJ77" s="28"/>
      <c r="HK77" s="28"/>
      <c r="HL77" s="28"/>
    </row>
    <row r="78" spans="1:220" ht="15" customHeight="1">
      <c r="A78" s="31">
        <v>2</v>
      </c>
      <c r="B78" s="105" t="str">
        <f>VLOOKUP(Ruimtestaat[[#This Row],[Code]],Locaties[[Code]:[Locatie]],2,FALSE)</f>
        <v>IKC De Hoge Hoeve</v>
      </c>
      <c r="C78" s="105" t="str">
        <f>VLOOKUP(Ruimtestaat[[#This Row],[Code]],Locaties[[#All],[Code]:[Adres]],4,FALSE)</f>
        <v>De Hoge Hoeve 70</v>
      </c>
      <c r="D78" s="105" t="str">
        <f>VLOOKUP(Ruimtestaat[[#This Row],[Code]],Locaties[[#All],[Code]:[Postcode]],5,FALSE)</f>
        <v>6932 DJ</v>
      </c>
      <c r="E78" s="105" t="str">
        <f>VLOOKUP(Ruimtestaat[[#This Row],[Code]],Locaties[#All],6,FALSE)</f>
        <v>Westervoort</v>
      </c>
      <c r="F78" s="73"/>
      <c r="G78" s="73" t="s">
        <v>1645</v>
      </c>
      <c r="H78" s="271" t="s">
        <v>1685</v>
      </c>
      <c r="I78" s="273" t="s">
        <v>1673</v>
      </c>
      <c r="J78" s="31">
        <v>16</v>
      </c>
      <c r="K78" s="113" t="str">
        <f>VLOOKUP(Ruimtestaat[[#This Row],[Ruimte code]],Ruimtegroepen[[#All],[Code]:[Ruimte omschrijving]],2,FALSE)</f>
        <v>Leslokalen</v>
      </c>
      <c r="L78" s="73" t="s">
        <v>102</v>
      </c>
      <c r="M78" s="273" t="s">
        <v>120</v>
      </c>
      <c r="N78" s="106"/>
      <c r="O78" s="73"/>
      <c r="P78" s="106">
        <v>46</v>
      </c>
      <c r="Q78" s="107" t="str">
        <f>VLOOKUP(Ruimtestaat[[#This Row],[Ruimte code]],Ruimtegroepen[],4,FALSE)</f>
        <v>Le</v>
      </c>
      <c r="R78" s="73"/>
      <c r="S78" s="73"/>
      <c r="T78" s="73">
        <f>IF(R78&gt;0,IF(RIGHT(Ruimtestaat[[#This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8" s="73">
        <f>IF(T78&gt;0,VLOOKUP($J78,Ruimtegroepen[],3,FALSE)*VLOOKUP($L78,Vloersoorten[],3,FALSE)*VLOOKUP($S78,Frequenties[],3,FALSE)*VLOOKUP($A78,Locaties[],3,FALSE),0)</f>
        <v>0</v>
      </c>
      <c r="V78" s="73">
        <f>Ruimtestaat[[#This Row],[Uitvoeringen werkdagen]]*Ruimtestaat[[#This Row],[Oppervlak (netto)]]</f>
        <v>0</v>
      </c>
      <c r="W78" s="108">
        <f>IF(U78&gt;0,Ruimtestaat[[#This Row],[Prest. (m2 /jaar) werkdagen]]/Ruimtestaat[[#This Row],[Norm (m2/uur) werkdagen]],0)</f>
        <v>0</v>
      </c>
      <c r="X78" s="109">
        <f>Ruimtestaat[[#This Row],[uren / jaar werkdagen]]*Tariefsopbouw!$E$35</f>
        <v>0</v>
      </c>
      <c r="Y78" s="73"/>
      <c r="Z78" s="73">
        <f>IF(Ruimtestaat[[#This Row],[Frequentie weekend]]&gt;0,VALUE(LEFT(Y78,1))*R78,0)</f>
        <v>0</v>
      </c>
      <c r="AA78" s="72">
        <f>IF($Z78&gt;0,VLOOKUP($J78,Ruimtegroepen[],3,FALSE)*VLOOKUP($L78,Vloersoorten[],3,FALSE)*VLOOKUP($Y78,Frequenties[],3,FALSE)*VLOOKUP(Ruimtestaat[[#This Row],[Code]],Locaties[],3,FALSE),0)</f>
        <v>0</v>
      </c>
      <c r="AB78" s="72">
        <f>Ruimtestaat[[#This Row],[Uitvoeringen weekend]]*Ruimtestaat[[#This Row],[Oppervlak (netto)]]</f>
        <v>0</v>
      </c>
      <c r="AC78" s="72">
        <f>IF(AA78&gt;0,Ruimtestaat[[#This Row],[Prest. (m2 /jaar) weekend]]/Ruimtestaat[[#This Row],[Norm (m2/uur) weekend]],0)</f>
        <v>0</v>
      </c>
      <c r="AD78" s="109">
        <f>Ruimtestaat[[#This Row],[uren / jaar weekend]]*Tariefsopbouw!$D$40</f>
        <v>0</v>
      </c>
      <c r="AE78" s="108">
        <f>Ruimtestaat[[#This Row],[Prest. (m2 /jaar) weekend]]+Ruimtestaat[[#This Row],[Prest. (m2 /jaar) werkdagen]]</f>
        <v>0</v>
      </c>
      <c r="AF78" s="108">
        <f>Ruimtestaat[[#This Row],[uren / jaar weekend]]+Ruimtestaat[[#This Row],[uren / jaar werkdagen]]</f>
        <v>0</v>
      </c>
      <c r="AG78" s="103">
        <f>Ruimtestaat[[#This Row],[kosten / jaar weekend]]+Ruimtestaat[[#This Row],[kosten / jaar werkdagen]]</f>
        <v>0</v>
      </c>
      <c r="AH78" s="103"/>
      <c r="AI78" s="110" t="str">
        <f>IF(Ruimtestaat[[#This Row],[Frequentie werkdagen]]="","",_xlfn.CONCAT(Ruimtestaat[[#This Row],[Ruimte code]],"-",Ruimtestaat[[#This Row],[Frequentie werkdagen]]," ",Ruimtestaat[[#This Row],[Vloer code]]))</f>
        <v/>
      </c>
      <c r="AJ78" s="114" t="str">
        <f>_xlfn.IFNA(VLOOKUP($AI78,Programma!$F$3:$G$1101,2,0),"")</f>
        <v/>
      </c>
      <c r="AK78" s="114" t="str">
        <f>_xlfn.IFNA(VLOOKUP($AI78,Programma!$F$3:$H$1101,3,0),"")</f>
        <v/>
      </c>
      <c r="AL78" s="114" t="str">
        <f>_xlfn.IFNA(VLOOKUP($AI78,Programma!$F$3:$I$1101,4,0),"")</f>
        <v/>
      </c>
      <c r="AM78" s="114" t="str">
        <f>_xlfn.IFNA(VLOOKUP($AI78,Programma!$F$3:$J$1101,5,0),"")</f>
        <v/>
      </c>
      <c r="AN78" s="114" t="str">
        <f>_xlfn.IFNA(VLOOKUP($AI78,Programma!$F$3:$K$1101,6,0),"")</f>
        <v/>
      </c>
      <c r="AO78" s="114" t="str">
        <f>_xlfn.IFNA(VLOOKUP($AI78,Programma!$F$3:$L$1101,7,0),"")</f>
        <v/>
      </c>
      <c r="AP78" s="114" t="str">
        <f>_xlfn.IFNA(VLOOKUP($AI78,Programma!$F$3:$M$1101,8,0),"")</f>
        <v/>
      </c>
      <c r="AQ78" s="114" t="str">
        <f>_xlfn.IFNA(VLOOKUP($AI78,Programma!$F$3:$N$1101,9,0),"")</f>
        <v/>
      </c>
      <c r="AR78" s="114" t="str">
        <f>_xlfn.IFNA(VLOOKUP($AI78,Programma!$F$3:$O$1101,10,0),"")</f>
        <v/>
      </c>
      <c r="AS78" s="114" t="str">
        <f>_xlfn.IFNA(VLOOKUP($AI78,Programma!$F$3:$P$1101,11,0),"")</f>
        <v/>
      </c>
      <c r="AT78" s="114" t="str">
        <f>_xlfn.IFNA(VLOOKUP($AI78,Programma!$F$3:$Q$1101,12,0),"")</f>
        <v/>
      </c>
      <c r="AU78" s="114" t="str">
        <f>_xlfn.IFNA(VLOOKUP($AI78,Programma!$F$3:$R$1101,13,0),"")</f>
        <v/>
      </c>
      <c r="AV78" s="114" t="str">
        <f>_xlfn.IFNA(VLOOKUP($AI78,Programma!$F$3:$S$1101,14,0),"")</f>
        <v/>
      </c>
      <c r="AW78" s="114" t="str">
        <f>_xlfn.IFNA(VLOOKUP($AI78,Programma!$F$3:$T$1101,15,0),"")</f>
        <v/>
      </c>
      <c r="AX78" s="114" t="str">
        <f>_xlfn.IFNA(VLOOKUP($AI78,Programma!$F$3:$U$1101,16,0),"")</f>
        <v/>
      </c>
      <c r="AY78" s="114" t="str">
        <f>_xlfn.IFNA(VLOOKUP($AI78,Programma!$F$3:$V$1101,17,0),"")</f>
        <v/>
      </c>
      <c r="AZ78" s="114" t="str">
        <f>_xlfn.IFNA(VLOOKUP($AI78,Programma!$F$3:$W$1101,18,0),"")</f>
        <v/>
      </c>
      <c r="BA78" s="114" t="str">
        <f>_xlfn.IFNA(VLOOKUP($AI78,Programma!$F$3:$X$1101,19,0),"")</f>
        <v/>
      </c>
      <c r="BB78" s="114" t="str">
        <f>_xlfn.IFNA(VLOOKUP($AI78,Programma!$F$3:$Y$1101,20,0),"")</f>
        <v/>
      </c>
      <c r="BC78" s="111"/>
      <c r="BD78" s="110" t="str">
        <f>IF(Ruimtestaat[[#This Row],[Frequentie weekend]]="","",_xlfn.CONCAT(Ruimtestaat[[#This Row],[Ruimte code]],"-",Ruimtestaat[[#This Row],[Frequentie weekend]]," ",Ruimtestaat[[#This Row],[Vloer code]]))</f>
        <v/>
      </c>
      <c r="BE78" s="114" t="str">
        <f>_xlfn.IFNA(VLOOKUP($BD78,Programma!$F$3:$G$1101,2,0),"")</f>
        <v/>
      </c>
      <c r="BF78" s="114" t="str">
        <f>_xlfn.IFNA(VLOOKUP($BD78,Programma!$F$3:$H$1101,3,0),"")</f>
        <v/>
      </c>
      <c r="BG78" s="114" t="str">
        <f>_xlfn.IFNA(VLOOKUP($BD78,Programma!$F$3:$I$1101,4,0),"")</f>
        <v/>
      </c>
      <c r="BH78" s="114" t="str">
        <f>_xlfn.IFNA(VLOOKUP($BD78,Programma!$F$3:$J$1101,5,0),"")</f>
        <v/>
      </c>
      <c r="BI78" s="114" t="str">
        <f>_xlfn.IFNA(VLOOKUP($BD78,Programma!$F$3:$K$1101,6,0),"")</f>
        <v/>
      </c>
      <c r="BJ78" s="114" t="str">
        <f>_xlfn.IFNA(VLOOKUP($BD78,Programma!$F$3:$L$1101,7,0),"")</f>
        <v/>
      </c>
      <c r="BK78" s="114" t="str">
        <f>_xlfn.IFNA(VLOOKUP($BD78,Programma!$F$3:$M$1101,8,0),"")</f>
        <v/>
      </c>
      <c r="BL78" s="114" t="str">
        <f>_xlfn.IFNA(VLOOKUP($BD78,Programma!$F$3:$N$1101,9,0),"")</f>
        <v/>
      </c>
      <c r="BM78" s="114" t="str">
        <f>_xlfn.IFNA(VLOOKUP($BD78,Programma!$F$3:$O$1101,10,0),"")</f>
        <v/>
      </c>
      <c r="BN78" s="114" t="str">
        <f>_xlfn.IFNA(VLOOKUP($BD78,Programma!$F$3:$P$1101,11,0),"")</f>
        <v/>
      </c>
      <c r="BO78" s="114" t="str">
        <f>_xlfn.IFNA(VLOOKUP($BD78,Programma!$F$3:$Q$1101,12,0),"")</f>
        <v/>
      </c>
      <c r="BP78" s="114" t="str">
        <f>_xlfn.IFNA(VLOOKUP($BD78,Programma!$F$3:$R$1101,13,0),"")</f>
        <v/>
      </c>
      <c r="BQ78" s="114" t="str">
        <f>_xlfn.IFNA(VLOOKUP($BD78,Programma!$F$3:$S$1101,14,0),"")</f>
        <v/>
      </c>
      <c r="BR78" s="114" t="str">
        <f>_xlfn.IFNA(VLOOKUP($BD78,Programma!$F$3:$T$1101,15,0),"")</f>
        <v/>
      </c>
      <c r="BS78" s="114" t="str">
        <f>_xlfn.IFNA(VLOOKUP($BD78,Programma!$F$3:$U$1101,16,0),"")</f>
        <v/>
      </c>
      <c r="BT78" s="114" t="str">
        <f>_xlfn.IFNA(VLOOKUP($BD78,Programma!$F$3:$V$1101,17,0),"")</f>
        <v/>
      </c>
      <c r="BU78" s="114" t="str">
        <f>_xlfn.IFNA(VLOOKUP($BD78,Programma!$F$3:$W$1101,18,0),"")</f>
        <v/>
      </c>
      <c r="BV78" s="114" t="str">
        <f>_xlfn.IFNA(VLOOKUP($BD78,Programma!$F$3:$X$1101,19,0),"")</f>
        <v/>
      </c>
      <c r="BW78" s="114" t="str">
        <f>_xlfn.IFNA(VLOOKUP($BD78,Programma!$F$3:$Y$1101,20,0),"")</f>
        <v/>
      </c>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c r="GC78" s="28"/>
      <c r="GD78" s="28"/>
      <c r="GE78" s="28"/>
      <c r="GF78" s="28"/>
      <c r="GG78" s="28"/>
      <c r="GH78" s="28"/>
      <c r="GI78" s="28"/>
      <c r="GJ78" s="28"/>
      <c r="GK78" s="28"/>
      <c r="GL78" s="28"/>
      <c r="GM78" s="28"/>
      <c r="GN78" s="28"/>
      <c r="GO78" s="28"/>
      <c r="GP78" s="28"/>
      <c r="GQ78" s="28"/>
      <c r="GR78" s="28"/>
      <c r="GS78" s="28"/>
      <c r="GT78" s="28"/>
      <c r="GU78" s="28"/>
      <c r="GV78" s="28"/>
      <c r="GW78" s="28"/>
      <c r="GX78" s="28"/>
      <c r="GY78" s="28"/>
      <c r="GZ78" s="28"/>
      <c r="HA78" s="28"/>
      <c r="HB78" s="28"/>
      <c r="HC78" s="28"/>
      <c r="HD78" s="28"/>
      <c r="HE78" s="28"/>
      <c r="HF78" s="28"/>
      <c r="HG78" s="28"/>
      <c r="HH78" s="28"/>
      <c r="HI78" s="28"/>
      <c r="HJ78" s="28"/>
      <c r="HK78" s="28"/>
      <c r="HL78" s="28"/>
    </row>
    <row r="79" spans="1:220" ht="15" customHeight="1">
      <c r="A79" s="31">
        <v>2</v>
      </c>
      <c r="B79" s="105" t="str">
        <f>VLOOKUP(Ruimtestaat[[#This Row],[Code]],Locaties[[Code]:[Locatie]],2,FALSE)</f>
        <v>IKC De Hoge Hoeve</v>
      </c>
      <c r="C79" s="105" t="str">
        <f>VLOOKUP(Ruimtestaat[[#This Row],[Code]],Locaties[[#All],[Code]:[Adres]],4,FALSE)</f>
        <v>De Hoge Hoeve 70</v>
      </c>
      <c r="D79" s="105" t="str">
        <f>VLOOKUP(Ruimtestaat[[#This Row],[Code]],Locaties[[#All],[Code]:[Postcode]],5,FALSE)</f>
        <v>6932 DJ</v>
      </c>
      <c r="E79" s="105" t="str">
        <f>VLOOKUP(Ruimtestaat[[#This Row],[Code]],Locaties[#All],6,FALSE)</f>
        <v>Westervoort</v>
      </c>
      <c r="F79" s="73"/>
      <c r="G79" s="73" t="s">
        <v>1645</v>
      </c>
      <c r="H79" s="271" t="s">
        <v>1686</v>
      </c>
      <c r="I79" s="273" t="s">
        <v>1730</v>
      </c>
      <c r="J79" s="31">
        <v>6</v>
      </c>
      <c r="K79" s="113" t="str">
        <f>VLOOKUP(Ruimtestaat[[#This Row],[Ruimte code]],Ruimtegroepen[[#All],[Code]:[Ruimte omschrijving]],2,FALSE)</f>
        <v>Gangen/hallen</v>
      </c>
      <c r="L79" s="73" t="s">
        <v>102</v>
      </c>
      <c r="M79" s="273" t="s">
        <v>120</v>
      </c>
      <c r="N79" s="106"/>
      <c r="O79" s="112"/>
      <c r="P79" s="106">
        <v>134</v>
      </c>
      <c r="Q79" s="107" t="str">
        <f>VLOOKUP(Ruimtestaat[[#This Row],[Ruimte code]],Ruimtegroepen[],4,FALSE)</f>
        <v>Ve</v>
      </c>
      <c r="R79" s="73"/>
      <c r="S79" s="73"/>
      <c r="T79" s="73">
        <f>IF(R79&gt;0,IF(RIGHT(Ruimtestaat[[#This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9" s="73">
        <f>IF(T79&gt;0,VLOOKUP($J79,Ruimtegroepen[],3,FALSE)*VLOOKUP($L79,Vloersoorten[],3,FALSE)*VLOOKUP($S79,Frequenties[],3,FALSE)*VLOOKUP($A79,Locaties[],3,FALSE),0)</f>
        <v>0</v>
      </c>
      <c r="V79" s="73">
        <f>Ruimtestaat[[#This Row],[Uitvoeringen werkdagen]]*Ruimtestaat[[#This Row],[Oppervlak (netto)]]</f>
        <v>0</v>
      </c>
      <c r="W79" s="108">
        <f>IF(U79&gt;0,Ruimtestaat[[#This Row],[Prest. (m2 /jaar) werkdagen]]/Ruimtestaat[[#This Row],[Norm (m2/uur) werkdagen]],0)</f>
        <v>0</v>
      </c>
      <c r="X79" s="109">
        <f>Ruimtestaat[[#This Row],[uren / jaar werkdagen]]*Tariefsopbouw!$E$35</f>
        <v>0</v>
      </c>
      <c r="Y79" s="73"/>
      <c r="Z79" s="73">
        <f>IF(Ruimtestaat[[#This Row],[Frequentie weekend]]&gt;0,VALUE(LEFT(Y79,1))*R79,0)</f>
        <v>0</v>
      </c>
      <c r="AA79" s="72">
        <f>IF($Z79&gt;0,VLOOKUP($J79,Ruimtegroepen[],3,FALSE)*VLOOKUP($L79,Vloersoorten[],3,FALSE)*VLOOKUP($Y79,Frequenties[],3,FALSE)*VLOOKUP(Ruimtestaat[[#This Row],[Code]],Locaties[],3,FALSE),0)</f>
        <v>0</v>
      </c>
      <c r="AB79" s="72">
        <f>Ruimtestaat[[#This Row],[Uitvoeringen weekend]]*Ruimtestaat[[#This Row],[Oppervlak (netto)]]</f>
        <v>0</v>
      </c>
      <c r="AC79" s="72">
        <f>IF(AA79&gt;0,Ruimtestaat[[#This Row],[Prest. (m2 /jaar) weekend]]/Ruimtestaat[[#This Row],[Norm (m2/uur) weekend]],0)</f>
        <v>0</v>
      </c>
      <c r="AD79" s="109">
        <f>Ruimtestaat[[#This Row],[uren / jaar weekend]]*Tariefsopbouw!$D$40</f>
        <v>0</v>
      </c>
      <c r="AE79" s="108">
        <f>Ruimtestaat[[#This Row],[Prest. (m2 /jaar) weekend]]+Ruimtestaat[[#This Row],[Prest. (m2 /jaar) werkdagen]]</f>
        <v>0</v>
      </c>
      <c r="AF79" s="108">
        <f>Ruimtestaat[[#This Row],[uren / jaar weekend]]+Ruimtestaat[[#This Row],[uren / jaar werkdagen]]</f>
        <v>0</v>
      </c>
      <c r="AG79" s="103">
        <f>Ruimtestaat[[#This Row],[kosten / jaar weekend]]+Ruimtestaat[[#This Row],[kosten / jaar werkdagen]]</f>
        <v>0</v>
      </c>
      <c r="AH79" s="103"/>
      <c r="AI79" s="110" t="str">
        <f>IF(Ruimtestaat[[#This Row],[Frequentie werkdagen]]="","",_xlfn.CONCAT(Ruimtestaat[[#This Row],[Ruimte code]],"-",Ruimtestaat[[#This Row],[Frequentie werkdagen]]," ",Ruimtestaat[[#This Row],[Vloer code]]))</f>
        <v/>
      </c>
      <c r="AJ79" s="114" t="str">
        <f>_xlfn.IFNA(VLOOKUP($AI79,Programma!$F$3:$G$1101,2,0),"")</f>
        <v/>
      </c>
      <c r="AK79" s="114" t="str">
        <f>_xlfn.IFNA(VLOOKUP($AI79,Programma!$F$3:$H$1101,3,0),"")</f>
        <v/>
      </c>
      <c r="AL79" s="114" t="str">
        <f>_xlfn.IFNA(VLOOKUP($AI79,Programma!$F$3:$I$1101,4,0),"")</f>
        <v/>
      </c>
      <c r="AM79" s="114" t="str">
        <f>_xlfn.IFNA(VLOOKUP($AI79,Programma!$F$3:$J$1101,5,0),"")</f>
        <v/>
      </c>
      <c r="AN79" s="114" t="str">
        <f>_xlfn.IFNA(VLOOKUP($AI79,Programma!$F$3:$K$1101,6,0),"")</f>
        <v/>
      </c>
      <c r="AO79" s="114" t="str">
        <f>_xlfn.IFNA(VLOOKUP($AI79,Programma!$F$3:$L$1101,7,0),"")</f>
        <v/>
      </c>
      <c r="AP79" s="114" t="str">
        <f>_xlfn.IFNA(VLOOKUP($AI79,Programma!$F$3:$M$1101,8,0),"")</f>
        <v/>
      </c>
      <c r="AQ79" s="114" t="str">
        <f>_xlfn.IFNA(VLOOKUP($AI79,Programma!$F$3:$N$1101,9,0),"")</f>
        <v/>
      </c>
      <c r="AR79" s="114" t="str">
        <f>_xlfn.IFNA(VLOOKUP($AI79,Programma!$F$3:$O$1101,10,0),"")</f>
        <v/>
      </c>
      <c r="AS79" s="114" t="str">
        <f>_xlfn.IFNA(VLOOKUP($AI79,Programma!$F$3:$P$1101,11,0),"")</f>
        <v/>
      </c>
      <c r="AT79" s="114" t="str">
        <f>_xlfn.IFNA(VLOOKUP($AI79,Programma!$F$3:$Q$1101,12,0),"")</f>
        <v/>
      </c>
      <c r="AU79" s="114" t="str">
        <f>_xlfn.IFNA(VLOOKUP($AI79,Programma!$F$3:$R$1101,13,0),"")</f>
        <v/>
      </c>
      <c r="AV79" s="114" t="str">
        <f>_xlfn.IFNA(VLOOKUP($AI79,Programma!$F$3:$S$1101,14,0),"")</f>
        <v/>
      </c>
      <c r="AW79" s="114" t="str">
        <f>_xlfn.IFNA(VLOOKUP($AI79,Programma!$F$3:$T$1101,15,0),"")</f>
        <v/>
      </c>
      <c r="AX79" s="114" t="str">
        <f>_xlfn.IFNA(VLOOKUP($AI79,Programma!$F$3:$U$1101,16,0),"")</f>
        <v/>
      </c>
      <c r="AY79" s="114" t="str">
        <f>_xlfn.IFNA(VLOOKUP($AI79,Programma!$F$3:$V$1101,17,0),"")</f>
        <v/>
      </c>
      <c r="AZ79" s="114" t="str">
        <f>_xlfn.IFNA(VLOOKUP($AI79,Programma!$F$3:$W$1101,18,0),"")</f>
        <v/>
      </c>
      <c r="BA79" s="114" t="str">
        <f>_xlfn.IFNA(VLOOKUP($AI79,Programma!$F$3:$X$1101,19,0),"")</f>
        <v/>
      </c>
      <c r="BB79" s="114" t="str">
        <f>_xlfn.IFNA(VLOOKUP($AI79,Programma!$F$3:$Y$1101,20,0),"")</f>
        <v/>
      </c>
      <c r="BC79" s="111"/>
      <c r="BD79" s="110" t="str">
        <f>IF(Ruimtestaat[[#This Row],[Frequentie weekend]]="","",_xlfn.CONCAT(Ruimtestaat[[#This Row],[Ruimte code]],"-",Ruimtestaat[[#This Row],[Frequentie weekend]]," ",Ruimtestaat[[#This Row],[Vloer code]]))</f>
        <v/>
      </c>
      <c r="BE79" s="114" t="str">
        <f>_xlfn.IFNA(VLOOKUP($BD79,Programma!$F$3:$G$1101,2,0),"")</f>
        <v/>
      </c>
      <c r="BF79" s="114" t="str">
        <f>_xlfn.IFNA(VLOOKUP($BD79,Programma!$F$3:$H$1101,3,0),"")</f>
        <v/>
      </c>
      <c r="BG79" s="114" t="str">
        <f>_xlfn.IFNA(VLOOKUP($BD79,Programma!$F$3:$I$1101,4,0),"")</f>
        <v/>
      </c>
      <c r="BH79" s="114" t="str">
        <f>_xlfn.IFNA(VLOOKUP($BD79,Programma!$F$3:$J$1101,5,0),"")</f>
        <v/>
      </c>
      <c r="BI79" s="114" t="str">
        <f>_xlfn.IFNA(VLOOKUP($BD79,Programma!$F$3:$K$1101,6,0),"")</f>
        <v/>
      </c>
      <c r="BJ79" s="114" t="str">
        <f>_xlfn.IFNA(VLOOKUP($BD79,Programma!$F$3:$L$1101,7,0),"")</f>
        <v/>
      </c>
      <c r="BK79" s="114" t="str">
        <f>_xlfn.IFNA(VLOOKUP($BD79,Programma!$F$3:$M$1101,8,0),"")</f>
        <v/>
      </c>
      <c r="BL79" s="114" t="str">
        <f>_xlfn.IFNA(VLOOKUP($BD79,Programma!$F$3:$N$1101,9,0),"")</f>
        <v/>
      </c>
      <c r="BM79" s="114" t="str">
        <f>_xlfn.IFNA(VLOOKUP($BD79,Programma!$F$3:$O$1101,10,0),"")</f>
        <v/>
      </c>
      <c r="BN79" s="114" t="str">
        <f>_xlfn.IFNA(VLOOKUP($BD79,Programma!$F$3:$P$1101,11,0),"")</f>
        <v/>
      </c>
      <c r="BO79" s="114" t="str">
        <f>_xlfn.IFNA(VLOOKUP($BD79,Programma!$F$3:$Q$1101,12,0),"")</f>
        <v/>
      </c>
      <c r="BP79" s="114" t="str">
        <f>_xlfn.IFNA(VLOOKUP($BD79,Programma!$F$3:$R$1101,13,0),"")</f>
        <v/>
      </c>
      <c r="BQ79" s="114" t="str">
        <f>_xlfn.IFNA(VLOOKUP($BD79,Programma!$F$3:$S$1101,14,0),"")</f>
        <v/>
      </c>
      <c r="BR79" s="114" t="str">
        <f>_xlfn.IFNA(VLOOKUP($BD79,Programma!$F$3:$T$1101,15,0),"")</f>
        <v/>
      </c>
      <c r="BS79" s="114" t="str">
        <f>_xlfn.IFNA(VLOOKUP($BD79,Programma!$F$3:$U$1101,16,0),"")</f>
        <v/>
      </c>
      <c r="BT79" s="114" t="str">
        <f>_xlfn.IFNA(VLOOKUP($BD79,Programma!$F$3:$V$1101,17,0),"")</f>
        <v/>
      </c>
      <c r="BU79" s="114" t="str">
        <f>_xlfn.IFNA(VLOOKUP($BD79,Programma!$F$3:$W$1101,18,0),"")</f>
        <v/>
      </c>
      <c r="BV79" s="114" t="str">
        <f>_xlfn.IFNA(VLOOKUP($BD79,Programma!$F$3:$X$1101,19,0),"")</f>
        <v/>
      </c>
      <c r="BW79" s="114" t="str">
        <f>_xlfn.IFNA(VLOOKUP($BD79,Programma!$F$3:$Y$1101,20,0),"")</f>
        <v/>
      </c>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c r="GC79" s="28"/>
      <c r="GD79" s="28"/>
      <c r="GE79" s="28"/>
      <c r="GF79" s="28"/>
      <c r="GG79" s="28"/>
      <c r="GH79" s="28"/>
      <c r="GI79" s="28"/>
      <c r="GJ79" s="28"/>
      <c r="GK79" s="28"/>
      <c r="GL79" s="28"/>
      <c r="GM79" s="28"/>
      <c r="GN79" s="28"/>
      <c r="GO79" s="28"/>
      <c r="GP79" s="28"/>
      <c r="GQ79" s="28"/>
      <c r="GR79" s="28"/>
      <c r="GS79" s="28"/>
      <c r="GT79" s="28"/>
      <c r="GU79" s="28"/>
      <c r="GV79" s="28"/>
      <c r="GW79" s="28"/>
      <c r="GX79" s="28"/>
      <c r="GY79" s="28"/>
      <c r="GZ79" s="28"/>
      <c r="HA79" s="28"/>
      <c r="HB79" s="28"/>
      <c r="HC79" s="28"/>
      <c r="HD79" s="28"/>
      <c r="HE79" s="28"/>
      <c r="HF79" s="28"/>
      <c r="HG79" s="28"/>
      <c r="HH79" s="28"/>
      <c r="HI79" s="28"/>
      <c r="HJ79" s="28"/>
      <c r="HK79" s="28"/>
      <c r="HL79" s="28"/>
    </row>
    <row r="80" spans="1:220" ht="15" customHeight="1">
      <c r="A80" s="31">
        <v>2</v>
      </c>
      <c r="B80" s="105" t="str">
        <f>VLOOKUP(Ruimtestaat[[#This Row],[Code]],Locaties[[Code]:[Locatie]],2,FALSE)</f>
        <v>IKC De Hoge Hoeve</v>
      </c>
      <c r="C80" s="105" t="str">
        <f>VLOOKUP(Ruimtestaat[[#This Row],[Code]],Locaties[[#All],[Code]:[Adres]],4,FALSE)</f>
        <v>De Hoge Hoeve 70</v>
      </c>
      <c r="D80" s="105" t="str">
        <f>VLOOKUP(Ruimtestaat[[#This Row],[Code]],Locaties[[#All],[Code]:[Postcode]],5,FALSE)</f>
        <v>6932 DJ</v>
      </c>
      <c r="E80" s="105" t="str">
        <f>VLOOKUP(Ruimtestaat[[#This Row],[Code]],Locaties[#All],6,FALSE)</f>
        <v>Westervoort</v>
      </c>
      <c r="F80" s="73"/>
      <c r="G80" s="73" t="s">
        <v>1645</v>
      </c>
      <c r="H80" s="271" t="s">
        <v>1687</v>
      </c>
      <c r="I80" s="273" t="s">
        <v>1674</v>
      </c>
      <c r="J80" s="31">
        <v>16</v>
      </c>
      <c r="K80" s="113" t="str">
        <f>VLOOKUP(Ruimtestaat[[#This Row],[Ruimte code]],Ruimtegroepen[[#All],[Code]:[Ruimte omschrijving]],2,FALSE)</f>
        <v>Leslokalen</v>
      </c>
      <c r="L80" s="73" t="s">
        <v>102</v>
      </c>
      <c r="M80" s="273" t="s">
        <v>120</v>
      </c>
      <c r="N80" s="106"/>
      <c r="O80" s="112"/>
      <c r="P80" s="106">
        <v>46</v>
      </c>
      <c r="Q80" s="107" t="str">
        <f>VLOOKUP(Ruimtestaat[[#This Row],[Ruimte code]],Ruimtegroepen[],4,FALSE)</f>
        <v>Le</v>
      </c>
      <c r="R80" s="73"/>
      <c r="S80" s="73"/>
      <c r="T80" s="73">
        <f>IF(R80&gt;0,IF(RIGHT(Ruimtestaat[[#This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0" s="73">
        <f>IF(T80&gt;0,VLOOKUP($J80,Ruimtegroepen[],3,FALSE)*VLOOKUP($L80,Vloersoorten[],3,FALSE)*VLOOKUP($S80,Frequenties[],3,FALSE)*VLOOKUP($A80,Locaties[],3,FALSE),0)</f>
        <v>0</v>
      </c>
      <c r="V80" s="73">
        <f>Ruimtestaat[[#This Row],[Uitvoeringen werkdagen]]*Ruimtestaat[[#This Row],[Oppervlak (netto)]]</f>
        <v>0</v>
      </c>
      <c r="W80" s="108">
        <f>IF(U80&gt;0,Ruimtestaat[[#This Row],[Prest. (m2 /jaar) werkdagen]]/Ruimtestaat[[#This Row],[Norm (m2/uur) werkdagen]],0)</f>
        <v>0</v>
      </c>
      <c r="X80" s="109">
        <f>Ruimtestaat[[#This Row],[uren / jaar werkdagen]]*Tariefsopbouw!$E$35</f>
        <v>0</v>
      </c>
      <c r="Y80" s="73"/>
      <c r="Z80" s="73">
        <f>IF(Ruimtestaat[[#This Row],[Frequentie weekend]]&gt;0,VALUE(LEFT(Y80,1))*R80,0)</f>
        <v>0</v>
      </c>
      <c r="AA80" s="72">
        <f>IF($Z80&gt;0,VLOOKUP($J80,Ruimtegroepen[],3,FALSE)*VLOOKUP($L80,Vloersoorten[],3,FALSE)*VLOOKUP($Y80,Frequenties[],3,FALSE)*VLOOKUP(Ruimtestaat[[#This Row],[Code]],Locaties[],3,FALSE),0)</f>
        <v>0</v>
      </c>
      <c r="AB80" s="72">
        <f>Ruimtestaat[[#This Row],[Uitvoeringen weekend]]*Ruimtestaat[[#This Row],[Oppervlak (netto)]]</f>
        <v>0</v>
      </c>
      <c r="AC80" s="72">
        <f>IF(AA80&gt;0,Ruimtestaat[[#This Row],[Prest. (m2 /jaar) weekend]]/Ruimtestaat[[#This Row],[Norm (m2/uur) weekend]],0)</f>
        <v>0</v>
      </c>
      <c r="AD80" s="109">
        <f>Ruimtestaat[[#This Row],[uren / jaar weekend]]*Tariefsopbouw!$D$40</f>
        <v>0</v>
      </c>
      <c r="AE80" s="108">
        <f>Ruimtestaat[[#This Row],[Prest. (m2 /jaar) weekend]]+Ruimtestaat[[#This Row],[Prest. (m2 /jaar) werkdagen]]</f>
        <v>0</v>
      </c>
      <c r="AF80" s="108">
        <f>Ruimtestaat[[#This Row],[uren / jaar weekend]]+Ruimtestaat[[#This Row],[uren / jaar werkdagen]]</f>
        <v>0</v>
      </c>
      <c r="AG80" s="103">
        <f>Ruimtestaat[[#This Row],[kosten / jaar weekend]]+Ruimtestaat[[#This Row],[kosten / jaar werkdagen]]</f>
        <v>0</v>
      </c>
      <c r="AH80" s="103"/>
      <c r="AI80" s="110" t="str">
        <f>IF(Ruimtestaat[[#This Row],[Frequentie werkdagen]]="","",_xlfn.CONCAT(Ruimtestaat[[#This Row],[Ruimte code]],"-",Ruimtestaat[[#This Row],[Frequentie werkdagen]]," ",Ruimtestaat[[#This Row],[Vloer code]]))</f>
        <v/>
      </c>
      <c r="AJ80" s="114" t="str">
        <f>_xlfn.IFNA(VLOOKUP($AI80,Programma!$F$3:$G$1101,2,0),"")</f>
        <v/>
      </c>
      <c r="AK80" s="114" t="str">
        <f>_xlfn.IFNA(VLOOKUP($AI80,Programma!$F$3:$H$1101,3,0),"")</f>
        <v/>
      </c>
      <c r="AL80" s="114" t="str">
        <f>_xlfn.IFNA(VLOOKUP($AI80,Programma!$F$3:$I$1101,4,0),"")</f>
        <v/>
      </c>
      <c r="AM80" s="114" t="str">
        <f>_xlfn.IFNA(VLOOKUP($AI80,Programma!$F$3:$J$1101,5,0),"")</f>
        <v/>
      </c>
      <c r="AN80" s="114" t="str">
        <f>_xlfn.IFNA(VLOOKUP($AI80,Programma!$F$3:$K$1101,6,0),"")</f>
        <v/>
      </c>
      <c r="AO80" s="114" t="str">
        <f>_xlfn.IFNA(VLOOKUP($AI80,Programma!$F$3:$L$1101,7,0),"")</f>
        <v/>
      </c>
      <c r="AP80" s="114" t="str">
        <f>_xlfn.IFNA(VLOOKUP($AI80,Programma!$F$3:$M$1101,8,0),"")</f>
        <v/>
      </c>
      <c r="AQ80" s="114" t="str">
        <f>_xlfn.IFNA(VLOOKUP($AI80,Programma!$F$3:$N$1101,9,0),"")</f>
        <v/>
      </c>
      <c r="AR80" s="114" t="str">
        <f>_xlfn.IFNA(VLOOKUP($AI80,Programma!$F$3:$O$1101,10,0),"")</f>
        <v/>
      </c>
      <c r="AS80" s="114" t="str">
        <f>_xlfn.IFNA(VLOOKUP($AI80,Programma!$F$3:$P$1101,11,0),"")</f>
        <v/>
      </c>
      <c r="AT80" s="114" t="str">
        <f>_xlfn.IFNA(VLOOKUP($AI80,Programma!$F$3:$Q$1101,12,0),"")</f>
        <v/>
      </c>
      <c r="AU80" s="114" t="str">
        <f>_xlfn.IFNA(VLOOKUP($AI80,Programma!$F$3:$R$1101,13,0),"")</f>
        <v/>
      </c>
      <c r="AV80" s="114" t="str">
        <f>_xlfn.IFNA(VLOOKUP($AI80,Programma!$F$3:$S$1101,14,0),"")</f>
        <v/>
      </c>
      <c r="AW80" s="114" t="str">
        <f>_xlfn.IFNA(VLOOKUP($AI80,Programma!$F$3:$T$1101,15,0),"")</f>
        <v/>
      </c>
      <c r="AX80" s="114" t="str">
        <f>_xlfn.IFNA(VLOOKUP($AI80,Programma!$F$3:$U$1101,16,0),"")</f>
        <v/>
      </c>
      <c r="AY80" s="114" t="str">
        <f>_xlfn.IFNA(VLOOKUP($AI80,Programma!$F$3:$V$1101,17,0),"")</f>
        <v/>
      </c>
      <c r="AZ80" s="114" t="str">
        <f>_xlfn.IFNA(VLOOKUP($AI80,Programma!$F$3:$W$1101,18,0),"")</f>
        <v/>
      </c>
      <c r="BA80" s="114" t="str">
        <f>_xlfn.IFNA(VLOOKUP($AI80,Programma!$F$3:$X$1101,19,0),"")</f>
        <v/>
      </c>
      <c r="BB80" s="114" t="str">
        <f>_xlfn.IFNA(VLOOKUP($AI80,Programma!$F$3:$Y$1101,20,0),"")</f>
        <v/>
      </c>
      <c r="BC80" s="111"/>
      <c r="BD80" s="110" t="str">
        <f>IF(Ruimtestaat[[#This Row],[Frequentie weekend]]="","",_xlfn.CONCAT(Ruimtestaat[[#This Row],[Ruimte code]],"-",Ruimtestaat[[#This Row],[Frequentie weekend]]," ",Ruimtestaat[[#This Row],[Vloer code]]))</f>
        <v/>
      </c>
      <c r="BE80" s="114" t="str">
        <f>_xlfn.IFNA(VLOOKUP($BD80,Programma!$F$3:$G$1101,2,0),"")</f>
        <v/>
      </c>
      <c r="BF80" s="114" t="str">
        <f>_xlfn.IFNA(VLOOKUP($BD80,Programma!$F$3:$H$1101,3,0),"")</f>
        <v/>
      </c>
      <c r="BG80" s="114" t="str">
        <f>_xlfn.IFNA(VLOOKUP($BD80,Programma!$F$3:$I$1101,4,0),"")</f>
        <v/>
      </c>
      <c r="BH80" s="114" t="str">
        <f>_xlfn.IFNA(VLOOKUP($BD80,Programma!$F$3:$J$1101,5,0),"")</f>
        <v/>
      </c>
      <c r="BI80" s="114" t="str">
        <f>_xlfn.IFNA(VLOOKUP($BD80,Programma!$F$3:$K$1101,6,0),"")</f>
        <v/>
      </c>
      <c r="BJ80" s="114" t="str">
        <f>_xlfn.IFNA(VLOOKUP($BD80,Programma!$F$3:$L$1101,7,0),"")</f>
        <v/>
      </c>
      <c r="BK80" s="114" t="str">
        <f>_xlfn.IFNA(VLOOKUP($BD80,Programma!$F$3:$M$1101,8,0),"")</f>
        <v/>
      </c>
      <c r="BL80" s="114" t="str">
        <f>_xlfn.IFNA(VLOOKUP($BD80,Programma!$F$3:$N$1101,9,0),"")</f>
        <v/>
      </c>
      <c r="BM80" s="114" t="str">
        <f>_xlfn.IFNA(VLOOKUP($BD80,Programma!$F$3:$O$1101,10,0),"")</f>
        <v/>
      </c>
      <c r="BN80" s="114" t="str">
        <f>_xlfn.IFNA(VLOOKUP($BD80,Programma!$F$3:$P$1101,11,0),"")</f>
        <v/>
      </c>
      <c r="BO80" s="114" t="str">
        <f>_xlfn.IFNA(VLOOKUP($BD80,Programma!$F$3:$Q$1101,12,0),"")</f>
        <v/>
      </c>
      <c r="BP80" s="114" t="str">
        <f>_xlfn.IFNA(VLOOKUP($BD80,Programma!$F$3:$R$1101,13,0),"")</f>
        <v/>
      </c>
      <c r="BQ80" s="114" t="str">
        <f>_xlfn.IFNA(VLOOKUP($BD80,Programma!$F$3:$S$1101,14,0),"")</f>
        <v/>
      </c>
      <c r="BR80" s="114" t="str">
        <f>_xlfn.IFNA(VLOOKUP($BD80,Programma!$F$3:$T$1101,15,0),"")</f>
        <v/>
      </c>
      <c r="BS80" s="114" t="str">
        <f>_xlfn.IFNA(VLOOKUP($BD80,Programma!$F$3:$U$1101,16,0),"")</f>
        <v/>
      </c>
      <c r="BT80" s="114" t="str">
        <f>_xlfn.IFNA(VLOOKUP($BD80,Programma!$F$3:$V$1101,17,0),"")</f>
        <v/>
      </c>
      <c r="BU80" s="114" t="str">
        <f>_xlfn.IFNA(VLOOKUP($BD80,Programma!$F$3:$W$1101,18,0),"")</f>
        <v/>
      </c>
      <c r="BV80" s="114" t="str">
        <f>_xlfn.IFNA(VLOOKUP($BD80,Programma!$F$3:$X$1101,19,0),"")</f>
        <v/>
      </c>
      <c r="BW80" s="114" t="str">
        <f>_xlfn.IFNA(VLOOKUP($BD80,Programma!$F$3:$Y$1101,20,0),"")</f>
        <v/>
      </c>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row>
    <row r="81" spans="1:220" ht="15" customHeight="1">
      <c r="A81" s="31">
        <v>2</v>
      </c>
      <c r="B81" s="105" t="str">
        <f>VLOOKUP(Ruimtestaat[[#This Row],[Code]],Locaties[[Code]:[Locatie]],2,FALSE)</f>
        <v>IKC De Hoge Hoeve</v>
      </c>
      <c r="C81" s="105" t="str">
        <f>VLOOKUP(Ruimtestaat[[#This Row],[Code]],Locaties[[#All],[Code]:[Adres]],4,FALSE)</f>
        <v>De Hoge Hoeve 70</v>
      </c>
      <c r="D81" s="105" t="str">
        <f>VLOOKUP(Ruimtestaat[[#This Row],[Code]],Locaties[[#All],[Code]:[Postcode]],5,FALSE)</f>
        <v>6932 DJ</v>
      </c>
      <c r="E81" s="105" t="str">
        <f>VLOOKUP(Ruimtestaat[[#This Row],[Code]],Locaties[#All],6,FALSE)</f>
        <v>Westervoort</v>
      </c>
      <c r="F81" s="73"/>
      <c r="G81" s="73" t="s">
        <v>1645</v>
      </c>
      <c r="H81" s="271" t="s">
        <v>1688</v>
      </c>
      <c r="I81" s="273" t="s">
        <v>1676</v>
      </c>
      <c r="J81" s="31">
        <v>16</v>
      </c>
      <c r="K81" s="113" t="str">
        <f>VLOOKUP(Ruimtestaat[[#This Row],[Ruimte code]],Ruimtegroepen[[#All],[Code]:[Ruimte omschrijving]],2,FALSE)</f>
        <v>Leslokalen</v>
      </c>
      <c r="L81" s="73" t="s">
        <v>102</v>
      </c>
      <c r="M81" s="273" t="s">
        <v>120</v>
      </c>
      <c r="N81" s="106"/>
      <c r="O81" s="73"/>
      <c r="P81" s="106">
        <v>46</v>
      </c>
      <c r="Q81" s="107" t="str">
        <f>VLOOKUP(Ruimtestaat[[#This Row],[Ruimte code]],Ruimtegroepen[],4,FALSE)</f>
        <v>Le</v>
      </c>
      <c r="R81" s="73"/>
      <c r="S81" s="73"/>
      <c r="T81" s="73">
        <f>IF(R81&gt;0,IF(RIGHT(Ruimtestaat[[#This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1" s="73">
        <f>IF(T81&gt;0,VLOOKUP($J81,Ruimtegroepen[],3,FALSE)*VLOOKUP($L81,Vloersoorten[],3,FALSE)*VLOOKUP($S81,Frequenties[],3,FALSE)*VLOOKUP($A81,Locaties[],3,FALSE),0)</f>
        <v>0</v>
      </c>
      <c r="V81" s="73">
        <f>Ruimtestaat[[#This Row],[Uitvoeringen werkdagen]]*Ruimtestaat[[#This Row],[Oppervlak (netto)]]</f>
        <v>0</v>
      </c>
      <c r="W81" s="108">
        <f>IF(U81&gt;0,Ruimtestaat[[#This Row],[Prest. (m2 /jaar) werkdagen]]/Ruimtestaat[[#This Row],[Norm (m2/uur) werkdagen]],0)</f>
        <v>0</v>
      </c>
      <c r="X81" s="109">
        <f>Ruimtestaat[[#This Row],[uren / jaar werkdagen]]*Tariefsopbouw!$E$35</f>
        <v>0</v>
      </c>
      <c r="Y81" s="73"/>
      <c r="Z81" s="73">
        <f>IF(Ruimtestaat[[#This Row],[Frequentie weekend]]&gt;0,VALUE(LEFT(Y81,1))*R81,0)</f>
        <v>0</v>
      </c>
      <c r="AA81" s="72">
        <f>IF($Z81&gt;0,VLOOKUP($J81,Ruimtegroepen[],3,FALSE)*VLOOKUP($L81,Vloersoorten[],3,FALSE)*VLOOKUP($Y81,Frequenties[],3,FALSE)*VLOOKUP(Ruimtestaat[[#This Row],[Code]],Locaties[],3,FALSE),0)</f>
        <v>0</v>
      </c>
      <c r="AB81" s="72">
        <f>Ruimtestaat[[#This Row],[Uitvoeringen weekend]]*Ruimtestaat[[#This Row],[Oppervlak (netto)]]</f>
        <v>0</v>
      </c>
      <c r="AC81" s="72">
        <f>IF(AA81&gt;0,Ruimtestaat[[#This Row],[Prest. (m2 /jaar) weekend]]/Ruimtestaat[[#This Row],[Norm (m2/uur) weekend]],0)</f>
        <v>0</v>
      </c>
      <c r="AD81" s="109">
        <f>Ruimtestaat[[#This Row],[uren / jaar weekend]]*Tariefsopbouw!$D$40</f>
        <v>0</v>
      </c>
      <c r="AE81" s="108">
        <f>Ruimtestaat[[#This Row],[Prest. (m2 /jaar) weekend]]+Ruimtestaat[[#This Row],[Prest. (m2 /jaar) werkdagen]]</f>
        <v>0</v>
      </c>
      <c r="AF81" s="108">
        <f>Ruimtestaat[[#This Row],[uren / jaar weekend]]+Ruimtestaat[[#This Row],[uren / jaar werkdagen]]</f>
        <v>0</v>
      </c>
      <c r="AG81" s="103">
        <f>Ruimtestaat[[#This Row],[kosten / jaar weekend]]+Ruimtestaat[[#This Row],[kosten / jaar werkdagen]]</f>
        <v>0</v>
      </c>
      <c r="AH81" s="103"/>
      <c r="AI81" s="110" t="str">
        <f>IF(Ruimtestaat[[#This Row],[Frequentie werkdagen]]="","",_xlfn.CONCAT(Ruimtestaat[[#This Row],[Ruimte code]],"-",Ruimtestaat[[#This Row],[Frequentie werkdagen]]," ",Ruimtestaat[[#This Row],[Vloer code]]))</f>
        <v/>
      </c>
      <c r="AJ81" s="114" t="str">
        <f>_xlfn.IFNA(VLOOKUP($AI81,Programma!$F$3:$G$1101,2,0),"")</f>
        <v/>
      </c>
      <c r="AK81" s="114" t="str">
        <f>_xlfn.IFNA(VLOOKUP($AI81,Programma!$F$3:$H$1101,3,0),"")</f>
        <v/>
      </c>
      <c r="AL81" s="114" t="str">
        <f>_xlfn.IFNA(VLOOKUP($AI81,Programma!$F$3:$I$1101,4,0),"")</f>
        <v/>
      </c>
      <c r="AM81" s="114" t="str">
        <f>_xlfn.IFNA(VLOOKUP($AI81,Programma!$F$3:$J$1101,5,0),"")</f>
        <v/>
      </c>
      <c r="AN81" s="114" t="str">
        <f>_xlfn.IFNA(VLOOKUP($AI81,Programma!$F$3:$K$1101,6,0),"")</f>
        <v/>
      </c>
      <c r="AO81" s="114" t="str">
        <f>_xlfn.IFNA(VLOOKUP($AI81,Programma!$F$3:$L$1101,7,0),"")</f>
        <v/>
      </c>
      <c r="AP81" s="114" t="str">
        <f>_xlfn.IFNA(VLOOKUP($AI81,Programma!$F$3:$M$1101,8,0),"")</f>
        <v/>
      </c>
      <c r="AQ81" s="114" t="str">
        <f>_xlfn.IFNA(VLOOKUP($AI81,Programma!$F$3:$N$1101,9,0),"")</f>
        <v/>
      </c>
      <c r="AR81" s="114" t="str">
        <f>_xlfn.IFNA(VLOOKUP($AI81,Programma!$F$3:$O$1101,10,0),"")</f>
        <v/>
      </c>
      <c r="AS81" s="114" t="str">
        <f>_xlfn.IFNA(VLOOKUP($AI81,Programma!$F$3:$P$1101,11,0),"")</f>
        <v/>
      </c>
      <c r="AT81" s="114" t="str">
        <f>_xlfn.IFNA(VLOOKUP($AI81,Programma!$F$3:$Q$1101,12,0),"")</f>
        <v/>
      </c>
      <c r="AU81" s="114" t="str">
        <f>_xlfn.IFNA(VLOOKUP($AI81,Programma!$F$3:$R$1101,13,0),"")</f>
        <v/>
      </c>
      <c r="AV81" s="114" t="str">
        <f>_xlfn.IFNA(VLOOKUP($AI81,Programma!$F$3:$S$1101,14,0),"")</f>
        <v/>
      </c>
      <c r="AW81" s="114" t="str">
        <f>_xlfn.IFNA(VLOOKUP($AI81,Programma!$F$3:$T$1101,15,0),"")</f>
        <v/>
      </c>
      <c r="AX81" s="114" t="str">
        <f>_xlfn.IFNA(VLOOKUP($AI81,Programma!$F$3:$U$1101,16,0),"")</f>
        <v/>
      </c>
      <c r="AY81" s="114" t="str">
        <f>_xlfn.IFNA(VLOOKUP($AI81,Programma!$F$3:$V$1101,17,0),"")</f>
        <v/>
      </c>
      <c r="AZ81" s="114" t="str">
        <f>_xlfn.IFNA(VLOOKUP($AI81,Programma!$F$3:$W$1101,18,0),"")</f>
        <v/>
      </c>
      <c r="BA81" s="114" t="str">
        <f>_xlfn.IFNA(VLOOKUP($AI81,Programma!$F$3:$X$1101,19,0),"")</f>
        <v/>
      </c>
      <c r="BB81" s="114" t="str">
        <f>_xlfn.IFNA(VLOOKUP($AI81,Programma!$F$3:$Y$1101,20,0),"")</f>
        <v/>
      </c>
      <c r="BC81" s="111"/>
      <c r="BD81" s="110" t="str">
        <f>IF(Ruimtestaat[[#This Row],[Frequentie weekend]]="","",_xlfn.CONCAT(Ruimtestaat[[#This Row],[Ruimte code]],"-",Ruimtestaat[[#This Row],[Frequentie weekend]]," ",Ruimtestaat[[#This Row],[Vloer code]]))</f>
        <v/>
      </c>
      <c r="BE81" s="114" t="str">
        <f>_xlfn.IFNA(VLOOKUP($BD81,Programma!$F$3:$G$1101,2,0),"")</f>
        <v/>
      </c>
      <c r="BF81" s="114" t="str">
        <f>_xlfn.IFNA(VLOOKUP($BD81,Programma!$F$3:$H$1101,3,0),"")</f>
        <v/>
      </c>
      <c r="BG81" s="114" t="str">
        <f>_xlfn.IFNA(VLOOKUP($BD81,Programma!$F$3:$I$1101,4,0),"")</f>
        <v/>
      </c>
      <c r="BH81" s="114" t="str">
        <f>_xlfn.IFNA(VLOOKUP($BD81,Programma!$F$3:$J$1101,5,0),"")</f>
        <v/>
      </c>
      <c r="BI81" s="114" t="str">
        <f>_xlfn.IFNA(VLOOKUP($BD81,Programma!$F$3:$K$1101,6,0),"")</f>
        <v/>
      </c>
      <c r="BJ81" s="114" t="str">
        <f>_xlfn.IFNA(VLOOKUP($BD81,Programma!$F$3:$L$1101,7,0),"")</f>
        <v/>
      </c>
      <c r="BK81" s="114" t="str">
        <f>_xlfn.IFNA(VLOOKUP($BD81,Programma!$F$3:$M$1101,8,0),"")</f>
        <v/>
      </c>
      <c r="BL81" s="114" t="str">
        <f>_xlfn.IFNA(VLOOKUP($BD81,Programma!$F$3:$N$1101,9,0),"")</f>
        <v/>
      </c>
      <c r="BM81" s="114" t="str">
        <f>_xlfn.IFNA(VLOOKUP($BD81,Programma!$F$3:$O$1101,10,0),"")</f>
        <v/>
      </c>
      <c r="BN81" s="114" t="str">
        <f>_xlfn.IFNA(VLOOKUP($BD81,Programma!$F$3:$P$1101,11,0),"")</f>
        <v/>
      </c>
      <c r="BO81" s="114" t="str">
        <f>_xlfn.IFNA(VLOOKUP($BD81,Programma!$F$3:$Q$1101,12,0),"")</f>
        <v/>
      </c>
      <c r="BP81" s="114" t="str">
        <f>_xlfn.IFNA(VLOOKUP($BD81,Programma!$F$3:$R$1101,13,0),"")</f>
        <v/>
      </c>
      <c r="BQ81" s="114" t="str">
        <f>_xlfn.IFNA(VLOOKUP($BD81,Programma!$F$3:$S$1101,14,0),"")</f>
        <v/>
      </c>
      <c r="BR81" s="114" t="str">
        <f>_xlfn.IFNA(VLOOKUP($BD81,Programma!$F$3:$T$1101,15,0),"")</f>
        <v/>
      </c>
      <c r="BS81" s="114" t="str">
        <f>_xlfn.IFNA(VLOOKUP($BD81,Programma!$F$3:$U$1101,16,0),"")</f>
        <v/>
      </c>
      <c r="BT81" s="114" t="str">
        <f>_xlfn.IFNA(VLOOKUP($BD81,Programma!$F$3:$V$1101,17,0),"")</f>
        <v/>
      </c>
      <c r="BU81" s="114" t="str">
        <f>_xlfn.IFNA(VLOOKUP($BD81,Programma!$F$3:$W$1101,18,0),"")</f>
        <v/>
      </c>
      <c r="BV81" s="114" t="str">
        <f>_xlfn.IFNA(VLOOKUP($BD81,Programma!$F$3:$X$1101,19,0),"")</f>
        <v/>
      </c>
      <c r="BW81" s="114" t="str">
        <f>_xlfn.IFNA(VLOOKUP($BD81,Programma!$F$3:$Y$1101,20,0),"")</f>
        <v/>
      </c>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c r="HL81" s="28"/>
    </row>
    <row r="82" spans="1:220" ht="15" customHeight="1">
      <c r="A82" s="31">
        <v>2</v>
      </c>
      <c r="B82" s="105" t="str">
        <f>VLOOKUP(Ruimtestaat[[#This Row],[Code]],Locaties[[Code]:[Locatie]],2,FALSE)</f>
        <v>IKC De Hoge Hoeve</v>
      </c>
      <c r="C82" s="105" t="str">
        <f>VLOOKUP(Ruimtestaat[[#This Row],[Code]],Locaties[[#All],[Code]:[Adres]],4,FALSE)</f>
        <v>De Hoge Hoeve 70</v>
      </c>
      <c r="D82" s="105" t="str">
        <f>VLOOKUP(Ruimtestaat[[#This Row],[Code]],Locaties[[#All],[Code]:[Postcode]],5,FALSE)</f>
        <v>6932 DJ</v>
      </c>
      <c r="E82" s="105" t="str">
        <f>VLOOKUP(Ruimtestaat[[#This Row],[Code]],Locaties[#All],6,FALSE)</f>
        <v>Westervoort</v>
      </c>
      <c r="F82" s="73"/>
      <c r="G82" s="73" t="s">
        <v>1645</v>
      </c>
      <c r="H82" s="271" t="s">
        <v>1689</v>
      </c>
      <c r="I82" s="273" t="s">
        <v>1677</v>
      </c>
      <c r="J82" s="31">
        <v>16</v>
      </c>
      <c r="K82" s="113" t="str">
        <f>VLOOKUP(Ruimtestaat[[#This Row],[Ruimte code]],Ruimtegroepen[[#All],[Code]:[Ruimte omschrijving]],2,FALSE)</f>
        <v>Leslokalen</v>
      </c>
      <c r="L82" s="73" t="s">
        <v>102</v>
      </c>
      <c r="M82" s="273" t="s">
        <v>120</v>
      </c>
      <c r="N82" s="106"/>
      <c r="O82" s="112"/>
      <c r="P82" s="106">
        <v>46</v>
      </c>
      <c r="Q82" s="107" t="str">
        <f>VLOOKUP(Ruimtestaat[[#This Row],[Ruimte code]],Ruimtegroepen[],4,FALSE)</f>
        <v>Le</v>
      </c>
      <c r="R82" s="73"/>
      <c r="S82" s="73"/>
      <c r="T82" s="73">
        <f>IF(R82&gt;0,IF(RIGHT(Ruimtestaat[[#This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2" s="73">
        <f>IF(T82&gt;0,VLOOKUP($J82,Ruimtegroepen[],3,FALSE)*VLOOKUP($L82,Vloersoorten[],3,FALSE)*VLOOKUP($S82,Frequenties[],3,FALSE)*VLOOKUP($A82,Locaties[],3,FALSE),0)</f>
        <v>0</v>
      </c>
      <c r="V82" s="73">
        <f>Ruimtestaat[[#This Row],[Uitvoeringen werkdagen]]*Ruimtestaat[[#This Row],[Oppervlak (netto)]]</f>
        <v>0</v>
      </c>
      <c r="W82" s="108">
        <f>IF(U82&gt;0,Ruimtestaat[[#This Row],[Prest. (m2 /jaar) werkdagen]]/Ruimtestaat[[#This Row],[Norm (m2/uur) werkdagen]],0)</f>
        <v>0</v>
      </c>
      <c r="X82" s="109">
        <f>Ruimtestaat[[#This Row],[uren / jaar werkdagen]]*Tariefsopbouw!$E$35</f>
        <v>0</v>
      </c>
      <c r="Y82" s="73"/>
      <c r="Z82" s="73">
        <f>IF(Ruimtestaat[[#This Row],[Frequentie weekend]]&gt;0,VALUE(LEFT(Y82,1))*R82,0)</f>
        <v>0</v>
      </c>
      <c r="AA82" s="72">
        <f>IF($Z82&gt;0,VLOOKUP($J82,Ruimtegroepen[],3,FALSE)*VLOOKUP($L82,Vloersoorten[],3,FALSE)*VLOOKUP($Y82,Frequenties[],3,FALSE)*VLOOKUP(Ruimtestaat[[#This Row],[Code]],Locaties[],3,FALSE),0)</f>
        <v>0</v>
      </c>
      <c r="AB82" s="72">
        <f>Ruimtestaat[[#This Row],[Uitvoeringen weekend]]*Ruimtestaat[[#This Row],[Oppervlak (netto)]]</f>
        <v>0</v>
      </c>
      <c r="AC82" s="72">
        <f>IF(AA82&gt;0,Ruimtestaat[[#This Row],[Prest. (m2 /jaar) weekend]]/Ruimtestaat[[#This Row],[Norm (m2/uur) weekend]],0)</f>
        <v>0</v>
      </c>
      <c r="AD82" s="109">
        <f>Ruimtestaat[[#This Row],[uren / jaar weekend]]*Tariefsopbouw!$D$40</f>
        <v>0</v>
      </c>
      <c r="AE82" s="108">
        <f>Ruimtestaat[[#This Row],[Prest. (m2 /jaar) weekend]]+Ruimtestaat[[#This Row],[Prest. (m2 /jaar) werkdagen]]</f>
        <v>0</v>
      </c>
      <c r="AF82" s="108">
        <f>Ruimtestaat[[#This Row],[uren / jaar weekend]]+Ruimtestaat[[#This Row],[uren / jaar werkdagen]]</f>
        <v>0</v>
      </c>
      <c r="AG82" s="103">
        <f>Ruimtestaat[[#This Row],[kosten / jaar weekend]]+Ruimtestaat[[#This Row],[kosten / jaar werkdagen]]</f>
        <v>0</v>
      </c>
      <c r="AH82" s="103"/>
      <c r="AI82" s="110" t="str">
        <f>IF(Ruimtestaat[[#This Row],[Frequentie werkdagen]]="","",_xlfn.CONCAT(Ruimtestaat[[#This Row],[Ruimte code]],"-",Ruimtestaat[[#This Row],[Frequentie werkdagen]]," ",Ruimtestaat[[#This Row],[Vloer code]]))</f>
        <v/>
      </c>
      <c r="AJ82" s="114" t="str">
        <f>_xlfn.IFNA(VLOOKUP($AI82,Programma!$F$3:$G$1101,2,0),"")</f>
        <v/>
      </c>
      <c r="AK82" s="114" t="str">
        <f>_xlfn.IFNA(VLOOKUP($AI82,Programma!$F$3:$H$1101,3,0),"")</f>
        <v/>
      </c>
      <c r="AL82" s="114" t="str">
        <f>_xlfn.IFNA(VLOOKUP($AI82,Programma!$F$3:$I$1101,4,0),"")</f>
        <v/>
      </c>
      <c r="AM82" s="114" t="str">
        <f>_xlfn.IFNA(VLOOKUP($AI82,Programma!$F$3:$J$1101,5,0),"")</f>
        <v/>
      </c>
      <c r="AN82" s="114" t="str">
        <f>_xlfn.IFNA(VLOOKUP($AI82,Programma!$F$3:$K$1101,6,0),"")</f>
        <v/>
      </c>
      <c r="AO82" s="114" t="str">
        <f>_xlfn.IFNA(VLOOKUP($AI82,Programma!$F$3:$L$1101,7,0),"")</f>
        <v/>
      </c>
      <c r="AP82" s="114" t="str">
        <f>_xlfn.IFNA(VLOOKUP($AI82,Programma!$F$3:$M$1101,8,0),"")</f>
        <v/>
      </c>
      <c r="AQ82" s="114" t="str">
        <f>_xlfn.IFNA(VLOOKUP($AI82,Programma!$F$3:$N$1101,9,0),"")</f>
        <v/>
      </c>
      <c r="AR82" s="114" t="str">
        <f>_xlfn.IFNA(VLOOKUP($AI82,Programma!$F$3:$O$1101,10,0),"")</f>
        <v/>
      </c>
      <c r="AS82" s="114" t="str">
        <f>_xlfn.IFNA(VLOOKUP($AI82,Programma!$F$3:$P$1101,11,0),"")</f>
        <v/>
      </c>
      <c r="AT82" s="114" t="str">
        <f>_xlfn.IFNA(VLOOKUP($AI82,Programma!$F$3:$Q$1101,12,0),"")</f>
        <v/>
      </c>
      <c r="AU82" s="114" t="str">
        <f>_xlfn.IFNA(VLOOKUP($AI82,Programma!$F$3:$R$1101,13,0),"")</f>
        <v/>
      </c>
      <c r="AV82" s="114" t="str">
        <f>_xlfn.IFNA(VLOOKUP($AI82,Programma!$F$3:$S$1101,14,0),"")</f>
        <v/>
      </c>
      <c r="AW82" s="114" t="str">
        <f>_xlfn.IFNA(VLOOKUP($AI82,Programma!$F$3:$T$1101,15,0),"")</f>
        <v/>
      </c>
      <c r="AX82" s="114" t="str">
        <f>_xlfn.IFNA(VLOOKUP($AI82,Programma!$F$3:$U$1101,16,0),"")</f>
        <v/>
      </c>
      <c r="AY82" s="114" t="str">
        <f>_xlfn.IFNA(VLOOKUP($AI82,Programma!$F$3:$V$1101,17,0),"")</f>
        <v/>
      </c>
      <c r="AZ82" s="114" t="str">
        <f>_xlfn.IFNA(VLOOKUP($AI82,Programma!$F$3:$W$1101,18,0),"")</f>
        <v/>
      </c>
      <c r="BA82" s="114" t="str">
        <f>_xlfn.IFNA(VLOOKUP($AI82,Programma!$F$3:$X$1101,19,0),"")</f>
        <v/>
      </c>
      <c r="BB82" s="114" t="str">
        <f>_xlfn.IFNA(VLOOKUP($AI82,Programma!$F$3:$Y$1101,20,0),"")</f>
        <v/>
      </c>
      <c r="BC82" s="111"/>
      <c r="BD82" s="110" t="str">
        <f>IF(Ruimtestaat[[#This Row],[Frequentie weekend]]="","",_xlfn.CONCAT(Ruimtestaat[[#This Row],[Ruimte code]],"-",Ruimtestaat[[#This Row],[Frequentie weekend]]," ",Ruimtestaat[[#This Row],[Vloer code]]))</f>
        <v/>
      </c>
      <c r="BE82" s="114" t="str">
        <f>_xlfn.IFNA(VLOOKUP($BD82,Programma!$F$3:$G$1101,2,0),"")</f>
        <v/>
      </c>
      <c r="BF82" s="114" t="str">
        <f>_xlfn.IFNA(VLOOKUP($BD82,Programma!$F$3:$H$1101,3,0),"")</f>
        <v/>
      </c>
      <c r="BG82" s="114" t="str">
        <f>_xlfn.IFNA(VLOOKUP($BD82,Programma!$F$3:$I$1101,4,0),"")</f>
        <v/>
      </c>
      <c r="BH82" s="114" t="str">
        <f>_xlfn.IFNA(VLOOKUP($BD82,Programma!$F$3:$J$1101,5,0),"")</f>
        <v/>
      </c>
      <c r="BI82" s="114" t="str">
        <f>_xlfn.IFNA(VLOOKUP($BD82,Programma!$F$3:$K$1101,6,0),"")</f>
        <v/>
      </c>
      <c r="BJ82" s="114" t="str">
        <f>_xlfn.IFNA(VLOOKUP($BD82,Programma!$F$3:$L$1101,7,0),"")</f>
        <v/>
      </c>
      <c r="BK82" s="114" t="str">
        <f>_xlfn.IFNA(VLOOKUP($BD82,Programma!$F$3:$M$1101,8,0),"")</f>
        <v/>
      </c>
      <c r="BL82" s="114" t="str">
        <f>_xlfn.IFNA(VLOOKUP($BD82,Programma!$F$3:$N$1101,9,0),"")</f>
        <v/>
      </c>
      <c r="BM82" s="114" t="str">
        <f>_xlfn.IFNA(VLOOKUP($BD82,Programma!$F$3:$O$1101,10,0),"")</f>
        <v/>
      </c>
      <c r="BN82" s="114" t="str">
        <f>_xlfn.IFNA(VLOOKUP($BD82,Programma!$F$3:$P$1101,11,0),"")</f>
        <v/>
      </c>
      <c r="BO82" s="114" t="str">
        <f>_xlfn.IFNA(VLOOKUP($BD82,Programma!$F$3:$Q$1101,12,0),"")</f>
        <v/>
      </c>
      <c r="BP82" s="114" t="str">
        <f>_xlfn.IFNA(VLOOKUP($BD82,Programma!$F$3:$R$1101,13,0),"")</f>
        <v/>
      </c>
      <c r="BQ82" s="114" t="str">
        <f>_xlfn.IFNA(VLOOKUP($BD82,Programma!$F$3:$S$1101,14,0),"")</f>
        <v/>
      </c>
      <c r="BR82" s="114" t="str">
        <f>_xlfn.IFNA(VLOOKUP($BD82,Programma!$F$3:$T$1101,15,0),"")</f>
        <v/>
      </c>
      <c r="BS82" s="114" t="str">
        <f>_xlfn.IFNA(VLOOKUP($BD82,Programma!$F$3:$U$1101,16,0),"")</f>
        <v/>
      </c>
      <c r="BT82" s="114" t="str">
        <f>_xlfn.IFNA(VLOOKUP($BD82,Programma!$F$3:$V$1101,17,0),"")</f>
        <v/>
      </c>
      <c r="BU82" s="114" t="str">
        <f>_xlfn.IFNA(VLOOKUP($BD82,Programma!$F$3:$W$1101,18,0),"")</f>
        <v/>
      </c>
      <c r="BV82" s="114" t="str">
        <f>_xlfn.IFNA(VLOOKUP($BD82,Programma!$F$3:$X$1101,19,0),"")</f>
        <v/>
      </c>
      <c r="BW82" s="114" t="str">
        <f>_xlfn.IFNA(VLOOKUP($BD82,Programma!$F$3:$Y$1101,20,0),"")</f>
        <v/>
      </c>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row>
    <row r="83" spans="1:220" ht="15" customHeight="1">
      <c r="A83" s="31">
        <v>2</v>
      </c>
      <c r="B83" s="105" t="str">
        <f>VLOOKUP(Ruimtestaat[[#This Row],[Code]],Locaties[[Code]:[Locatie]],2,FALSE)</f>
        <v>IKC De Hoge Hoeve</v>
      </c>
      <c r="C83" s="105" t="str">
        <f>VLOOKUP(Ruimtestaat[[#This Row],[Code]],Locaties[[#All],[Code]:[Adres]],4,FALSE)</f>
        <v>De Hoge Hoeve 70</v>
      </c>
      <c r="D83" s="105" t="str">
        <f>VLOOKUP(Ruimtestaat[[#This Row],[Code]],Locaties[[#All],[Code]:[Postcode]],5,FALSE)</f>
        <v>6932 DJ</v>
      </c>
      <c r="E83" s="105" t="str">
        <f>VLOOKUP(Ruimtestaat[[#This Row],[Code]],Locaties[#All],6,FALSE)</f>
        <v>Westervoort</v>
      </c>
      <c r="F83" s="73"/>
      <c r="G83" s="73" t="s">
        <v>1645</v>
      </c>
      <c r="H83" s="271" t="s">
        <v>1690</v>
      </c>
      <c r="I83" s="273" t="s">
        <v>1731</v>
      </c>
      <c r="J83" s="31">
        <v>16</v>
      </c>
      <c r="K83" s="113" t="str">
        <f>VLOOKUP(Ruimtestaat[[#This Row],[Ruimte code]],Ruimtegroepen[[#All],[Code]:[Ruimte omschrijving]],2,FALSE)</f>
        <v>Leslokalen</v>
      </c>
      <c r="L83" s="73" t="s">
        <v>102</v>
      </c>
      <c r="M83" s="273" t="s">
        <v>120</v>
      </c>
      <c r="N83" s="106"/>
      <c r="O83" s="112"/>
      <c r="P83" s="106">
        <v>50</v>
      </c>
      <c r="Q83" s="107" t="str">
        <f>VLOOKUP(Ruimtestaat[[#This Row],[Ruimte code]],Ruimtegroepen[],4,FALSE)</f>
        <v>Le</v>
      </c>
      <c r="R83" s="73"/>
      <c r="S83" s="73"/>
      <c r="T83" s="73">
        <f>IF(R83&gt;0,IF(RIGHT(Ruimtestaat[[#This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3" s="73">
        <f>IF(T83&gt;0,VLOOKUP($J83,Ruimtegroepen[],3,FALSE)*VLOOKUP($L83,Vloersoorten[],3,FALSE)*VLOOKUP($S83,Frequenties[],3,FALSE)*VLOOKUP($A83,Locaties[],3,FALSE),0)</f>
        <v>0</v>
      </c>
      <c r="V83" s="73">
        <f>Ruimtestaat[[#This Row],[Uitvoeringen werkdagen]]*Ruimtestaat[[#This Row],[Oppervlak (netto)]]</f>
        <v>0</v>
      </c>
      <c r="W83" s="108">
        <f>IF(U83&gt;0,Ruimtestaat[[#This Row],[Prest. (m2 /jaar) werkdagen]]/Ruimtestaat[[#This Row],[Norm (m2/uur) werkdagen]],0)</f>
        <v>0</v>
      </c>
      <c r="X83" s="109">
        <f>Ruimtestaat[[#This Row],[uren / jaar werkdagen]]*Tariefsopbouw!$E$35</f>
        <v>0</v>
      </c>
      <c r="Y83" s="73"/>
      <c r="Z83" s="73">
        <f>IF(Ruimtestaat[[#This Row],[Frequentie weekend]]&gt;0,VALUE(LEFT(Y83,1))*R83,0)</f>
        <v>0</v>
      </c>
      <c r="AA83" s="72">
        <f>IF($Z83&gt;0,VLOOKUP($J83,Ruimtegroepen[],3,FALSE)*VLOOKUP($L83,Vloersoorten[],3,FALSE)*VLOOKUP($Y83,Frequenties[],3,FALSE)*VLOOKUP(Ruimtestaat[[#This Row],[Code]],Locaties[],3,FALSE),0)</f>
        <v>0</v>
      </c>
      <c r="AB83" s="72">
        <f>Ruimtestaat[[#This Row],[Uitvoeringen weekend]]*Ruimtestaat[[#This Row],[Oppervlak (netto)]]</f>
        <v>0</v>
      </c>
      <c r="AC83" s="72">
        <f>IF(AA83&gt;0,Ruimtestaat[[#This Row],[Prest. (m2 /jaar) weekend]]/Ruimtestaat[[#This Row],[Norm (m2/uur) weekend]],0)</f>
        <v>0</v>
      </c>
      <c r="AD83" s="109">
        <f>Ruimtestaat[[#This Row],[uren / jaar weekend]]*Tariefsopbouw!$D$40</f>
        <v>0</v>
      </c>
      <c r="AE83" s="108">
        <f>Ruimtestaat[[#This Row],[Prest. (m2 /jaar) weekend]]+Ruimtestaat[[#This Row],[Prest. (m2 /jaar) werkdagen]]</f>
        <v>0</v>
      </c>
      <c r="AF83" s="108">
        <f>Ruimtestaat[[#This Row],[uren / jaar weekend]]+Ruimtestaat[[#This Row],[uren / jaar werkdagen]]</f>
        <v>0</v>
      </c>
      <c r="AG83" s="103">
        <f>Ruimtestaat[[#This Row],[kosten / jaar weekend]]+Ruimtestaat[[#This Row],[kosten / jaar werkdagen]]</f>
        <v>0</v>
      </c>
      <c r="AH83" s="103"/>
      <c r="AI83" s="110" t="str">
        <f>IF(Ruimtestaat[[#This Row],[Frequentie werkdagen]]="","",_xlfn.CONCAT(Ruimtestaat[[#This Row],[Ruimte code]],"-",Ruimtestaat[[#This Row],[Frequentie werkdagen]]," ",Ruimtestaat[[#This Row],[Vloer code]]))</f>
        <v/>
      </c>
      <c r="AJ83" s="114" t="str">
        <f>_xlfn.IFNA(VLOOKUP($AI83,Programma!$F$3:$G$1101,2,0),"")</f>
        <v/>
      </c>
      <c r="AK83" s="114" t="str">
        <f>_xlfn.IFNA(VLOOKUP($AI83,Programma!$F$3:$H$1101,3,0),"")</f>
        <v/>
      </c>
      <c r="AL83" s="114" t="str">
        <f>_xlfn.IFNA(VLOOKUP($AI83,Programma!$F$3:$I$1101,4,0),"")</f>
        <v/>
      </c>
      <c r="AM83" s="114" t="str">
        <f>_xlfn.IFNA(VLOOKUP($AI83,Programma!$F$3:$J$1101,5,0),"")</f>
        <v/>
      </c>
      <c r="AN83" s="114" t="str">
        <f>_xlfn.IFNA(VLOOKUP($AI83,Programma!$F$3:$K$1101,6,0),"")</f>
        <v/>
      </c>
      <c r="AO83" s="114" t="str">
        <f>_xlfn.IFNA(VLOOKUP($AI83,Programma!$F$3:$L$1101,7,0),"")</f>
        <v/>
      </c>
      <c r="AP83" s="114" t="str">
        <f>_xlfn.IFNA(VLOOKUP($AI83,Programma!$F$3:$M$1101,8,0),"")</f>
        <v/>
      </c>
      <c r="AQ83" s="114" t="str">
        <f>_xlfn.IFNA(VLOOKUP($AI83,Programma!$F$3:$N$1101,9,0),"")</f>
        <v/>
      </c>
      <c r="AR83" s="114" t="str">
        <f>_xlfn.IFNA(VLOOKUP($AI83,Programma!$F$3:$O$1101,10,0),"")</f>
        <v/>
      </c>
      <c r="AS83" s="114" t="str">
        <f>_xlfn.IFNA(VLOOKUP($AI83,Programma!$F$3:$P$1101,11,0),"")</f>
        <v/>
      </c>
      <c r="AT83" s="114" t="str">
        <f>_xlfn.IFNA(VLOOKUP($AI83,Programma!$F$3:$Q$1101,12,0),"")</f>
        <v/>
      </c>
      <c r="AU83" s="114" t="str">
        <f>_xlfn.IFNA(VLOOKUP($AI83,Programma!$F$3:$R$1101,13,0),"")</f>
        <v/>
      </c>
      <c r="AV83" s="114" t="str">
        <f>_xlfn.IFNA(VLOOKUP($AI83,Programma!$F$3:$S$1101,14,0),"")</f>
        <v/>
      </c>
      <c r="AW83" s="114" t="str">
        <f>_xlfn.IFNA(VLOOKUP($AI83,Programma!$F$3:$T$1101,15,0),"")</f>
        <v/>
      </c>
      <c r="AX83" s="114" t="str">
        <f>_xlfn.IFNA(VLOOKUP($AI83,Programma!$F$3:$U$1101,16,0),"")</f>
        <v/>
      </c>
      <c r="AY83" s="114" t="str">
        <f>_xlfn.IFNA(VLOOKUP($AI83,Programma!$F$3:$V$1101,17,0),"")</f>
        <v/>
      </c>
      <c r="AZ83" s="114" t="str">
        <f>_xlfn.IFNA(VLOOKUP($AI83,Programma!$F$3:$W$1101,18,0),"")</f>
        <v/>
      </c>
      <c r="BA83" s="114" t="str">
        <f>_xlfn.IFNA(VLOOKUP($AI83,Programma!$F$3:$X$1101,19,0),"")</f>
        <v/>
      </c>
      <c r="BB83" s="114" t="str">
        <f>_xlfn.IFNA(VLOOKUP($AI83,Programma!$F$3:$Y$1101,20,0),"")</f>
        <v/>
      </c>
      <c r="BC83" s="111"/>
      <c r="BD83" s="110" t="str">
        <f>IF(Ruimtestaat[[#This Row],[Frequentie weekend]]="","",_xlfn.CONCAT(Ruimtestaat[[#This Row],[Ruimte code]],"-",Ruimtestaat[[#This Row],[Frequentie weekend]]," ",Ruimtestaat[[#This Row],[Vloer code]]))</f>
        <v/>
      </c>
      <c r="BE83" s="114" t="str">
        <f>_xlfn.IFNA(VLOOKUP($BD83,Programma!$F$3:$G$1101,2,0),"")</f>
        <v/>
      </c>
      <c r="BF83" s="114" t="str">
        <f>_xlfn.IFNA(VLOOKUP($BD83,Programma!$F$3:$H$1101,3,0),"")</f>
        <v/>
      </c>
      <c r="BG83" s="114" t="str">
        <f>_xlfn.IFNA(VLOOKUP($BD83,Programma!$F$3:$I$1101,4,0),"")</f>
        <v/>
      </c>
      <c r="BH83" s="114" t="str">
        <f>_xlfn.IFNA(VLOOKUP($BD83,Programma!$F$3:$J$1101,5,0),"")</f>
        <v/>
      </c>
      <c r="BI83" s="114" t="str">
        <f>_xlfn.IFNA(VLOOKUP($BD83,Programma!$F$3:$K$1101,6,0),"")</f>
        <v/>
      </c>
      <c r="BJ83" s="114" t="str">
        <f>_xlfn.IFNA(VLOOKUP($BD83,Programma!$F$3:$L$1101,7,0),"")</f>
        <v/>
      </c>
      <c r="BK83" s="114" t="str">
        <f>_xlfn.IFNA(VLOOKUP($BD83,Programma!$F$3:$M$1101,8,0),"")</f>
        <v/>
      </c>
      <c r="BL83" s="114" t="str">
        <f>_xlfn.IFNA(VLOOKUP($BD83,Programma!$F$3:$N$1101,9,0),"")</f>
        <v/>
      </c>
      <c r="BM83" s="114" t="str">
        <f>_xlfn.IFNA(VLOOKUP($BD83,Programma!$F$3:$O$1101,10,0),"")</f>
        <v/>
      </c>
      <c r="BN83" s="114" t="str">
        <f>_xlfn.IFNA(VLOOKUP($BD83,Programma!$F$3:$P$1101,11,0),"")</f>
        <v/>
      </c>
      <c r="BO83" s="114" t="str">
        <f>_xlfn.IFNA(VLOOKUP($BD83,Programma!$F$3:$Q$1101,12,0),"")</f>
        <v/>
      </c>
      <c r="BP83" s="114" t="str">
        <f>_xlfn.IFNA(VLOOKUP($BD83,Programma!$F$3:$R$1101,13,0),"")</f>
        <v/>
      </c>
      <c r="BQ83" s="114" t="str">
        <f>_xlfn.IFNA(VLOOKUP($BD83,Programma!$F$3:$S$1101,14,0),"")</f>
        <v/>
      </c>
      <c r="BR83" s="114" t="str">
        <f>_xlfn.IFNA(VLOOKUP($BD83,Programma!$F$3:$T$1101,15,0),"")</f>
        <v/>
      </c>
      <c r="BS83" s="114" t="str">
        <f>_xlfn.IFNA(VLOOKUP($BD83,Programma!$F$3:$U$1101,16,0),"")</f>
        <v/>
      </c>
      <c r="BT83" s="114" t="str">
        <f>_xlfn.IFNA(VLOOKUP($BD83,Programma!$F$3:$V$1101,17,0),"")</f>
        <v/>
      </c>
      <c r="BU83" s="114" t="str">
        <f>_xlfn.IFNA(VLOOKUP($BD83,Programma!$F$3:$W$1101,18,0),"")</f>
        <v/>
      </c>
      <c r="BV83" s="114" t="str">
        <f>_xlfn.IFNA(VLOOKUP($BD83,Programma!$F$3:$X$1101,19,0),"")</f>
        <v/>
      </c>
      <c r="BW83" s="114" t="str">
        <f>_xlfn.IFNA(VLOOKUP($BD83,Programma!$F$3:$Y$1101,20,0),"")</f>
        <v/>
      </c>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row>
    <row r="84" spans="1:220" ht="15" customHeight="1">
      <c r="A84" s="31">
        <v>2</v>
      </c>
      <c r="B84" s="105" t="str">
        <f>VLOOKUP(Ruimtestaat[[#This Row],[Code]],Locaties[[Code]:[Locatie]],2,FALSE)</f>
        <v>IKC De Hoge Hoeve</v>
      </c>
      <c r="C84" s="105" t="str">
        <f>VLOOKUP(Ruimtestaat[[#This Row],[Code]],Locaties[[#All],[Code]:[Adres]],4,FALSE)</f>
        <v>De Hoge Hoeve 70</v>
      </c>
      <c r="D84" s="105" t="str">
        <f>VLOOKUP(Ruimtestaat[[#This Row],[Code]],Locaties[[#All],[Code]:[Postcode]],5,FALSE)</f>
        <v>6932 DJ</v>
      </c>
      <c r="E84" s="105" t="str">
        <f>VLOOKUP(Ruimtestaat[[#This Row],[Code]],Locaties[#All],6,FALSE)</f>
        <v>Westervoort</v>
      </c>
      <c r="F84" s="73"/>
      <c r="G84" s="73" t="s">
        <v>1645</v>
      </c>
      <c r="H84" s="271" t="s">
        <v>1691</v>
      </c>
      <c r="I84" s="273" t="s">
        <v>1671</v>
      </c>
      <c r="J84" s="31">
        <v>2</v>
      </c>
      <c r="K84" s="113" t="str">
        <f>VLOOKUP(Ruimtestaat[[#This Row],[Ruimte code]],Ruimtegroepen[[#All],[Code]:[Ruimte omschrijving]],2,FALSE)</f>
        <v>Kantoren</v>
      </c>
      <c r="L84" s="73" t="s">
        <v>102</v>
      </c>
      <c r="M84" s="273" t="s">
        <v>120</v>
      </c>
      <c r="N84" s="106"/>
      <c r="O84" s="73"/>
      <c r="P84" s="106">
        <v>11</v>
      </c>
      <c r="Q84" s="107" t="str">
        <f>VLOOKUP(Ruimtestaat[[#This Row],[Ruimte code]],Ruimtegroepen[],4,FALSE)</f>
        <v>Bu</v>
      </c>
      <c r="R84" s="73"/>
      <c r="S84" s="73"/>
      <c r="T84" s="73">
        <f>IF(R84&gt;0,IF(RIGHT(Ruimtestaat[[#This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4" s="73">
        <f>IF(T84&gt;0,VLOOKUP($J84,Ruimtegroepen[],3,FALSE)*VLOOKUP($L84,Vloersoorten[],3,FALSE)*VLOOKUP($S84,Frequenties[],3,FALSE)*VLOOKUP($A84,Locaties[],3,FALSE),0)</f>
        <v>0</v>
      </c>
      <c r="V84" s="73">
        <f>Ruimtestaat[[#This Row],[Uitvoeringen werkdagen]]*Ruimtestaat[[#This Row],[Oppervlak (netto)]]</f>
        <v>0</v>
      </c>
      <c r="W84" s="108">
        <f>IF(U84&gt;0,Ruimtestaat[[#This Row],[Prest. (m2 /jaar) werkdagen]]/Ruimtestaat[[#This Row],[Norm (m2/uur) werkdagen]],0)</f>
        <v>0</v>
      </c>
      <c r="X84" s="109">
        <f>Ruimtestaat[[#This Row],[uren / jaar werkdagen]]*Tariefsopbouw!$E$35</f>
        <v>0</v>
      </c>
      <c r="Y84" s="73"/>
      <c r="Z84" s="73">
        <f>IF(Ruimtestaat[[#This Row],[Frequentie weekend]]&gt;0,VALUE(LEFT(Y84,1))*R84,0)</f>
        <v>0</v>
      </c>
      <c r="AA84" s="72">
        <f>IF($Z84&gt;0,VLOOKUP($J84,Ruimtegroepen[],3,FALSE)*VLOOKUP($L84,Vloersoorten[],3,FALSE)*VLOOKUP($Y84,Frequenties[],3,FALSE)*VLOOKUP(Ruimtestaat[[#This Row],[Code]],Locaties[],3,FALSE),0)</f>
        <v>0</v>
      </c>
      <c r="AB84" s="72">
        <f>Ruimtestaat[[#This Row],[Uitvoeringen weekend]]*Ruimtestaat[[#This Row],[Oppervlak (netto)]]</f>
        <v>0</v>
      </c>
      <c r="AC84" s="72">
        <f>IF(AA84&gt;0,Ruimtestaat[[#This Row],[Prest. (m2 /jaar) weekend]]/Ruimtestaat[[#This Row],[Norm (m2/uur) weekend]],0)</f>
        <v>0</v>
      </c>
      <c r="AD84" s="109">
        <f>Ruimtestaat[[#This Row],[uren / jaar weekend]]*Tariefsopbouw!$D$40</f>
        <v>0</v>
      </c>
      <c r="AE84" s="108">
        <f>Ruimtestaat[[#This Row],[Prest. (m2 /jaar) weekend]]+Ruimtestaat[[#This Row],[Prest. (m2 /jaar) werkdagen]]</f>
        <v>0</v>
      </c>
      <c r="AF84" s="108">
        <f>Ruimtestaat[[#This Row],[uren / jaar weekend]]+Ruimtestaat[[#This Row],[uren / jaar werkdagen]]</f>
        <v>0</v>
      </c>
      <c r="AG84" s="103">
        <f>Ruimtestaat[[#This Row],[kosten / jaar weekend]]+Ruimtestaat[[#This Row],[kosten / jaar werkdagen]]</f>
        <v>0</v>
      </c>
      <c r="AH84" s="103"/>
      <c r="AI84" s="110" t="str">
        <f>IF(Ruimtestaat[[#This Row],[Frequentie werkdagen]]="","",_xlfn.CONCAT(Ruimtestaat[[#This Row],[Ruimte code]],"-",Ruimtestaat[[#This Row],[Frequentie werkdagen]]," ",Ruimtestaat[[#This Row],[Vloer code]]))</f>
        <v/>
      </c>
      <c r="AJ84" s="114" t="str">
        <f>_xlfn.IFNA(VLOOKUP($AI84,Programma!$F$3:$G$1101,2,0),"")</f>
        <v/>
      </c>
      <c r="AK84" s="114" t="str">
        <f>_xlfn.IFNA(VLOOKUP($AI84,Programma!$F$3:$H$1101,3,0),"")</f>
        <v/>
      </c>
      <c r="AL84" s="114" t="str">
        <f>_xlfn.IFNA(VLOOKUP($AI84,Programma!$F$3:$I$1101,4,0),"")</f>
        <v/>
      </c>
      <c r="AM84" s="114" t="str">
        <f>_xlfn.IFNA(VLOOKUP($AI84,Programma!$F$3:$J$1101,5,0),"")</f>
        <v/>
      </c>
      <c r="AN84" s="114" t="str">
        <f>_xlfn.IFNA(VLOOKUP($AI84,Programma!$F$3:$K$1101,6,0),"")</f>
        <v/>
      </c>
      <c r="AO84" s="114" t="str">
        <f>_xlfn.IFNA(VLOOKUP($AI84,Programma!$F$3:$L$1101,7,0),"")</f>
        <v/>
      </c>
      <c r="AP84" s="114" t="str">
        <f>_xlfn.IFNA(VLOOKUP($AI84,Programma!$F$3:$M$1101,8,0),"")</f>
        <v/>
      </c>
      <c r="AQ84" s="114" t="str">
        <f>_xlfn.IFNA(VLOOKUP($AI84,Programma!$F$3:$N$1101,9,0),"")</f>
        <v/>
      </c>
      <c r="AR84" s="114" t="str">
        <f>_xlfn.IFNA(VLOOKUP($AI84,Programma!$F$3:$O$1101,10,0),"")</f>
        <v/>
      </c>
      <c r="AS84" s="114" t="str">
        <f>_xlfn.IFNA(VLOOKUP($AI84,Programma!$F$3:$P$1101,11,0),"")</f>
        <v/>
      </c>
      <c r="AT84" s="114" t="str">
        <f>_xlfn.IFNA(VLOOKUP($AI84,Programma!$F$3:$Q$1101,12,0),"")</f>
        <v/>
      </c>
      <c r="AU84" s="114" t="str">
        <f>_xlfn.IFNA(VLOOKUP($AI84,Programma!$F$3:$R$1101,13,0),"")</f>
        <v/>
      </c>
      <c r="AV84" s="114" t="str">
        <f>_xlfn.IFNA(VLOOKUP($AI84,Programma!$F$3:$S$1101,14,0),"")</f>
        <v/>
      </c>
      <c r="AW84" s="114" t="str">
        <f>_xlfn.IFNA(VLOOKUP($AI84,Programma!$F$3:$T$1101,15,0),"")</f>
        <v/>
      </c>
      <c r="AX84" s="114" t="str">
        <f>_xlfn.IFNA(VLOOKUP($AI84,Programma!$F$3:$U$1101,16,0),"")</f>
        <v/>
      </c>
      <c r="AY84" s="114" t="str">
        <f>_xlfn.IFNA(VLOOKUP($AI84,Programma!$F$3:$V$1101,17,0),"")</f>
        <v/>
      </c>
      <c r="AZ84" s="114" t="str">
        <f>_xlfn.IFNA(VLOOKUP($AI84,Programma!$F$3:$W$1101,18,0),"")</f>
        <v/>
      </c>
      <c r="BA84" s="114" t="str">
        <f>_xlfn.IFNA(VLOOKUP($AI84,Programma!$F$3:$X$1101,19,0),"")</f>
        <v/>
      </c>
      <c r="BB84" s="114" t="str">
        <f>_xlfn.IFNA(VLOOKUP($AI84,Programma!$F$3:$Y$1101,20,0),"")</f>
        <v/>
      </c>
      <c r="BC84" s="111"/>
      <c r="BD84" s="110" t="str">
        <f>IF(Ruimtestaat[[#This Row],[Frequentie weekend]]="","",_xlfn.CONCAT(Ruimtestaat[[#This Row],[Ruimte code]],"-",Ruimtestaat[[#This Row],[Frequentie weekend]]," ",Ruimtestaat[[#This Row],[Vloer code]]))</f>
        <v/>
      </c>
      <c r="BE84" s="114" t="str">
        <f>_xlfn.IFNA(VLOOKUP($BD84,Programma!$F$3:$G$1101,2,0),"")</f>
        <v/>
      </c>
      <c r="BF84" s="114" t="str">
        <f>_xlfn.IFNA(VLOOKUP($BD84,Programma!$F$3:$H$1101,3,0),"")</f>
        <v/>
      </c>
      <c r="BG84" s="114" t="str">
        <f>_xlfn.IFNA(VLOOKUP($BD84,Programma!$F$3:$I$1101,4,0),"")</f>
        <v/>
      </c>
      <c r="BH84" s="114" t="str">
        <f>_xlfn.IFNA(VLOOKUP($BD84,Programma!$F$3:$J$1101,5,0),"")</f>
        <v/>
      </c>
      <c r="BI84" s="114" t="str">
        <f>_xlfn.IFNA(VLOOKUP($BD84,Programma!$F$3:$K$1101,6,0),"")</f>
        <v/>
      </c>
      <c r="BJ84" s="114" t="str">
        <f>_xlfn.IFNA(VLOOKUP($BD84,Programma!$F$3:$L$1101,7,0),"")</f>
        <v/>
      </c>
      <c r="BK84" s="114" t="str">
        <f>_xlfn.IFNA(VLOOKUP($BD84,Programma!$F$3:$M$1101,8,0),"")</f>
        <v/>
      </c>
      <c r="BL84" s="114" t="str">
        <f>_xlfn.IFNA(VLOOKUP($BD84,Programma!$F$3:$N$1101,9,0),"")</f>
        <v/>
      </c>
      <c r="BM84" s="114" t="str">
        <f>_xlfn.IFNA(VLOOKUP($BD84,Programma!$F$3:$O$1101,10,0),"")</f>
        <v/>
      </c>
      <c r="BN84" s="114" t="str">
        <f>_xlfn.IFNA(VLOOKUP($BD84,Programma!$F$3:$P$1101,11,0),"")</f>
        <v/>
      </c>
      <c r="BO84" s="114" t="str">
        <f>_xlfn.IFNA(VLOOKUP($BD84,Programma!$F$3:$Q$1101,12,0),"")</f>
        <v/>
      </c>
      <c r="BP84" s="114" t="str">
        <f>_xlfn.IFNA(VLOOKUP($BD84,Programma!$F$3:$R$1101,13,0),"")</f>
        <v/>
      </c>
      <c r="BQ84" s="114" t="str">
        <f>_xlfn.IFNA(VLOOKUP($BD84,Programma!$F$3:$S$1101,14,0),"")</f>
        <v/>
      </c>
      <c r="BR84" s="114" t="str">
        <f>_xlfn.IFNA(VLOOKUP($BD84,Programma!$F$3:$T$1101,15,0),"")</f>
        <v/>
      </c>
      <c r="BS84" s="114" t="str">
        <f>_xlfn.IFNA(VLOOKUP($BD84,Programma!$F$3:$U$1101,16,0),"")</f>
        <v/>
      </c>
      <c r="BT84" s="114" t="str">
        <f>_xlfn.IFNA(VLOOKUP($BD84,Programma!$F$3:$V$1101,17,0),"")</f>
        <v/>
      </c>
      <c r="BU84" s="114" t="str">
        <f>_xlfn.IFNA(VLOOKUP($BD84,Programma!$F$3:$W$1101,18,0),"")</f>
        <v/>
      </c>
      <c r="BV84" s="114" t="str">
        <f>_xlfn.IFNA(VLOOKUP($BD84,Programma!$F$3:$X$1101,19,0),"")</f>
        <v/>
      </c>
      <c r="BW84" s="114" t="str">
        <f>_xlfn.IFNA(VLOOKUP($BD84,Programma!$F$3:$Y$1101,20,0),"")</f>
        <v/>
      </c>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c r="HL84" s="28"/>
    </row>
    <row r="85" spans="1:220" ht="15" customHeight="1">
      <c r="A85" s="31">
        <v>2</v>
      </c>
      <c r="B85" s="105" t="str">
        <f>VLOOKUP(Ruimtestaat[[#This Row],[Code]],Locaties[[Code]:[Locatie]],2,FALSE)</f>
        <v>IKC De Hoge Hoeve</v>
      </c>
      <c r="C85" s="105" t="str">
        <f>VLOOKUP(Ruimtestaat[[#This Row],[Code]],Locaties[[#All],[Code]:[Adres]],4,FALSE)</f>
        <v>De Hoge Hoeve 70</v>
      </c>
      <c r="D85" s="105" t="str">
        <f>VLOOKUP(Ruimtestaat[[#This Row],[Code]],Locaties[[#All],[Code]:[Postcode]],5,FALSE)</f>
        <v>6932 DJ</v>
      </c>
      <c r="E85" s="105" t="str">
        <f>VLOOKUP(Ruimtestaat[[#This Row],[Code]],Locaties[#All],6,FALSE)</f>
        <v>Westervoort</v>
      </c>
      <c r="F85" s="73"/>
      <c r="G85" s="73" t="s">
        <v>1645</v>
      </c>
      <c r="H85" s="271" t="s">
        <v>1692</v>
      </c>
      <c r="I85" s="273" t="s">
        <v>1732</v>
      </c>
      <c r="J85" s="31">
        <v>1</v>
      </c>
      <c r="K85" s="113" t="str">
        <f>VLOOKUP(Ruimtestaat[[#This Row],[Ruimte code]],Ruimtegroepen[[#All],[Code]:[Ruimte omschrijving]],2,FALSE)</f>
        <v>Magazijnen/bergingen</v>
      </c>
      <c r="L85" s="73" t="s">
        <v>102</v>
      </c>
      <c r="M85" s="273" t="s">
        <v>120</v>
      </c>
      <c r="N85" s="106"/>
      <c r="O85" s="112"/>
      <c r="P85" s="106">
        <v>4</v>
      </c>
      <c r="Q85" s="107" t="str">
        <f>VLOOKUP(Ruimtestaat[[#This Row],[Ruimte code]],Ruimtegroepen[],4,FALSE)</f>
        <v>Ve</v>
      </c>
      <c r="R85" s="73"/>
      <c r="S85" s="73"/>
      <c r="T85" s="73">
        <f>IF(R85&gt;0,IF(RIGHT(Ruimtestaat[[#This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5" s="73">
        <f>IF(T85&gt;0,VLOOKUP($J85,Ruimtegroepen[],3,FALSE)*VLOOKUP($L85,Vloersoorten[],3,FALSE)*VLOOKUP($S85,Frequenties[],3,FALSE)*VLOOKUP($A85,Locaties[],3,FALSE),0)</f>
        <v>0</v>
      </c>
      <c r="V85" s="73">
        <f>Ruimtestaat[[#This Row],[Uitvoeringen werkdagen]]*Ruimtestaat[[#This Row],[Oppervlak (netto)]]</f>
        <v>0</v>
      </c>
      <c r="W85" s="108">
        <f>IF(U85&gt;0,Ruimtestaat[[#This Row],[Prest. (m2 /jaar) werkdagen]]/Ruimtestaat[[#This Row],[Norm (m2/uur) werkdagen]],0)</f>
        <v>0</v>
      </c>
      <c r="X85" s="109">
        <f>Ruimtestaat[[#This Row],[uren / jaar werkdagen]]*Tariefsopbouw!$E$35</f>
        <v>0</v>
      </c>
      <c r="Y85" s="73"/>
      <c r="Z85" s="73">
        <f>IF(Ruimtestaat[[#This Row],[Frequentie weekend]]&gt;0,VALUE(LEFT(Y85,1))*R85,0)</f>
        <v>0</v>
      </c>
      <c r="AA85" s="72">
        <f>IF($Z85&gt;0,VLOOKUP($J85,Ruimtegroepen[],3,FALSE)*VLOOKUP($L85,Vloersoorten[],3,FALSE)*VLOOKUP($Y85,Frequenties[],3,FALSE)*VLOOKUP(Ruimtestaat[[#This Row],[Code]],Locaties[],3,FALSE),0)</f>
        <v>0</v>
      </c>
      <c r="AB85" s="72">
        <f>Ruimtestaat[[#This Row],[Uitvoeringen weekend]]*Ruimtestaat[[#This Row],[Oppervlak (netto)]]</f>
        <v>0</v>
      </c>
      <c r="AC85" s="72">
        <f>IF(AA85&gt;0,Ruimtestaat[[#This Row],[Prest. (m2 /jaar) weekend]]/Ruimtestaat[[#This Row],[Norm (m2/uur) weekend]],0)</f>
        <v>0</v>
      </c>
      <c r="AD85" s="109">
        <f>Ruimtestaat[[#This Row],[uren / jaar weekend]]*Tariefsopbouw!$D$40</f>
        <v>0</v>
      </c>
      <c r="AE85" s="108">
        <f>Ruimtestaat[[#This Row],[Prest. (m2 /jaar) weekend]]+Ruimtestaat[[#This Row],[Prest. (m2 /jaar) werkdagen]]</f>
        <v>0</v>
      </c>
      <c r="AF85" s="108">
        <f>Ruimtestaat[[#This Row],[uren / jaar weekend]]+Ruimtestaat[[#This Row],[uren / jaar werkdagen]]</f>
        <v>0</v>
      </c>
      <c r="AG85" s="103">
        <f>Ruimtestaat[[#This Row],[kosten / jaar weekend]]+Ruimtestaat[[#This Row],[kosten / jaar werkdagen]]</f>
        <v>0</v>
      </c>
      <c r="AH85" s="103"/>
      <c r="AI85" s="110" t="str">
        <f>IF(Ruimtestaat[[#This Row],[Frequentie werkdagen]]="","",_xlfn.CONCAT(Ruimtestaat[[#This Row],[Ruimte code]],"-",Ruimtestaat[[#This Row],[Frequentie werkdagen]]," ",Ruimtestaat[[#This Row],[Vloer code]]))</f>
        <v/>
      </c>
      <c r="AJ85" s="114" t="str">
        <f>_xlfn.IFNA(VLOOKUP($AI85,Programma!$F$3:$G$1101,2,0),"")</f>
        <v/>
      </c>
      <c r="AK85" s="114" t="str">
        <f>_xlfn.IFNA(VLOOKUP($AI85,Programma!$F$3:$H$1101,3,0),"")</f>
        <v/>
      </c>
      <c r="AL85" s="114" t="str">
        <f>_xlfn.IFNA(VLOOKUP($AI85,Programma!$F$3:$I$1101,4,0),"")</f>
        <v/>
      </c>
      <c r="AM85" s="114" t="str">
        <f>_xlfn.IFNA(VLOOKUP($AI85,Programma!$F$3:$J$1101,5,0),"")</f>
        <v/>
      </c>
      <c r="AN85" s="114" t="str">
        <f>_xlfn.IFNA(VLOOKUP($AI85,Programma!$F$3:$K$1101,6,0),"")</f>
        <v/>
      </c>
      <c r="AO85" s="114" t="str">
        <f>_xlfn.IFNA(VLOOKUP($AI85,Programma!$F$3:$L$1101,7,0),"")</f>
        <v/>
      </c>
      <c r="AP85" s="114" t="str">
        <f>_xlfn.IFNA(VLOOKUP($AI85,Programma!$F$3:$M$1101,8,0),"")</f>
        <v/>
      </c>
      <c r="AQ85" s="114" t="str">
        <f>_xlfn.IFNA(VLOOKUP($AI85,Programma!$F$3:$N$1101,9,0),"")</f>
        <v/>
      </c>
      <c r="AR85" s="114" t="str">
        <f>_xlfn.IFNA(VLOOKUP($AI85,Programma!$F$3:$O$1101,10,0),"")</f>
        <v/>
      </c>
      <c r="AS85" s="114" t="str">
        <f>_xlfn.IFNA(VLOOKUP($AI85,Programma!$F$3:$P$1101,11,0),"")</f>
        <v/>
      </c>
      <c r="AT85" s="114" t="str">
        <f>_xlfn.IFNA(VLOOKUP($AI85,Programma!$F$3:$Q$1101,12,0),"")</f>
        <v/>
      </c>
      <c r="AU85" s="114" t="str">
        <f>_xlfn.IFNA(VLOOKUP($AI85,Programma!$F$3:$R$1101,13,0),"")</f>
        <v/>
      </c>
      <c r="AV85" s="114" t="str">
        <f>_xlfn.IFNA(VLOOKUP($AI85,Programma!$F$3:$S$1101,14,0),"")</f>
        <v/>
      </c>
      <c r="AW85" s="114" t="str">
        <f>_xlfn.IFNA(VLOOKUP($AI85,Programma!$F$3:$T$1101,15,0),"")</f>
        <v/>
      </c>
      <c r="AX85" s="114" t="str">
        <f>_xlfn.IFNA(VLOOKUP($AI85,Programma!$F$3:$U$1101,16,0),"")</f>
        <v/>
      </c>
      <c r="AY85" s="114" t="str">
        <f>_xlfn.IFNA(VLOOKUP($AI85,Programma!$F$3:$V$1101,17,0),"")</f>
        <v/>
      </c>
      <c r="AZ85" s="114" t="str">
        <f>_xlfn.IFNA(VLOOKUP($AI85,Programma!$F$3:$W$1101,18,0),"")</f>
        <v/>
      </c>
      <c r="BA85" s="114" t="str">
        <f>_xlfn.IFNA(VLOOKUP($AI85,Programma!$F$3:$X$1101,19,0),"")</f>
        <v/>
      </c>
      <c r="BB85" s="114" t="str">
        <f>_xlfn.IFNA(VLOOKUP($AI85,Programma!$F$3:$Y$1101,20,0),"")</f>
        <v/>
      </c>
      <c r="BC85" s="111"/>
      <c r="BD85" s="110" t="str">
        <f>IF(Ruimtestaat[[#This Row],[Frequentie weekend]]="","",_xlfn.CONCAT(Ruimtestaat[[#This Row],[Ruimte code]],"-",Ruimtestaat[[#This Row],[Frequentie weekend]]," ",Ruimtestaat[[#This Row],[Vloer code]]))</f>
        <v/>
      </c>
      <c r="BE85" s="114" t="str">
        <f>_xlfn.IFNA(VLOOKUP($BD85,Programma!$F$3:$G$1101,2,0),"")</f>
        <v/>
      </c>
      <c r="BF85" s="114" t="str">
        <f>_xlfn.IFNA(VLOOKUP($BD85,Programma!$F$3:$H$1101,3,0),"")</f>
        <v/>
      </c>
      <c r="BG85" s="114" t="str">
        <f>_xlfn.IFNA(VLOOKUP($BD85,Programma!$F$3:$I$1101,4,0),"")</f>
        <v/>
      </c>
      <c r="BH85" s="114" t="str">
        <f>_xlfn.IFNA(VLOOKUP($BD85,Programma!$F$3:$J$1101,5,0),"")</f>
        <v/>
      </c>
      <c r="BI85" s="114" t="str">
        <f>_xlfn.IFNA(VLOOKUP($BD85,Programma!$F$3:$K$1101,6,0),"")</f>
        <v/>
      </c>
      <c r="BJ85" s="114" t="str">
        <f>_xlfn.IFNA(VLOOKUP($BD85,Programma!$F$3:$L$1101,7,0),"")</f>
        <v/>
      </c>
      <c r="BK85" s="114" t="str">
        <f>_xlfn.IFNA(VLOOKUP($BD85,Programma!$F$3:$M$1101,8,0),"")</f>
        <v/>
      </c>
      <c r="BL85" s="114" t="str">
        <f>_xlfn.IFNA(VLOOKUP($BD85,Programma!$F$3:$N$1101,9,0),"")</f>
        <v/>
      </c>
      <c r="BM85" s="114" t="str">
        <f>_xlfn.IFNA(VLOOKUP($BD85,Programma!$F$3:$O$1101,10,0),"")</f>
        <v/>
      </c>
      <c r="BN85" s="114" t="str">
        <f>_xlfn.IFNA(VLOOKUP($BD85,Programma!$F$3:$P$1101,11,0),"")</f>
        <v/>
      </c>
      <c r="BO85" s="114" t="str">
        <f>_xlfn.IFNA(VLOOKUP($BD85,Programma!$F$3:$Q$1101,12,0),"")</f>
        <v/>
      </c>
      <c r="BP85" s="114" t="str">
        <f>_xlfn.IFNA(VLOOKUP($BD85,Programma!$F$3:$R$1101,13,0),"")</f>
        <v/>
      </c>
      <c r="BQ85" s="114" t="str">
        <f>_xlfn.IFNA(VLOOKUP($BD85,Programma!$F$3:$S$1101,14,0),"")</f>
        <v/>
      </c>
      <c r="BR85" s="114" t="str">
        <f>_xlfn.IFNA(VLOOKUP($BD85,Programma!$F$3:$T$1101,15,0),"")</f>
        <v/>
      </c>
      <c r="BS85" s="114" t="str">
        <f>_xlfn.IFNA(VLOOKUP($BD85,Programma!$F$3:$U$1101,16,0),"")</f>
        <v/>
      </c>
      <c r="BT85" s="114" t="str">
        <f>_xlfn.IFNA(VLOOKUP($BD85,Programma!$F$3:$V$1101,17,0),"")</f>
        <v/>
      </c>
      <c r="BU85" s="114" t="str">
        <f>_xlfn.IFNA(VLOOKUP($BD85,Programma!$F$3:$W$1101,18,0),"")</f>
        <v/>
      </c>
      <c r="BV85" s="114" t="str">
        <f>_xlfn.IFNA(VLOOKUP($BD85,Programma!$F$3:$X$1101,19,0),"")</f>
        <v/>
      </c>
      <c r="BW85" s="114" t="str">
        <f>_xlfn.IFNA(VLOOKUP($BD85,Programma!$F$3:$Y$1101,20,0),"")</f>
        <v/>
      </c>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row>
    <row r="86" spans="1:220" ht="15" customHeight="1">
      <c r="A86" s="31">
        <v>2</v>
      </c>
      <c r="B86" s="105" t="str">
        <f>VLOOKUP(Ruimtestaat[[#This Row],[Code]],Locaties[[Code]:[Locatie]],2,FALSE)</f>
        <v>IKC De Hoge Hoeve</v>
      </c>
      <c r="C86" s="105" t="str">
        <f>VLOOKUP(Ruimtestaat[[#This Row],[Code]],Locaties[[#All],[Code]:[Adres]],4,FALSE)</f>
        <v>De Hoge Hoeve 70</v>
      </c>
      <c r="D86" s="105" t="str">
        <f>VLOOKUP(Ruimtestaat[[#This Row],[Code]],Locaties[[#All],[Code]:[Postcode]],5,FALSE)</f>
        <v>6932 DJ</v>
      </c>
      <c r="E86" s="105" t="str">
        <f>VLOOKUP(Ruimtestaat[[#This Row],[Code]],Locaties[#All],6,FALSE)</f>
        <v>Westervoort</v>
      </c>
      <c r="F86" s="73"/>
      <c r="G86" s="73" t="s">
        <v>1645</v>
      </c>
      <c r="H86" s="271" t="s">
        <v>1693</v>
      </c>
      <c r="I86" s="273" t="s">
        <v>1723</v>
      </c>
      <c r="J86" s="73">
        <v>5</v>
      </c>
      <c r="K86" s="113" t="str">
        <f>VLOOKUP(Ruimtestaat[[#This Row],[Ruimte code]],Ruimtegroepen[[#All],[Code]:[Ruimte omschrijving]],2,FALSE)</f>
        <v>Sanitair</v>
      </c>
      <c r="L86" s="73" t="s">
        <v>102</v>
      </c>
      <c r="M86" s="273" t="s">
        <v>120</v>
      </c>
      <c r="N86" s="106"/>
      <c r="O86" s="112"/>
      <c r="P86" s="106">
        <v>6</v>
      </c>
      <c r="Q86" s="107" t="str">
        <f>VLOOKUP(Ruimtestaat[[#This Row],[Ruimte code]],Ruimtegroepen[],4,FALSE)</f>
        <v>Sa</v>
      </c>
      <c r="R86" s="73"/>
      <c r="S86" s="73"/>
      <c r="T86" s="73">
        <f>IF(R86&gt;0,IF(RIGHT(Ruimtestaat[[#This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6" s="73">
        <f>IF(T86&gt;0,VLOOKUP($J86,Ruimtegroepen[],3,FALSE)*VLOOKUP($L86,Vloersoorten[],3,FALSE)*VLOOKUP($S86,Frequenties[],3,FALSE)*VLOOKUP($A86,Locaties[],3,FALSE),0)</f>
        <v>0</v>
      </c>
      <c r="V86" s="73">
        <f>Ruimtestaat[[#This Row],[Uitvoeringen werkdagen]]*Ruimtestaat[[#This Row],[Oppervlak (netto)]]</f>
        <v>0</v>
      </c>
      <c r="W86" s="108">
        <f>IF(U86&gt;0,Ruimtestaat[[#This Row],[Prest. (m2 /jaar) werkdagen]]/Ruimtestaat[[#This Row],[Norm (m2/uur) werkdagen]],0)</f>
        <v>0</v>
      </c>
      <c r="X86" s="109">
        <f>Ruimtestaat[[#This Row],[uren / jaar werkdagen]]*Tariefsopbouw!$E$35</f>
        <v>0</v>
      </c>
      <c r="Y86" s="73"/>
      <c r="Z86" s="73">
        <f>IF(Ruimtestaat[[#This Row],[Frequentie weekend]]&gt;0,VALUE(LEFT(Y86,1))*R86,0)</f>
        <v>0</v>
      </c>
      <c r="AA86" s="72">
        <f>IF($Z86&gt;0,VLOOKUP($J86,Ruimtegroepen[],3,FALSE)*VLOOKUP($L86,Vloersoorten[],3,FALSE)*VLOOKUP($Y86,Frequenties[],3,FALSE)*VLOOKUP(Ruimtestaat[[#This Row],[Code]],Locaties[],3,FALSE),0)</f>
        <v>0</v>
      </c>
      <c r="AB86" s="72">
        <f>Ruimtestaat[[#This Row],[Uitvoeringen weekend]]*Ruimtestaat[[#This Row],[Oppervlak (netto)]]</f>
        <v>0</v>
      </c>
      <c r="AC86" s="72">
        <f>IF(AA86&gt;0,Ruimtestaat[[#This Row],[Prest. (m2 /jaar) weekend]]/Ruimtestaat[[#This Row],[Norm (m2/uur) weekend]],0)</f>
        <v>0</v>
      </c>
      <c r="AD86" s="109">
        <f>Ruimtestaat[[#This Row],[uren / jaar weekend]]*Tariefsopbouw!$D$40</f>
        <v>0</v>
      </c>
      <c r="AE86" s="108">
        <f>Ruimtestaat[[#This Row],[Prest. (m2 /jaar) weekend]]+Ruimtestaat[[#This Row],[Prest. (m2 /jaar) werkdagen]]</f>
        <v>0</v>
      </c>
      <c r="AF86" s="108">
        <f>Ruimtestaat[[#This Row],[uren / jaar weekend]]+Ruimtestaat[[#This Row],[uren / jaar werkdagen]]</f>
        <v>0</v>
      </c>
      <c r="AG86" s="103">
        <f>Ruimtestaat[[#This Row],[kosten / jaar weekend]]+Ruimtestaat[[#This Row],[kosten / jaar werkdagen]]</f>
        <v>0</v>
      </c>
      <c r="AH86" s="103"/>
      <c r="AI86" s="110" t="str">
        <f>IF(Ruimtestaat[[#This Row],[Frequentie werkdagen]]="","",_xlfn.CONCAT(Ruimtestaat[[#This Row],[Ruimte code]],"-",Ruimtestaat[[#This Row],[Frequentie werkdagen]]," ",Ruimtestaat[[#This Row],[Vloer code]]))</f>
        <v/>
      </c>
      <c r="AJ86" s="114" t="str">
        <f>_xlfn.IFNA(VLOOKUP($AI86,Programma!$F$3:$G$1101,2,0),"")</f>
        <v/>
      </c>
      <c r="AK86" s="114" t="str">
        <f>_xlfn.IFNA(VLOOKUP($AI86,Programma!$F$3:$H$1101,3,0),"")</f>
        <v/>
      </c>
      <c r="AL86" s="114" t="str">
        <f>_xlfn.IFNA(VLOOKUP($AI86,Programma!$F$3:$I$1101,4,0),"")</f>
        <v/>
      </c>
      <c r="AM86" s="114" t="str">
        <f>_xlfn.IFNA(VLOOKUP($AI86,Programma!$F$3:$J$1101,5,0),"")</f>
        <v/>
      </c>
      <c r="AN86" s="114" t="str">
        <f>_xlfn.IFNA(VLOOKUP($AI86,Programma!$F$3:$K$1101,6,0),"")</f>
        <v/>
      </c>
      <c r="AO86" s="114" t="str">
        <f>_xlfn.IFNA(VLOOKUP($AI86,Programma!$F$3:$L$1101,7,0),"")</f>
        <v/>
      </c>
      <c r="AP86" s="114" t="str">
        <f>_xlfn.IFNA(VLOOKUP($AI86,Programma!$F$3:$M$1101,8,0),"")</f>
        <v/>
      </c>
      <c r="AQ86" s="114" t="str">
        <f>_xlfn.IFNA(VLOOKUP($AI86,Programma!$F$3:$N$1101,9,0),"")</f>
        <v/>
      </c>
      <c r="AR86" s="114" t="str">
        <f>_xlfn.IFNA(VLOOKUP($AI86,Programma!$F$3:$O$1101,10,0),"")</f>
        <v/>
      </c>
      <c r="AS86" s="114" t="str">
        <f>_xlfn.IFNA(VLOOKUP($AI86,Programma!$F$3:$P$1101,11,0),"")</f>
        <v/>
      </c>
      <c r="AT86" s="114" t="str">
        <f>_xlfn.IFNA(VLOOKUP($AI86,Programma!$F$3:$Q$1101,12,0),"")</f>
        <v/>
      </c>
      <c r="AU86" s="114" t="str">
        <f>_xlfn.IFNA(VLOOKUP($AI86,Programma!$F$3:$R$1101,13,0),"")</f>
        <v/>
      </c>
      <c r="AV86" s="114" t="str">
        <f>_xlfn.IFNA(VLOOKUP($AI86,Programma!$F$3:$S$1101,14,0),"")</f>
        <v/>
      </c>
      <c r="AW86" s="114" t="str">
        <f>_xlfn.IFNA(VLOOKUP($AI86,Programma!$F$3:$T$1101,15,0),"")</f>
        <v/>
      </c>
      <c r="AX86" s="114" t="str">
        <f>_xlfn.IFNA(VLOOKUP($AI86,Programma!$F$3:$U$1101,16,0),"")</f>
        <v/>
      </c>
      <c r="AY86" s="114" t="str">
        <f>_xlfn.IFNA(VLOOKUP($AI86,Programma!$F$3:$V$1101,17,0),"")</f>
        <v/>
      </c>
      <c r="AZ86" s="114" t="str">
        <f>_xlfn.IFNA(VLOOKUP($AI86,Programma!$F$3:$W$1101,18,0),"")</f>
        <v/>
      </c>
      <c r="BA86" s="114" t="str">
        <f>_xlfn.IFNA(VLOOKUP($AI86,Programma!$F$3:$X$1101,19,0),"")</f>
        <v/>
      </c>
      <c r="BB86" s="114" t="str">
        <f>_xlfn.IFNA(VLOOKUP($AI86,Programma!$F$3:$Y$1101,20,0),"")</f>
        <v/>
      </c>
      <c r="BC86" s="111"/>
      <c r="BD86" s="110" t="str">
        <f>IF(Ruimtestaat[[#This Row],[Frequentie weekend]]="","",_xlfn.CONCAT(Ruimtestaat[[#This Row],[Ruimte code]],"-",Ruimtestaat[[#This Row],[Frequentie weekend]]," ",Ruimtestaat[[#This Row],[Vloer code]]))</f>
        <v/>
      </c>
      <c r="BE86" s="114" t="str">
        <f>_xlfn.IFNA(VLOOKUP($BD86,Programma!$F$3:$G$1101,2,0),"")</f>
        <v/>
      </c>
      <c r="BF86" s="114" t="str">
        <f>_xlfn.IFNA(VLOOKUP($BD86,Programma!$F$3:$H$1101,3,0),"")</f>
        <v/>
      </c>
      <c r="BG86" s="114" t="str">
        <f>_xlfn.IFNA(VLOOKUP($BD86,Programma!$F$3:$I$1101,4,0),"")</f>
        <v/>
      </c>
      <c r="BH86" s="114" t="str">
        <f>_xlfn.IFNA(VLOOKUP($BD86,Programma!$F$3:$J$1101,5,0),"")</f>
        <v/>
      </c>
      <c r="BI86" s="114" t="str">
        <f>_xlfn.IFNA(VLOOKUP($BD86,Programma!$F$3:$K$1101,6,0),"")</f>
        <v/>
      </c>
      <c r="BJ86" s="114" t="str">
        <f>_xlfn.IFNA(VLOOKUP($BD86,Programma!$F$3:$L$1101,7,0),"")</f>
        <v/>
      </c>
      <c r="BK86" s="114" t="str">
        <f>_xlfn.IFNA(VLOOKUP($BD86,Programma!$F$3:$M$1101,8,0),"")</f>
        <v/>
      </c>
      <c r="BL86" s="114" t="str">
        <f>_xlfn.IFNA(VLOOKUP($BD86,Programma!$F$3:$N$1101,9,0),"")</f>
        <v/>
      </c>
      <c r="BM86" s="114" t="str">
        <f>_xlfn.IFNA(VLOOKUP($BD86,Programma!$F$3:$O$1101,10,0),"")</f>
        <v/>
      </c>
      <c r="BN86" s="114" t="str">
        <f>_xlfn.IFNA(VLOOKUP($BD86,Programma!$F$3:$P$1101,11,0),"")</f>
        <v/>
      </c>
      <c r="BO86" s="114" t="str">
        <f>_xlfn.IFNA(VLOOKUP($BD86,Programma!$F$3:$Q$1101,12,0),"")</f>
        <v/>
      </c>
      <c r="BP86" s="114" t="str">
        <f>_xlfn.IFNA(VLOOKUP($BD86,Programma!$F$3:$R$1101,13,0),"")</f>
        <v/>
      </c>
      <c r="BQ86" s="114" t="str">
        <f>_xlfn.IFNA(VLOOKUP($BD86,Programma!$F$3:$S$1101,14,0),"")</f>
        <v/>
      </c>
      <c r="BR86" s="114" t="str">
        <f>_xlfn.IFNA(VLOOKUP($BD86,Programma!$F$3:$T$1101,15,0),"")</f>
        <v/>
      </c>
      <c r="BS86" s="114" t="str">
        <f>_xlfn.IFNA(VLOOKUP($BD86,Programma!$F$3:$U$1101,16,0),"")</f>
        <v/>
      </c>
      <c r="BT86" s="114" t="str">
        <f>_xlfn.IFNA(VLOOKUP($BD86,Programma!$F$3:$V$1101,17,0),"")</f>
        <v/>
      </c>
      <c r="BU86" s="114" t="str">
        <f>_xlfn.IFNA(VLOOKUP($BD86,Programma!$F$3:$W$1101,18,0),"")</f>
        <v/>
      </c>
      <c r="BV86" s="114" t="str">
        <f>_xlfn.IFNA(VLOOKUP($BD86,Programma!$F$3:$X$1101,19,0),"")</f>
        <v/>
      </c>
      <c r="BW86" s="114" t="str">
        <f>_xlfn.IFNA(VLOOKUP($BD86,Programma!$F$3:$Y$1101,20,0),"")</f>
        <v/>
      </c>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c r="GF86" s="28"/>
      <c r="GG86" s="28"/>
      <c r="GH86" s="28"/>
      <c r="GI86" s="28"/>
      <c r="GJ86" s="28"/>
      <c r="GK86" s="28"/>
      <c r="GL86" s="28"/>
      <c r="GM86" s="28"/>
      <c r="GN86" s="28"/>
      <c r="GO86" s="28"/>
      <c r="GP86" s="28"/>
      <c r="GQ86" s="28"/>
      <c r="GR86" s="28"/>
      <c r="GS86" s="28"/>
      <c r="GT86" s="28"/>
      <c r="GU86" s="28"/>
      <c r="GV86" s="28"/>
      <c r="GW86" s="28"/>
      <c r="GX86" s="28"/>
      <c r="GY86" s="28"/>
      <c r="GZ86" s="28"/>
      <c r="HA86" s="28"/>
      <c r="HB86" s="28"/>
      <c r="HC86" s="28"/>
      <c r="HD86" s="28"/>
      <c r="HE86" s="28"/>
      <c r="HF86" s="28"/>
      <c r="HG86" s="28"/>
      <c r="HH86" s="28"/>
      <c r="HI86" s="28"/>
      <c r="HJ86" s="28"/>
      <c r="HK86" s="28"/>
      <c r="HL86" s="28"/>
    </row>
    <row r="87" spans="1:220" ht="15" customHeight="1">
      <c r="A87" s="31">
        <v>2</v>
      </c>
      <c r="B87" s="105" t="str">
        <f>VLOOKUP(Ruimtestaat[[#This Row],[Code]],Locaties[[Code]:[Locatie]],2,FALSE)</f>
        <v>IKC De Hoge Hoeve</v>
      </c>
      <c r="C87" s="105" t="str">
        <f>VLOOKUP(Ruimtestaat[[#This Row],[Code]],Locaties[[#All],[Code]:[Adres]],4,FALSE)</f>
        <v>De Hoge Hoeve 70</v>
      </c>
      <c r="D87" s="105" t="str">
        <f>VLOOKUP(Ruimtestaat[[#This Row],[Code]],Locaties[[#All],[Code]:[Postcode]],5,FALSE)</f>
        <v>6932 DJ</v>
      </c>
      <c r="E87" s="105" t="str">
        <f>VLOOKUP(Ruimtestaat[[#This Row],[Code]],Locaties[#All],6,FALSE)</f>
        <v>Westervoort</v>
      </c>
      <c r="F87" s="73"/>
      <c r="G87" s="73" t="s">
        <v>1645</v>
      </c>
      <c r="H87" s="271" t="s">
        <v>1694</v>
      </c>
      <c r="I87" s="273" t="s">
        <v>1733</v>
      </c>
      <c r="J87" s="73">
        <v>2</v>
      </c>
      <c r="K87" s="113" t="str">
        <f>VLOOKUP(Ruimtestaat[[#This Row],[Ruimte code]],Ruimtegroepen[[#All],[Code]:[Ruimte omschrijving]],2,FALSE)</f>
        <v>Kantoren</v>
      </c>
      <c r="L87" s="73" t="s">
        <v>99</v>
      </c>
      <c r="M87" s="273" t="s">
        <v>36</v>
      </c>
      <c r="N87" s="106">
        <v>20</v>
      </c>
      <c r="O87" s="73"/>
      <c r="P87" s="106"/>
      <c r="Q87" s="107" t="str">
        <f>VLOOKUP(Ruimtestaat[[#This Row],[Ruimte code]],Ruimtegroepen[],4,FALSE)</f>
        <v>Bu</v>
      </c>
      <c r="R87" s="73">
        <v>40</v>
      </c>
      <c r="S87" s="73" t="s">
        <v>15</v>
      </c>
      <c r="T87" s="73">
        <f>IF(R87&gt;0,IF(RIGHT(Ruimtestaat[[#This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87" s="73">
        <f>IF(T87&gt;0,VLOOKUP($J87,Ruimtegroepen[],3,FALSE)*VLOOKUP($L87,Vloersoorten[],3,FALSE)*VLOOKUP($S87,Frequenties[],3,FALSE)*VLOOKUP($A87,Locaties[],3,FALSE),0)</f>
        <v>0</v>
      </c>
      <c r="V87" s="73">
        <f>Ruimtestaat[[#This Row],[Uitvoeringen werkdagen]]*Ruimtestaat[[#This Row],[Oppervlak (netto)]]</f>
        <v>800</v>
      </c>
      <c r="W87" s="108">
        <f>IF(U87&gt;0,Ruimtestaat[[#This Row],[Prest. (m2 /jaar) werkdagen]]/Ruimtestaat[[#This Row],[Norm (m2/uur) werkdagen]],0)</f>
        <v>0</v>
      </c>
      <c r="X87" s="109">
        <f>Ruimtestaat[[#This Row],[uren / jaar werkdagen]]*Tariefsopbouw!$E$35</f>
        <v>0</v>
      </c>
      <c r="Y87" s="73"/>
      <c r="Z87" s="73">
        <f>IF(Ruimtestaat[[#This Row],[Frequentie weekend]]&gt;0,VALUE(LEFT(Y87,1))*R87,0)</f>
        <v>0</v>
      </c>
      <c r="AA87" s="72">
        <f>IF($Z87&gt;0,VLOOKUP($J87,Ruimtegroepen[],3,FALSE)*VLOOKUP($L87,Vloersoorten[],3,FALSE)*VLOOKUP($Y87,Frequenties[],3,FALSE)*VLOOKUP(Ruimtestaat[[#This Row],[Code]],Locaties[],3,FALSE),0)</f>
        <v>0</v>
      </c>
      <c r="AB87" s="72">
        <f>Ruimtestaat[[#This Row],[Uitvoeringen weekend]]*Ruimtestaat[[#This Row],[Oppervlak (netto)]]</f>
        <v>0</v>
      </c>
      <c r="AC87" s="72">
        <f>IF(AA87&gt;0,Ruimtestaat[[#This Row],[Prest. (m2 /jaar) weekend]]/Ruimtestaat[[#This Row],[Norm (m2/uur) weekend]],0)</f>
        <v>0</v>
      </c>
      <c r="AD87" s="109">
        <f>Ruimtestaat[[#This Row],[uren / jaar weekend]]*Tariefsopbouw!$D$40</f>
        <v>0</v>
      </c>
      <c r="AE87" s="108">
        <f>Ruimtestaat[[#This Row],[Prest. (m2 /jaar) weekend]]+Ruimtestaat[[#This Row],[Prest. (m2 /jaar) werkdagen]]</f>
        <v>800</v>
      </c>
      <c r="AF87" s="108">
        <f>Ruimtestaat[[#This Row],[uren / jaar weekend]]+Ruimtestaat[[#This Row],[uren / jaar werkdagen]]</f>
        <v>0</v>
      </c>
      <c r="AG87" s="103">
        <f>Ruimtestaat[[#This Row],[kosten / jaar weekend]]+Ruimtestaat[[#This Row],[kosten / jaar werkdagen]]</f>
        <v>0</v>
      </c>
      <c r="AH87" s="103"/>
      <c r="AI87" s="110" t="str">
        <f>IF(Ruimtestaat[[#This Row],[Frequentie werkdagen]]="","",_xlfn.CONCAT(Ruimtestaat[[#This Row],[Ruimte code]],"-",Ruimtestaat[[#This Row],[Frequentie werkdagen]]," ",Ruimtestaat[[#This Row],[Vloer code]]))</f>
        <v>2-1w T</v>
      </c>
      <c r="AJ87" s="114" t="str">
        <f>_xlfn.IFNA(VLOOKUP($AI87,Programma!$F$3:$G$1101,2,0),"")</f>
        <v>_</v>
      </c>
      <c r="AK87" s="114" t="str">
        <f>_xlfn.IFNA(VLOOKUP($AI87,Programma!$F$3:$H$1101,3,0),"")</f>
        <v>1w</v>
      </c>
      <c r="AL87" s="114" t="str">
        <f>_xlfn.IFNA(VLOOKUP($AI87,Programma!$F$3:$I$1101,4,0),"")</f>
        <v>_</v>
      </c>
      <c r="AM87" s="114" t="str">
        <f>_xlfn.IFNA(VLOOKUP($AI87,Programma!$F$3:$J$1101,5,0),"")</f>
        <v>_</v>
      </c>
      <c r="AN87" s="114" t="str">
        <f>_xlfn.IFNA(VLOOKUP($AI87,Programma!$F$3:$K$1101,6,0),"")</f>
        <v>_</v>
      </c>
      <c r="AO87" s="114" t="str">
        <f>_xlfn.IFNA(VLOOKUP($AI87,Programma!$F$3:$L$1101,7,0),"")</f>
        <v>_</v>
      </c>
      <c r="AP87" s="114" t="str">
        <f>_xlfn.IFNA(VLOOKUP($AI87,Programma!$F$3:$M$1101,8,0),"")</f>
        <v>_</v>
      </c>
      <c r="AQ87" s="114" t="str">
        <f>_xlfn.IFNA(VLOOKUP($AI87,Programma!$F$3:$N$1101,9,0),"")</f>
        <v>_</v>
      </c>
      <c r="AR87" s="114" t="str">
        <f>_xlfn.IFNA(VLOOKUP($AI87,Programma!$F$3:$O$1101,10,0),"")</f>
        <v>1w</v>
      </c>
      <c r="AS87" s="114" t="str">
        <f>_xlfn.IFNA(VLOOKUP($AI87,Programma!$F$3:$P$1101,11,0),"")</f>
        <v>1w</v>
      </c>
      <c r="AT87" s="114" t="str">
        <f>_xlfn.IFNA(VLOOKUP($AI87,Programma!$F$3:$Q$1101,12,0),"")</f>
        <v>1w</v>
      </c>
      <c r="AU87" s="114" t="str">
        <f>_xlfn.IFNA(VLOOKUP($AI87,Programma!$F$3:$R$1101,13,0),"")</f>
        <v>1w</v>
      </c>
      <c r="AV87" s="114" t="str">
        <f>_xlfn.IFNA(VLOOKUP($AI87,Programma!$F$3:$S$1101,14,0),"")</f>
        <v>1m</v>
      </c>
      <c r="AW87" s="114" t="str">
        <f>_xlfn.IFNA(VLOOKUP($AI87,Programma!$F$3:$T$1101,15,0),"")</f>
        <v>2j</v>
      </c>
      <c r="AX87" s="114" t="str">
        <f>_xlfn.IFNA(VLOOKUP($AI87,Programma!$F$3:$U$1101,16,0),"")</f>
        <v>1j</v>
      </c>
      <c r="AY87" s="114" t="str">
        <f>_xlfn.IFNA(VLOOKUP($AI87,Programma!$F$3:$V$1101,17,0),"")</f>
        <v>_</v>
      </c>
      <c r="AZ87" s="114" t="str">
        <f>_xlfn.IFNA(VLOOKUP($AI87,Programma!$F$3:$W$1101,18,0),"")</f>
        <v>_</v>
      </c>
      <c r="BA87" s="114" t="str">
        <f>_xlfn.IFNA(VLOOKUP($AI87,Programma!$F$3:$X$1101,19,0),"")</f>
        <v>_</v>
      </c>
      <c r="BB87" s="114" t="str">
        <f>_xlfn.IFNA(VLOOKUP($AI87,Programma!$F$3:$Y$1101,20,0),"")</f>
        <v>_</v>
      </c>
      <c r="BC87" s="111"/>
      <c r="BD87" s="110" t="str">
        <f>IF(Ruimtestaat[[#This Row],[Frequentie weekend]]="","",_xlfn.CONCAT(Ruimtestaat[[#This Row],[Ruimte code]],"-",Ruimtestaat[[#This Row],[Frequentie weekend]]," ",Ruimtestaat[[#This Row],[Vloer code]]))</f>
        <v/>
      </c>
      <c r="BE87" s="114" t="str">
        <f>_xlfn.IFNA(VLOOKUP($BD87,Programma!$F$3:$G$1101,2,0),"")</f>
        <v/>
      </c>
      <c r="BF87" s="114" t="str">
        <f>_xlfn.IFNA(VLOOKUP($BD87,Programma!$F$3:$H$1101,3,0),"")</f>
        <v/>
      </c>
      <c r="BG87" s="114" t="str">
        <f>_xlfn.IFNA(VLOOKUP($BD87,Programma!$F$3:$I$1101,4,0),"")</f>
        <v/>
      </c>
      <c r="BH87" s="114" t="str">
        <f>_xlfn.IFNA(VLOOKUP($BD87,Programma!$F$3:$J$1101,5,0),"")</f>
        <v/>
      </c>
      <c r="BI87" s="114" t="str">
        <f>_xlfn.IFNA(VLOOKUP($BD87,Programma!$F$3:$K$1101,6,0),"")</f>
        <v/>
      </c>
      <c r="BJ87" s="114" t="str">
        <f>_xlfn.IFNA(VLOOKUP($BD87,Programma!$F$3:$L$1101,7,0),"")</f>
        <v/>
      </c>
      <c r="BK87" s="114" t="str">
        <f>_xlfn.IFNA(VLOOKUP($BD87,Programma!$F$3:$M$1101,8,0),"")</f>
        <v/>
      </c>
      <c r="BL87" s="114" t="str">
        <f>_xlfn.IFNA(VLOOKUP($BD87,Programma!$F$3:$N$1101,9,0),"")</f>
        <v/>
      </c>
      <c r="BM87" s="114" t="str">
        <f>_xlfn.IFNA(VLOOKUP($BD87,Programma!$F$3:$O$1101,10,0),"")</f>
        <v/>
      </c>
      <c r="BN87" s="114" t="str">
        <f>_xlfn.IFNA(VLOOKUP($BD87,Programma!$F$3:$P$1101,11,0),"")</f>
        <v/>
      </c>
      <c r="BO87" s="114" t="str">
        <f>_xlfn.IFNA(VLOOKUP($BD87,Programma!$F$3:$Q$1101,12,0),"")</f>
        <v/>
      </c>
      <c r="BP87" s="114" t="str">
        <f>_xlfn.IFNA(VLOOKUP($BD87,Programma!$F$3:$R$1101,13,0),"")</f>
        <v/>
      </c>
      <c r="BQ87" s="114" t="str">
        <f>_xlfn.IFNA(VLOOKUP($BD87,Programma!$F$3:$S$1101,14,0),"")</f>
        <v/>
      </c>
      <c r="BR87" s="114" t="str">
        <f>_xlfn.IFNA(VLOOKUP($BD87,Programma!$F$3:$T$1101,15,0),"")</f>
        <v/>
      </c>
      <c r="BS87" s="114" t="str">
        <f>_xlfn.IFNA(VLOOKUP($BD87,Programma!$F$3:$U$1101,16,0),"")</f>
        <v/>
      </c>
      <c r="BT87" s="114" t="str">
        <f>_xlfn.IFNA(VLOOKUP($BD87,Programma!$F$3:$V$1101,17,0),"")</f>
        <v/>
      </c>
      <c r="BU87" s="114" t="str">
        <f>_xlfn.IFNA(VLOOKUP($BD87,Programma!$F$3:$W$1101,18,0),"")</f>
        <v/>
      </c>
      <c r="BV87" s="114" t="str">
        <f>_xlfn.IFNA(VLOOKUP($BD87,Programma!$F$3:$X$1101,19,0),"")</f>
        <v/>
      </c>
      <c r="BW87" s="114" t="str">
        <f>_xlfn.IFNA(VLOOKUP($BD87,Programma!$F$3:$Y$1101,20,0),"")</f>
        <v/>
      </c>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row>
    <row r="88" spans="1:220" ht="15" customHeight="1">
      <c r="A88" s="31">
        <v>2</v>
      </c>
      <c r="B88" s="105" t="str">
        <f>VLOOKUP(Ruimtestaat[[#This Row],[Code]],Locaties[[Code]:[Locatie]],2,FALSE)</f>
        <v>IKC De Hoge Hoeve</v>
      </c>
      <c r="C88" s="105" t="str">
        <f>VLOOKUP(Ruimtestaat[[#This Row],[Code]],Locaties[[#All],[Code]:[Adres]],4,FALSE)</f>
        <v>De Hoge Hoeve 70</v>
      </c>
      <c r="D88" s="105" t="str">
        <f>VLOOKUP(Ruimtestaat[[#This Row],[Code]],Locaties[[#All],[Code]:[Postcode]],5,FALSE)</f>
        <v>6932 DJ</v>
      </c>
      <c r="E88" s="105" t="str">
        <f>VLOOKUP(Ruimtestaat[[#This Row],[Code]],Locaties[#All],6,FALSE)</f>
        <v>Westervoort</v>
      </c>
      <c r="F88" s="73"/>
      <c r="G88" s="73" t="s">
        <v>1645</v>
      </c>
      <c r="H88" s="271" t="s">
        <v>1695</v>
      </c>
      <c r="I88" s="273" t="s">
        <v>1734</v>
      </c>
      <c r="J88" s="31">
        <v>16</v>
      </c>
      <c r="K88" s="113" t="str">
        <f>VLOOKUP(Ruimtestaat[[#This Row],[Ruimte code]],Ruimtegroepen[[#All],[Code]:[Ruimte omschrijving]],2,FALSE)</f>
        <v>Leslokalen</v>
      </c>
      <c r="L88" s="73" t="s">
        <v>102</v>
      </c>
      <c r="M88" s="273" t="s">
        <v>120</v>
      </c>
      <c r="N88" s="106">
        <v>49</v>
      </c>
      <c r="O88" s="112"/>
      <c r="P88" s="106"/>
      <c r="Q88" s="107" t="str">
        <f>VLOOKUP(Ruimtestaat[[#This Row],[Ruimte code]],Ruimtegroepen[],4,FALSE)</f>
        <v>Le</v>
      </c>
      <c r="R88" s="73">
        <v>40</v>
      </c>
      <c r="S88" s="73" t="s">
        <v>2</v>
      </c>
      <c r="T88" s="73">
        <f>IF(R88&gt;0,IF(RIGHT(Ruimtestaat[[#This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8" s="73">
        <f>IF(T88&gt;0,VLOOKUP($J88,Ruimtegroepen[],3,FALSE)*VLOOKUP($L88,Vloersoorten[],3,FALSE)*VLOOKUP($S88,Frequenties[],3,FALSE)*VLOOKUP($A88,Locaties[],3,FALSE),0)</f>
        <v>0</v>
      </c>
      <c r="V88" s="73">
        <f>Ruimtestaat[[#This Row],[Uitvoeringen werkdagen]]*Ruimtestaat[[#This Row],[Oppervlak (netto)]]</f>
        <v>9800</v>
      </c>
      <c r="W88" s="108">
        <f>IF(U88&gt;0,Ruimtestaat[[#This Row],[Prest. (m2 /jaar) werkdagen]]/Ruimtestaat[[#This Row],[Norm (m2/uur) werkdagen]],0)</f>
        <v>0</v>
      </c>
      <c r="X88" s="109">
        <f>Ruimtestaat[[#This Row],[uren / jaar werkdagen]]*Tariefsopbouw!$E$35</f>
        <v>0</v>
      </c>
      <c r="Y88" s="73"/>
      <c r="Z88" s="73">
        <f>IF(Ruimtestaat[[#This Row],[Frequentie weekend]]&gt;0,VALUE(LEFT(Y88,1))*R88,0)</f>
        <v>0</v>
      </c>
      <c r="AA88" s="72">
        <f>IF($Z88&gt;0,VLOOKUP($J88,Ruimtegroepen[],3,FALSE)*VLOOKUP($L88,Vloersoorten[],3,FALSE)*VLOOKUP($Y88,Frequenties[],3,FALSE)*VLOOKUP(Ruimtestaat[[#This Row],[Code]],Locaties[],3,FALSE),0)</f>
        <v>0</v>
      </c>
      <c r="AB88" s="72">
        <f>Ruimtestaat[[#This Row],[Uitvoeringen weekend]]*Ruimtestaat[[#This Row],[Oppervlak (netto)]]</f>
        <v>0</v>
      </c>
      <c r="AC88" s="72">
        <f>IF(AA88&gt;0,Ruimtestaat[[#This Row],[Prest. (m2 /jaar) weekend]]/Ruimtestaat[[#This Row],[Norm (m2/uur) weekend]],0)</f>
        <v>0</v>
      </c>
      <c r="AD88" s="109">
        <f>Ruimtestaat[[#This Row],[uren / jaar weekend]]*Tariefsopbouw!$D$40</f>
        <v>0</v>
      </c>
      <c r="AE88" s="108">
        <f>Ruimtestaat[[#This Row],[Prest. (m2 /jaar) weekend]]+Ruimtestaat[[#This Row],[Prest. (m2 /jaar) werkdagen]]</f>
        <v>9800</v>
      </c>
      <c r="AF88" s="108">
        <f>Ruimtestaat[[#This Row],[uren / jaar weekend]]+Ruimtestaat[[#This Row],[uren / jaar werkdagen]]</f>
        <v>0</v>
      </c>
      <c r="AG88" s="103">
        <f>Ruimtestaat[[#This Row],[kosten / jaar weekend]]+Ruimtestaat[[#This Row],[kosten / jaar werkdagen]]</f>
        <v>0</v>
      </c>
      <c r="AH88" s="103"/>
      <c r="AI88" s="110" t="str">
        <f>IF(Ruimtestaat[[#This Row],[Frequentie werkdagen]]="","",_xlfn.CONCAT(Ruimtestaat[[#This Row],[Ruimte code]],"-",Ruimtestaat[[#This Row],[Frequentie werkdagen]]," ",Ruimtestaat[[#This Row],[Vloer code]]))</f>
        <v>16-5w P</v>
      </c>
      <c r="AJ88" s="114" t="str">
        <f>_xlfn.IFNA(VLOOKUP($AI88,Programma!$F$3:$G$1101,2,0),"")</f>
        <v>_</v>
      </c>
      <c r="AK88" s="114" t="str">
        <f>_xlfn.IFNA(VLOOKUP($AI88,Programma!$F$3:$H$1101,3,0),"")</f>
        <v>_</v>
      </c>
      <c r="AL88" s="114" t="str">
        <f>_xlfn.IFNA(VLOOKUP($AI88,Programma!$F$3:$I$1101,4,0),"")</f>
        <v>4w</v>
      </c>
      <c r="AM88" s="114" t="str">
        <f>_xlfn.IFNA(VLOOKUP($AI88,Programma!$F$3:$J$1101,5,0),"")</f>
        <v>1w</v>
      </c>
      <c r="AN88" s="114" t="str">
        <f>_xlfn.IFNA(VLOOKUP($AI88,Programma!$F$3:$K$1101,6,0),"")</f>
        <v>1m</v>
      </c>
      <c r="AO88" s="114" t="str">
        <f>_xlfn.IFNA(VLOOKUP($AI88,Programma!$F$3:$L$1101,7,0),"")</f>
        <v>_</v>
      </c>
      <c r="AP88" s="114" t="str">
        <f>_xlfn.IFNA(VLOOKUP($AI88,Programma!$F$3:$M$1101,8,0),"")</f>
        <v>_</v>
      </c>
      <c r="AQ88" s="114" t="str">
        <f>_xlfn.IFNA(VLOOKUP($AI88,Programma!$F$3:$N$1101,9,0),"")</f>
        <v>_</v>
      </c>
      <c r="AR88" s="114" t="str">
        <f>_xlfn.IFNA(VLOOKUP($AI88,Programma!$F$3:$O$1101,10,0),"")</f>
        <v>5w</v>
      </c>
      <c r="AS88" s="114" t="str">
        <f>_xlfn.IFNA(VLOOKUP($AI88,Programma!$F$3:$P$1101,11,0),"")</f>
        <v>5w</v>
      </c>
      <c r="AT88" s="114" t="str">
        <f>_xlfn.IFNA(VLOOKUP($AI88,Programma!$F$3:$Q$1101,12,0),"")</f>
        <v>1w</v>
      </c>
      <c r="AU88" s="114" t="str">
        <f>_xlfn.IFNA(VLOOKUP($AI88,Programma!$F$3:$R$1101,13,0),"")</f>
        <v>1w</v>
      </c>
      <c r="AV88" s="114" t="str">
        <f>_xlfn.IFNA(VLOOKUP($AI88,Programma!$F$3:$S$1101,14,0),"")</f>
        <v>1m</v>
      </c>
      <c r="AW88" s="114" t="str">
        <f>_xlfn.IFNA(VLOOKUP($AI88,Programma!$F$3:$T$1101,15,0),"")</f>
        <v>2j</v>
      </c>
      <c r="AX88" s="114" t="str">
        <f>_xlfn.IFNA(VLOOKUP($AI88,Programma!$F$3:$U$1101,16,0),"")</f>
        <v>1j</v>
      </c>
      <c r="AY88" s="114" t="str">
        <f>_xlfn.IFNA(VLOOKUP($AI88,Programma!$F$3:$V$1101,17,0),"")</f>
        <v>_</v>
      </c>
      <c r="AZ88" s="114" t="str">
        <f>_xlfn.IFNA(VLOOKUP($AI88,Programma!$F$3:$W$1101,18,0),"")</f>
        <v>_</v>
      </c>
      <c r="BA88" s="114" t="str">
        <f>_xlfn.IFNA(VLOOKUP($AI88,Programma!$F$3:$X$1101,19,0),"")</f>
        <v>_</v>
      </c>
      <c r="BB88" s="114" t="str">
        <f>_xlfn.IFNA(VLOOKUP($AI88,Programma!$F$3:$Y$1101,20,0),"")</f>
        <v>_</v>
      </c>
      <c r="BC88" s="111"/>
      <c r="BD88" s="110" t="str">
        <f>IF(Ruimtestaat[[#This Row],[Frequentie weekend]]="","",_xlfn.CONCAT(Ruimtestaat[[#This Row],[Ruimte code]],"-",Ruimtestaat[[#This Row],[Frequentie weekend]]," ",Ruimtestaat[[#This Row],[Vloer code]]))</f>
        <v/>
      </c>
      <c r="BE88" s="114" t="str">
        <f>_xlfn.IFNA(VLOOKUP($BD88,Programma!$F$3:$G$1101,2,0),"")</f>
        <v/>
      </c>
      <c r="BF88" s="114" t="str">
        <f>_xlfn.IFNA(VLOOKUP($BD88,Programma!$F$3:$H$1101,3,0),"")</f>
        <v/>
      </c>
      <c r="BG88" s="114" t="str">
        <f>_xlfn.IFNA(VLOOKUP($BD88,Programma!$F$3:$I$1101,4,0),"")</f>
        <v/>
      </c>
      <c r="BH88" s="114" t="str">
        <f>_xlfn.IFNA(VLOOKUP($BD88,Programma!$F$3:$J$1101,5,0),"")</f>
        <v/>
      </c>
      <c r="BI88" s="114" t="str">
        <f>_xlfn.IFNA(VLOOKUP($BD88,Programma!$F$3:$K$1101,6,0),"")</f>
        <v/>
      </c>
      <c r="BJ88" s="114" t="str">
        <f>_xlfn.IFNA(VLOOKUP($BD88,Programma!$F$3:$L$1101,7,0),"")</f>
        <v/>
      </c>
      <c r="BK88" s="114" t="str">
        <f>_xlfn.IFNA(VLOOKUP($BD88,Programma!$F$3:$M$1101,8,0),"")</f>
        <v/>
      </c>
      <c r="BL88" s="114" t="str">
        <f>_xlfn.IFNA(VLOOKUP($BD88,Programma!$F$3:$N$1101,9,0),"")</f>
        <v/>
      </c>
      <c r="BM88" s="114" t="str">
        <f>_xlfn.IFNA(VLOOKUP($BD88,Programma!$F$3:$O$1101,10,0),"")</f>
        <v/>
      </c>
      <c r="BN88" s="114" t="str">
        <f>_xlfn.IFNA(VLOOKUP($BD88,Programma!$F$3:$P$1101,11,0),"")</f>
        <v/>
      </c>
      <c r="BO88" s="114" t="str">
        <f>_xlfn.IFNA(VLOOKUP($BD88,Programma!$F$3:$Q$1101,12,0),"")</f>
        <v/>
      </c>
      <c r="BP88" s="114" t="str">
        <f>_xlfn.IFNA(VLOOKUP($BD88,Programma!$F$3:$R$1101,13,0),"")</f>
        <v/>
      </c>
      <c r="BQ88" s="114" t="str">
        <f>_xlfn.IFNA(VLOOKUP($BD88,Programma!$F$3:$S$1101,14,0),"")</f>
        <v/>
      </c>
      <c r="BR88" s="114" t="str">
        <f>_xlfn.IFNA(VLOOKUP($BD88,Programma!$F$3:$T$1101,15,0),"")</f>
        <v/>
      </c>
      <c r="BS88" s="114" t="str">
        <f>_xlfn.IFNA(VLOOKUP($BD88,Programma!$F$3:$U$1101,16,0),"")</f>
        <v/>
      </c>
      <c r="BT88" s="114" t="str">
        <f>_xlfn.IFNA(VLOOKUP($BD88,Programma!$F$3:$V$1101,17,0),"")</f>
        <v/>
      </c>
      <c r="BU88" s="114" t="str">
        <f>_xlfn.IFNA(VLOOKUP($BD88,Programma!$F$3:$W$1101,18,0),"")</f>
        <v/>
      </c>
      <c r="BV88" s="114" t="str">
        <f>_xlfn.IFNA(VLOOKUP($BD88,Programma!$F$3:$X$1101,19,0),"")</f>
        <v/>
      </c>
      <c r="BW88" s="114" t="str">
        <f>_xlfn.IFNA(VLOOKUP($BD88,Programma!$F$3:$Y$1101,20,0),"")</f>
        <v/>
      </c>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c r="GC88" s="28"/>
      <c r="GD88" s="28"/>
      <c r="GE88" s="28"/>
      <c r="GF88" s="28"/>
      <c r="GG88" s="28"/>
      <c r="GH88" s="28"/>
      <c r="GI88" s="28"/>
      <c r="GJ88" s="28"/>
      <c r="GK88" s="28"/>
      <c r="GL88" s="28"/>
      <c r="GM88" s="28"/>
      <c r="GN88" s="28"/>
      <c r="GO88" s="28"/>
      <c r="GP88" s="28"/>
      <c r="GQ88" s="28"/>
      <c r="GR88" s="28"/>
      <c r="GS88" s="28"/>
      <c r="GT88" s="28"/>
      <c r="GU88" s="28"/>
      <c r="GV88" s="28"/>
      <c r="GW88" s="28"/>
      <c r="GX88" s="28"/>
      <c r="GY88" s="28"/>
      <c r="GZ88" s="28"/>
      <c r="HA88" s="28"/>
      <c r="HB88" s="28"/>
      <c r="HC88" s="28"/>
      <c r="HD88" s="28"/>
      <c r="HE88" s="28"/>
      <c r="HF88" s="28"/>
      <c r="HG88" s="28"/>
      <c r="HH88" s="28"/>
      <c r="HI88" s="28"/>
      <c r="HJ88" s="28"/>
      <c r="HK88" s="28"/>
      <c r="HL88" s="28"/>
    </row>
    <row r="89" spans="1:220" ht="15" customHeight="1">
      <c r="A89" s="31">
        <v>2</v>
      </c>
      <c r="B89" s="105" t="str">
        <f>VLOOKUP(Ruimtestaat[[#This Row],[Code]],Locaties[[Code]:[Locatie]],2,FALSE)</f>
        <v>IKC De Hoge Hoeve</v>
      </c>
      <c r="C89" s="105" t="str">
        <f>VLOOKUP(Ruimtestaat[[#This Row],[Code]],Locaties[[#All],[Code]:[Adres]],4,FALSE)</f>
        <v>De Hoge Hoeve 70</v>
      </c>
      <c r="D89" s="105" t="str">
        <f>VLOOKUP(Ruimtestaat[[#This Row],[Code]],Locaties[[#All],[Code]:[Postcode]],5,FALSE)</f>
        <v>6932 DJ</v>
      </c>
      <c r="E89" s="105" t="str">
        <f>VLOOKUP(Ruimtestaat[[#This Row],[Code]],Locaties[#All],6,FALSE)</f>
        <v>Westervoort</v>
      </c>
      <c r="F89" s="73"/>
      <c r="G89" s="73" t="s">
        <v>1645</v>
      </c>
      <c r="H89" s="271" t="s">
        <v>1696</v>
      </c>
      <c r="I89" s="273" t="s">
        <v>1735</v>
      </c>
      <c r="J89" s="31">
        <v>16</v>
      </c>
      <c r="K89" s="113" t="str">
        <f>VLOOKUP(Ruimtestaat[[#This Row],[Ruimte code]],Ruimtegroepen[[#All],[Code]:[Ruimte omschrijving]],2,FALSE)</f>
        <v>Leslokalen</v>
      </c>
      <c r="L89" s="73" t="s">
        <v>102</v>
      </c>
      <c r="M89" s="273" t="s">
        <v>120</v>
      </c>
      <c r="N89" s="106"/>
      <c r="O89" s="112"/>
      <c r="P89" s="106">
        <v>55</v>
      </c>
      <c r="Q89" s="107" t="str">
        <f>VLOOKUP(Ruimtestaat[[#This Row],[Ruimte code]],Ruimtegroepen[],4,FALSE)</f>
        <v>Le</v>
      </c>
      <c r="R89" s="73"/>
      <c r="S89" s="73"/>
      <c r="T89" s="73">
        <f>IF(R89&gt;0,IF(RIGHT(Ruimtestaat[[#This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9" s="73">
        <f>IF(T89&gt;0,VLOOKUP($J89,Ruimtegroepen[],3,FALSE)*VLOOKUP($L89,Vloersoorten[],3,FALSE)*VLOOKUP($S89,Frequenties[],3,FALSE)*VLOOKUP($A89,Locaties[],3,FALSE),0)</f>
        <v>0</v>
      </c>
      <c r="V89" s="73">
        <f>Ruimtestaat[[#This Row],[Uitvoeringen werkdagen]]*Ruimtestaat[[#This Row],[Oppervlak (netto)]]</f>
        <v>0</v>
      </c>
      <c r="W89" s="108">
        <f>IF(U89&gt;0,Ruimtestaat[[#This Row],[Prest. (m2 /jaar) werkdagen]]/Ruimtestaat[[#This Row],[Norm (m2/uur) werkdagen]],0)</f>
        <v>0</v>
      </c>
      <c r="X89" s="109">
        <f>Ruimtestaat[[#This Row],[uren / jaar werkdagen]]*Tariefsopbouw!$E$35</f>
        <v>0</v>
      </c>
      <c r="Y89" s="73"/>
      <c r="Z89" s="73">
        <f>IF(Ruimtestaat[[#This Row],[Frequentie weekend]]&gt;0,VALUE(LEFT(Y89,1))*R89,0)</f>
        <v>0</v>
      </c>
      <c r="AA89" s="72">
        <f>IF($Z89&gt;0,VLOOKUP($J89,Ruimtegroepen[],3,FALSE)*VLOOKUP($L89,Vloersoorten[],3,FALSE)*VLOOKUP($Y89,Frequenties[],3,FALSE)*VLOOKUP(Ruimtestaat[[#This Row],[Code]],Locaties[],3,FALSE),0)</f>
        <v>0</v>
      </c>
      <c r="AB89" s="72">
        <f>Ruimtestaat[[#This Row],[Uitvoeringen weekend]]*Ruimtestaat[[#This Row],[Oppervlak (netto)]]</f>
        <v>0</v>
      </c>
      <c r="AC89" s="72">
        <f>IF(AA89&gt;0,Ruimtestaat[[#This Row],[Prest. (m2 /jaar) weekend]]/Ruimtestaat[[#This Row],[Norm (m2/uur) weekend]],0)</f>
        <v>0</v>
      </c>
      <c r="AD89" s="109">
        <f>Ruimtestaat[[#This Row],[uren / jaar weekend]]*Tariefsopbouw!$D$40</f>
        <v>0</v>
      </c>
      <c r="AE89" s="108">
        <f>Ruimtestaat[[#This Row],[Prest. (m2 /jaar) weekend]]+Ruimtestaat[[#This Row],[Prest. (m2 /jaar) werkdagen]]</f>
        <v>0</v>
      </c>
      <c r="AF89" s="108">
        <f>Ruimtestaat[[#This Row],[uren / jaar weekend]]+Ruimtestaat[[#This Row],[uren / jaar werkdagen]]</f>
        <v>0</v>
      </c>
      <c r="AG89" s="103">
        <f>Ruimtestaat[[#This Row],[kosten / jaar weekend]]+Ruimtestaat[[#This Row],[kosten / jaar werkdagen]]</f>
        <v>0</v>
      </c>
      <c r="AH89" s="103"/>
      <c r="AI89" s="110" t="str">
        <f>IF(Ruimtestaat[[#This Row],[Frequentie werkdagen]]="","",_xlfn.CONCAT(Ruimtestaat[[#This Row],[Ruimte code]],"-",Ruimtestaat[[#This Row],[Frequentie werkdagen]]," ",Ruimtestaat[[#This Row],[Vloer code]]))</f>
        <v/>
      </c>
      <c r="AJ89" s="114" t="str">
        <f>_xlfn.IFNA(VLOOKUP($AI89,Programma!$F$3:$G$1101,2,0),"")</f>
        <v/>
      </c>
      <c r="AK89" s="114" t="str">
        <f>_xlfn.IFNA(VLOOKUP($AI89,Programma!$F$3:$H$1101,3,0),"")</f>
        <v/>
      </c>
      <c r="AL89" s="114" t="str">
        <f>_xlfn.IFNA(VLOOKUP($AI89,Programma!$F$3:$I$1101,4,0),"")</f>
        <v/>
      </c>
      <c r="AM89" s="114" t="str">
        <f>_xlfn.IFNA(VLOOKUP($AI89,Programma!$F$3:$J$1101,5,0),"")</f>
        <v/>
      </c>
      <c r="AN89" s="114" t="str">
        <f>_xlfn.IFNA(VLOOKUP($AI89,Programma!$F$3:$K$1101,6,0),"")</f>
        <v/>
      </c>
      <c r="AO89" s="114" t="str">
        <f>_xlfn.IFNA(VLOOKUP($AI89,Programma!$F$3:$L$1101,7,0),"")</f>
        <v/>
      </c>
      <c r="AP89" s="114" t="str">
        <f>_xlfn.IFNA(VLOOKUP($AI89,Programma!$F$3:$M$1101,8,0),"")</f>
        <v/>
      </c>
      <c r="AQ89" s="114" t="str">
        <f>_xlfn.IFNA(VLOOKUP($AI89,Programma!$F$3:$N$1101,9,0),"")</f>
        <v/>
      </c>
      <c r="AR89" s="114" t="str">
        <f>_xlfn.IFNA(VLOOKUP($AI89,Programma!$F$3:$O$1101,10,0),"")</f>
        <v/>
      </c>
      <c r="AS89" s="114" t="str">
        <f>_xlfn.IFNA(VLOOKUP($AI89,Programma!$F$3:$P$1101,11,0),"")</f>
        <v/>
      </c>
      <c r="AT89" s="114" t="str">
        <f>_xlfn.IFNA(VLOOKUP($AI89,Programma!$F$3:$Q$1101,12,0),"")</f>
        <v/>
      </c>
      <c r="AU89" s="114" t="str">
        <f>_xlfn.IFNA(VLOOKUP($AI89,Programma!$F$3:$R$1101,13,0),"")</f>
        <v/>
      </c>
      <c r="AV89" s="114" t="str">
        <f>_xlfn.IFNA(VLOOKUP($AI89,Programma!$F$3:$S$1101,14,0),"")</f>
        <v/>
      </c>
      <c r="AW89" s="114" t="str">
        <f>_xlfn.IFNA(VLOOKUP($AI89,Programma!$F$3:$T$1101,15,0),"")</f>
        <v/>
      </c>
      <c r="AX89" s="114" t="str">
        <f>_xlfn.IFNA(VLOOKUP($AI89,Programma!$F$3:$U$1101,16,0),"")</f>
        <v/>
      </c>
      <c r="AY89" s="114" t="str">
        <f>_xlfn.IFNA(VLOOKUP($AI89,Programma!$F$3:$V$1101,17,0),"")</f>
        <v/>
      </c>
      <c r="AZ89" s="114" t="str">
        <f>_xlfn.IFNA(VLOOKUP($AI89,Programma!$F$3:$W$1101,18,0),"")</f>
        <v/>
      </c>
      <c r="BA89" s="114" t="str">
        <f>_xlfn.IFNA(VLOOKUP($AI89,Programma!$F$3:$X$1101,19,0),"")</f>
        <v/>
      </c>
      <c r="BB89" s="114" t="str">
        <f>_xlfn.IFNA(VLOOKUP($AI89,Programma!$F$3:$Y$1101,20,0),"")</f>
        <v/>
      </c>
      <c r="BC89" s="111"/>
      <c r="BD89" s="110" t="str">
        <f>IF(Ruimtestaat[[#This Row],[Frequentie weekend]]="","",_xlfn.CONCAT(Ruimtestaat[[#This Row],[Ruimte code]],"-",Ruimtestaat[[#This Row],[Frequentie weekend]]," ",Ruimtestaat[[#This Row],[Vloer code]]))</f>
        <v/>
      </c>
      <c r="BE89" s="114" t="str">
        <f>_xlfn.IFNA(VLOOKUP($BD89,Programma!$F$3:$G$1101,2,0),"")</f>
        <v/>
      </c>
      <c r="BF89" s="114" t="str">
        <f>_xlfn.IFNA(VLOOKUP($BD89,Programma!$F$3:$H$1101,3,0),"")</f>
        <v/>
      </c>
      <c r="BG89" s="114" t="str">
        <f>_xlfn.IFNA(VLOOKUP($BD89,Programma!$F$3:$I$1101,4,0),"")</f>
        <v/>
      </c>
      <c r="BH89" s="114" t="str">
        <f>_xlfn.IFNA(VLOOKUP($BD89,Programma!$F$3:$J$1101,5,0),"")</f>
        <v/>
      </c>
      <c r="BI89" s="114" t="str">
        <f>_xlfn.IFNA(VLOOKUP($BD89,Programma!$F$3:$K$1101,6,0),"")</f>
        <v/>
      </c>
      <c r="BJ89" s="114" t="str">
        <f>_xlfn.IFNA(VLOOKUP($BD89,Programma!$F$3:$L$1101,7,0),"")</f>
        <v/>
      </c>
      <c r="BK89" s="114" t="str">
        <f>_xlfn.IFNA(VLOOKUP($BD89,Programma!$F$3:$M$1101,8,0),"")</f>
        <v/>
      </c>
      <c r="BL89" s="114" t="str">
        <f>_xlfn.IFNA(VLOOKUP($BD89,Programma!$F$3:$N$1101,9,0),"")</f>
        <v/>
      </c>
      <c r="BM89" s="114" t="str">
        <f>_xlfn.IFNA(VLOOKUP($BD89,Programma!$F$3:$O$1101,10,0),"")</f>
        <v/>
      </c>
      <c r="BN89" s="114" t="str">
        <f>_xlfn.IFNA(VLOOKUP($BD89,Programma!$F$3:$P$1101,11,0),"")</f>
        <v/>
      </c>
      <c r="BO89" s="114" t="str">
        <f>_xlfn.IFNA(VLOOKUP($BD89,Programma!$F$3:$Q$1101,12,0),"")</f>
        <v/>
      </c>
      <c r="BP89" s="114" t="str">
        <f>_xlfn.IFNA(VLOOKUP($BD89,Programma!$F$3:$R$1101,13,0),"")</f>
        <v/>
      </c>
      <c r="BQ89" s="114" t="str">
        <f>_xlfn.IFNA(VLOOKUP($BD89,Programma!$F$3:$S$1101,14,0),"")</f>
        <v/>
      </c>
      <c r="BR89" s="114" t="str">
        <f>_xlfn.IFNA(VLOOKUP($BD89,Programma!$F$3:$T$1101,15,0),"")</f>
        <v/>
      </c>
      <c r="BS89" s="114" t="str">
        <f>_xlfn.IFNA(VLOOKUP($BD89,Programma!$F$3:$U$1101,16,0),"")</f>
        <v/>
      </c>
      <c r="BT89" s="114" t="str">
        <f>_xlfn.IFNA(VLOOKUP($BD89,Programma!$F$3:$V$1101,17,0),"")</f>
        <v/>
      </c>
      <c r="BU89" s="114" t="str">
        <f>_xlfn.IFNA(VLOOKUP($BD89,Programma!$F$3:$W$1101,18,0),"")</f>
        <v/>
      </c>
      <c r="BV89" s="114" t="str">
        <f>_xlfn.IFNA(VLOOKUP($BD89,Programma!$F$3:$X$1101,19,0),"")</f>
        <v/>
      </c>
      <c r="BW89" s="114" t="str">
        <f>_xlfn.IFNA(VLOOKUP($BD89,Programma!$F$3:$Y$1101,20,0),"")</f>
        <v/>
      </c>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c r="GC89" s="28"/>
      <c r="GD89" s="28"/>
      <c r="GE89" s="28"/>
      <c r="GF89" s="28"/>
      <c r="GG89" s="28"/>
      <c r="GH89" s="28"/>
      <c r="GI89" s="28"/>
      <c r="GJ89" s="28"/>
      <c r="GK89" s="28"/>
      <c r="GL89" s="28"/>
      <c r="GM89" s="28"/>
      <c r="GN89" s="28"/>
      <c r="GO89" s="28"/>
      <c r="GP89" s="28"/>
      <c r="GQ89" s="28"/>
      <c r="GR89" s="28"/>
      <c r="GS89" s="28"/>
      <c r="GT89" s="28"/>
      <c r="GU89" s="28"/>
      <c r="GV89" s="28"/>
      <c r="GW89" s="28"/>
      <c r="GX89" s="28"/>
      <c r="GY89" s="28"/>
      <c r="GZ89" s="28"/>
      <c r="HA89" s="28"/>
      <c r="HB89" s="28"/>
      <c r="HC89" s="28"/>
      <c r="HD89" s="28"/>
      <c r="HE89" s="28"/>
      <c r="HF89" s="28"/>
      <c r="HG89" s="28"/>
      <c r="HH89" s="28"/>
      <c r="HI89" s="28"/>
      <c r="HJ89" s="28"/>
      <c r="HK89" s="28"/>
      <c r="HL89" s="28"/>
    </row>
    <row r="90" spans="1:220" ht="15" customHeight="1">
      <c r="A90" s="31">
        <v>2</v>
      </c>
      <c r="B90" s="105" t="str">
        <f>VLOOKUP(Ruimtestaat[[#This Row],[Code]],Locaties[[Code]:[Locatie]],2,FALSE)</f>
        <v>IKC De Hoge Hoeve</v>
      </c>
      <c r="C90" s="105" t="str">
        <f>VLOOKUP(Ruimtestaat[[#This Row],[Code]],Locaties[[#All],[Code]:[Adres]],4,FALSE)</f>
        <v>De Hoge Hoeve 70</v>
      </c>
      <c r="D90" s="105" t="str">
        <f>VLOOKUP(Ruimtestaat[[#This Row],[Code]],Locaties[[#All],[Code]:[Postcode]],5,FALSE)</f>
        <v>6932 DJ</v>
      </c>
      <c r="E90" s="105" t="str">
        <f>VLOOKUP(Ruimtestaat[[#This Row],[Code]],Locaties[#All],6,FALSE)</f>
        <v>Westervoort</v>
      </c>
      <c r="F90" s="73"/>
      <c r="G90" s="73" t="s">
        <v>1645</v>
      </c>
      <c r="H90" s="271" t="s">
        <v>1697</v>
      </c>
      <c r="I90" s="273" t="s">
        <v>1736</v>
      </c>
      <c r="J90" s="31">
        <v>16</v>
      </c>
      <c r="K90" s="113" t="str">
        <f>VLOOKUP(Ruimtestaat[[#This Row],[Ruimte code]],Ruimtegroepen[[#All],[Code]:[Ruimte omschrijving]],2,FALSE)</f>
        <v>Leslokalen</v>
      </c>
      <c r="L90" s="73" t="s">
        <v>102</v>
      </c>
      <c r="M90" s="273" t="s">
        <v>120</v>
      </c>
      <c r="N90" s="106"/>
      <c r="O90" s="73"/>
      <c r="P90" s="106">
        <v>55</v>
      </c>
      <c r="Q90" s="107" t="str">
        <f>VLOOKUP(Ruimtestaat[[#This Row],[Ruimte code]],Ruimtegroepen[],4,FALSE)</f>
        <v>Le</v>
      </c>
      <c r="R90" s="73"/>
      <c r="S90" s="73"/>
      <c r="T90" s="73">
        <f>IF(R90&gt;0,IF(RIGHT(Ruimtestaat[[#This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0" s="73">
        <f>IF(T90&gt;0,VLOOKUP($J90,Ruimtegroepen[],3,FALSE)*VLOOKUP($L90,Vloersoorten[],3,FALSE)*VLOOKUP($S90,Frequenties[],3,FALSE)*VLOOKUP($A90,Locaties[],3,FALSE),0)</f>
        <v>0</v>
      </c>
      <c r="V90" s="73">
        <f>Ruimtestaat[[#This Row],[Uitvoeringen werkdagen]]*Ruimtestaat[[#This Row],[Oppervlak (netto)]]</f>
        <v>0</v>
      </c>
      <c r="W90" s="108">
        <f>IF(U90&gt;0,Ruimtestaat[[#This Row],[Prest. (m2 /jaar) werkdagen]]/Ruimtestaat[[#This Row],[Norm (m2/uur) werkdagen]],0)</f>
        <v>0</v>
      </c>
      <c r="X90" s="109">
        <f>Ruimtestaat[[#This Row],[uren / jaar werkdagen]]*Tariefsopbouw!$E$35</f>
        <v>0</v>
      </c>
      <c r="Y90" s="73"/>
      <c r="Z90" s="73">
        <f>IF(Ruimtestaat[[#This Row],[Frequentie weekend]]&gt;0,VALUE(LEFT(Y90,1))*R90,0)</f>
        <v>0</v>
      </c>
      <c r="AA90" s="72">
        <f>IF($Z90&gt;0,VLOOKUP($J90,Ruimtegroepen[],3,FALSE)*VLOOKUP($L90,Vloersoorten[],3,FALSE)*VLOOKUP($Y90,Frequenties[],3,FALSE)*VLOOKUP(Ruimtestaat[[#This Row],[Code]],Locaties[],3,FALSE),0)</f>
        <v>0</v>
      </c>
      <c r="AB90" s="72">
        <f>Ruimtestaat[[#This Row],[Uitvoeringen weekend]]*Ruimtestaat[[#This Row],[Oppervlak (netto)]]</f>
        <v>0</v>
      </c>
      <c r="AC90" s="72">
        <f>IF(AA90&gt;0,Ruimtestaat[[#This Row],[Prest. (m2 /jaar) weekend]]/Ruimtestaat[[#This Row],[Norm (m2/uur) weekend]],0)</f>
        <v>0</v>
      </c>
      <c r="AD90" s="109">
        <f>Ruimtestaat[[#This Row],[uren / jaar weekend]]*Tariefsopbouw!$D$40</f>
        <v>0</v>
      </c>
      <c r="AE90" s="108">
        <f>Ruimtestaat[[#This Row],[Prest. (m2 /jaar) weekend]]+Ruimtestaat[[#This Row],[Prest. (m2 /jaar) werkdagen]]</f>
        <v>0</v>
      </c>
      <c r="AF90" s="108">
        <f>Ruimtestaat[[#This Row],[uren / jaar weekend]]+Ruimtestaat[[#This Row],[uren / jaar werkdagen]]</f>
        <v>0</v>
      </c>
      <c r="AG90" s="103">
        <f>Ruimtestaat[[#This Row],[kosten / jaar weekend]]+Ruimtestaat[[#This Row],[kosten / jaar werkdagen]]</f>
        <v>0</v>
      </c>
      <c r="AH90" s="103"/>
      <c r="AI90" s="110" t="str">
        <f>IF(Ruimtestaat[[#This Row],[Frequentie werkdagen]]="","",_xlfn.CONCAT(Ruimtestaat[[#This Row],[Ruimte code]],"-",Ruimtestaat[[#This Row],[Frequentie werkdagen]]," ",Ruimtestaat[[#This Row],[Vloer code]]))</f>
        <v/>
      </c>
      <c r="AJ90" s="114" t="str">
        <f>_xlfn.IFNA(VLOOKUP($AI90,Programma!$F$3:$G$1101,2,0),"")</f>
        <v/>
      </c>
      <c r="AK90" s="114" t="str">
        <f>_xlfn.IFNA(VLOOKUP($AI90,Programma!$F$3:$H$1101,3,0),"")</f>
        <v/>
      </c>
      <c r="AL90" s="114" t="str">
        <f>_xlfn.IFNA(VLOOKUP($AI90,Programma!$F$3:$I$1101,4,0),"")</f>
        <v/>
      </c>
      <c r="AM90" s="114" t="str">
        <f>_xlfn.IFNA(VLOOKUP($AI90,Programma!$F$3:$J$1101,5,0),"")</f>
        <v/>
      </c>
      <c r="AN90" s="114" t="str">
        <f>_xlfn.IFNA(VLOOKUP($AI90,Programma!$F$3:$K$1101,6,0),"")</f>
        <v/>
      </c>
      <c r="AO90" s="114" t="str">
        <f>_xlfn.IFNA(VLOOKUP($AI90,Programma!$F$3:$L$1101,7,0),"")</f>
        <v/>
      </c>
      <c r="AP90" s="114" t="str">
        <f>_xlfn.IFNA(VLOOKUP($AI90,Programma!$F$3:$M$1101,8,0),"")</f>
        <v/>
      </c>
      <c r="AQ90" s="114" t="str">
        <f>_xlfn.IFNA(VLOOKUP($AI90,Programma!$F$3:$N$1101,9,0),"")</f>
        <v/>
      </c>
      <c r="AR90" s="114" t="str">
        <f>_xlfn.IFNA(VLOOKUP($AI90,Programma!$F$3:$O$1101,10,0),"")</f>
        <v/>
      </c>
      <c r="AS90" s="114" t="str">
        <f>_xlfn.IFNA(VLOOKUP($AI90,Programma!$F$3:$P$1101,11,0),"")</f>
        <v/>
      </c>
      <c r="AT90" s="114" t="str">
        <f>_xlfn.IFNA(VLOOKUP($AI90,Programma!$F$3:$Q$1101,12,0),"")</f>
        <v/>
      </c>
      <c r="AU90" s="114" t="str">
        <f>_xlfn.IFNA(VLOOKUP($AI90,Programma!$F$3:$R$1101,13,0),"")</f>
        <v/>
      </c>
      <c r="AV90" s="114" t="str">
        <f>_xlfn.IFNA(VLOOKUP($AI90,Programma!$F$3:$S$1101,14,0),"")</f>
        <v/>
      </c>
      <c r="AW90" s="114" t="str">
        <f>_xlfn.IFNA(VLOOKUP($AI90,Programma!$F$3:$T$1101,15,0),"")</f>
        <v/>
      </c>
      <c r="AX90" s="114" t="str">
        <f>_xlfn.IFNA(VLOOKUP($AI90,Programma!$F$3:$U$1101,16,0),"")</f>
        <v/>
      </c>
      <c r="AY90" s="114" t="str">
        <f>_xlfn.IFNA(VLOOKUP($AI90,Programma!$F$3:$V$1101,17,0),"")</f>
        <v/>
      </c>
      <c r="AZ90" s="114" t="str">
        <f>_xlfn.IFNA(VLOOKUP($AI90,Programma!$F$3:$W$1101,18,0),"")</f>
        <v/>
      </c>
      <c r="BA90" s="114" t="str">
        <f>_xlfn.IFNA(VLOOKUP($AI90,Programma!$F$3:$X$1101,19,0),"")</f>
        <v/>
      </c>
      <c r="BB90" s="114" t="str">
        <f>_xlfn.IFNA(VLOOKUP($AI90,Programma!$F$3:$Y$1101,20,0),"")</f>
        <v/>
      </c>
      <c r="BC90" s="111"/>
      <c r="BD90" s="110" t="str">
        <f>IF(Ruimtestaat[[#This Row],[Frequentie weekend]]="","",_xlfn.CONCAT(Ruimtestaat[[#This Row],[Ruimte code]],"-",Ruimtestaat[[#This Row],[Frequentie weekend]]," ",Ruimtestaat[[#This Row],[Vloer code]]))</f>
        <v/>
      </c>
      <c r="BE90" s="114" t="str">
        <f>_xlfn.IFNA(VLOOKUP($BD90,Programma!$F$3:$G$1101,2,0),"")</f>
        <v/>
      </c>
      <c r="BF90" s="114" t="str">
        <f>_xlfn.IFNA(VLOOKUP($BD90,Programma!$F$3:$H$1101,3,0),"")</f>
        <v/>
      </c>
      <c r="BG90" s="114" t="str">
        <f>_xlfn.IFNA(VLOOKUP($BD90,Programma!$F$3:$I$1101,4,0),"")</f>
        <v/>
      </c>
      <c r="BH90" s="114" t="str">
        <f>_xlfn.IFNA(VLOOKUP($BD90,Programma!$F$3:$J$1101,5,0),"")</f>
        <v/>
      </c>
      <c r="BI90" s="114" t="str">
        <f>_xlfn.IFNA(VLOOKUP($BD90,Programma!$F$3:$K$1101,6,0),"")</f>
        <v/>
      </c>
      <c r="BJ90" s="114" t="str">
        <f>_xlfn.IFNA(VLOOKUP($BD90,Programma!$F$3:$L$1101,7,0),"")</f>
        <v/>
      </c>
      <c r="BK90" s="114" t="str">
        <f>_xlfn.IFNA(VLOOKUP($BD90,Programma!$F$3:$M$1101,8,0),"")</f>
        <v/>
      </c>
      <c r="BL90" s="114" t="str">
        <f>_xlfn.IFNA(VLOOKUP($BD90,Programma!$F$3:$N$1101,9,0),"")</f>
        <v/>
      </c>
      <c r="BM90" s="114" t="str">
        <f>_xlfn.IFNA(VLOOKUP($BD90,Programma!$F$3:$O$1101,10,0),"")</f>
        <v/>
      </c>
      <c r="BN90" s="114" t="str">
        <f>_xlfn.IFNA(VLOOKUP($BD90,Programma!$F$3:$P$1101,11,0),"")</f>
        <v/>
      </c>
      <c r="BO90" s="114" t="str">
        <f>_xlfn.IFNA(VLOOKUP($BD90,Programma!$F$3:$Q$1101,12,0),"")</f>
        <v/>
      </c>
      <c r="BP90" s="114" t="str">
        <f>_xlfn.IFNA(VLOOKUP($BD90,Programma!$F$3:$R$1101,13,0),"")</f>
        <v/>
      </c>
      <c r="BQ90" s="114" t="str">
        <f>_xlfn.IFNA(VLOOKUP($BD90,Programma!$F$3:$S$1101,14,0),"")</f>
        <v/>
      </c>
      <c r="BR90" s="114" t="str">
        <f>_xlfn.IFNA(VLOOKUP($BD90,Programma!$F$3:$T$1101,15,0),"")</f>
        <v/>
      </c>
      <c r="BS90" s="114" t="str">
        <f>_xlfn.IFNA(VLOOKUP($BD90,Programma!$F$3:$U$1101,16,0),"")</f>
        <v/>
      </c>
      <c r="BT90" s="114" t="str">
        <f>_xlfn.IFNA(VLOOKUP($BD90,Programma!$F$3:$V$1101,17,0),"")</f>
        <v/>
      </c>
      <c r="BU90" s="114" t="str">
        <f>_xlfn.IFNA(VLOOKUP($BD90,Programma!$F$3:$W$1101,18,0),"")</f>
        <v/>
      </c>
      <c r="BV90" s="114" t="str">
        <f>_xlfn.IFNA(VLOOKUP($BD90,Programma!$F$3:$X$1101,19,0),"")</f>
        <v/>
      </c>
      <c r="BW90" s="114" t="str">
        <f>_xlfn.IFNA(VLOOKUP($BD90,Programma!$F$3:$Y$1101,20,0),"")</f>
        <v/>
      </c>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c r="GF90" s="28"/>
      <c r="GG90" s="28"/>
      <c r="GH90" s="28"/>
      <c r="GI90" s="28"/>
      <c r="GJ90" s="28"/>
      <c r="GK90" s="28"/>
      <c r="GL90" s="28"/>
      <c r="GM90" s="28"/>
      <c r="GN90" s="28"/>
      <c r="GO90" s="28"/>
      <c r="GP90" s="28"/>
      <c r="GQ90" s="28"/>
      <c r="GR90" s="28"/>
      <c r="GS90" s="28"/>
      <c r="GT90" s="28"/>
      <c r="GU90" s="28"/>
      <c r="GV90" s="28"/>
      <c r="GW90" s="28"/>
      <c r="GX90" s="28"/>
      <c r="GY90" s="28"/>
      <c r="GZ90" s="28"/>
      <c r="HA90" s="28"/>
      <c r="HB90" s="28"/>
      <c r="HC90" s="28"/>
      <c r="HD90" s="28"/>
      <c r="HE90" s="28"/>
      <c r="HF90" s="28"/>
      <c r="HG90" s="28"/>
      <c r="HH90" s="28"/>
      <c r="HI90" s="28"/>
      <c r="HJ90" s="28"/>
      <c r="HK90" s="28"/>
      <c r="HL90" s="28"/>
    </row>
    <row r="91" spans="1:220" ht="15" customHeight="1">
      <c r="A91" s="31">
        <v>2</v>
      </c>
      <c r="B91" s="105" t="str">
        <f>VLOOKUP(Ruimtestaat[[#This Row],[Code]],Locaties[[Code]:[Locatie]],2,FALSE)</f>
        <v>IKC De Hoge Hoeve</v>
      </c>
      <c r="C91" s="105" t="str">
        <f>VLOOKUP(Ruimtestaat[[#This Row],[Code]],Locaties[[#All],[Code]:[Adres]],4,FALSE)</f>
        <v>De Hoge Hoeve 70</v>
      </c>
      <c r="D91" s="105" t="str">
        <f>VLOOKUP(Ruimtestaat[[#This Row],[Code]],Locaties[[#All],[Code]:[Postcode]],5,FALSE)</f>
        <v>6932 DJ</v>
      </c>
      <c r="E91" s="105" t="str">
        <f>VLOOKUP(Ruimtestaat[[#This Row],[Code]],Locaties[#All],6,FALSE)</f>
        <v>Westervoort</v>
      </c>
      <c r="F91" s="73"/>
      <c r="G91" s="73" t="s">
        <v>1645</v>
      </c>
      <c r="H91" s="271" t="s">
        <v>1698</v>
      </c>
      <c r="I91" s="273" t="s">
        <v>1738</v>
      </c>
      <c r="J91" s="31">
        <v>6</v>
      </c>
      <c r="K91" s="113" t="str">
        <f>VLOOKUP(Ruimtestaat[[#This Row],[Ruimte code]],Ruimtegroepen[[#All],[Code]:[Ruimte omschrijving]],2,FALSE)</f>
        <v>Gangen/hallen</v>
      </c>
      <c r="L91" s="73" t="s">
        <v>102</v>
      </c>
      <c r="M91" s="273" t="s">
        <v>120</v>
      </c>
      <c r="N91" s="106">
        <v>6</v>
      </c>
      <c r="O91" s="112"/>
      <c r="P91" s="112"/>
      <c r="Q91" s="107" t="str">
        <f>VLOOKUP(Ruimtestaat[[#This Row],[Ruimte code]],Ruimtegroepen[],4,FALSE)</f>
        <v>Ve</v>
      </c>
      <c r="R91" s="73">
        <v>40</v>
      </c>
      <c r="S91" s="73" t="s">
        <v>2</v>
      </c>
      <c r="T91" s="73">
        <f>IF(R91&gt;0,IF(RIGHT(Ruimtestaat[[#This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1" s="73">
        <f>IF(T91&gt;0,VLOOKUP($J91,Ruimtegroepen[],3,FALSE)*VLOOKUP($L91,Vloersoorten[],3,FALSE)*VLOOKUP($S91,Frequenties[],3,FALSE)*VLOOKUP($A91,Locaties[],3,FALSE),0)</f>
        <v>0</v>
      </c>
      <c r="V91" s="73">
        <f>Ruimtestaat[[#This Row],[Uitvoeringen werkdagen]]*Ruimtestaat[[#This Row],[Oppervlak (netto)]]</f>
        <v>1200</v>
      </c>
      <c r="W91" s="108">
        <f>IF(U91&gt;0,Ruimtestaat[[#This Row],[Prest. (m2 /jaar) werkdagen]]/Ruimtestaat[[#This Row],[Norm (m2/uur) werkdagen]],0)</f>
        <v>0</v>
      </c>
      <c r="X91" s="109">
        <f>Ruimtestaat[[#This Row],[uren / jaar werkdagen]]*Tariefsopbouw!$E$35</f>
        <v>0</v>
      </c>
      <c r="Y91" s="73"/>
      <c r="Z91" s="73">
        <f>IF(Ruimtestaat[[#This Row],[Frequentie weekend]]&gt;0,VALUE(LEFT(Y91,1))*R91,0)</f>
        <v>0</v>
      </c>
      <c r="AA91" s="72">
        <f>IF($Z91&gt;0,VLOOKUP($J91,Ruimtegroepen[],3,FALSE)*VLOOKUP($L91,Vloersoorten[],3,FALSE)*VLOOKUP($Y91,Frequenties[],3,FALSE)*VLOOKUP(Ruimtestaat[[#This Row],[Code]],Locaties[],3,FALSE),0)</f>
        <v>0</v>
      </c>
      <c r="AB91" s="72">
        <f>Ruimtestaat[[#This Row],[Uitvoeringen weekend]]*Ruimtestaat[[#This Row],[Oppervlak (netto)]]</f>
        <v>0</v>
      </c>
      <c r="AC91" s="72">
        <f>IF(AA91&gt;0,Ruimtestaat[[#This Row],[Prest. (m2 /jaar) weekend]]/Ruimtestaat[[#This Row],[Norm (m2/uur) weekend]],0)</f>
        <v>0</v>
      </c>
      <c r="AD91" s="109">
        <f>Ruimtestaat[[#This Row],[uren / jaar weekend]]*Tariefsopbouw!$D$40</f>
        <v>0</v>
      </c>
      <c r="AE91" s="108">
        <f>Ruimtestaat[[#This Row],[Prest. (m2 /jaar) weekend]]+Ruimtestaat[[#This Row],[Prest. (m2 /jaar) werkdagen]]</f>
        <v>1200</v>
      </c>
      <c r="AF91" s="108">
        <f>Ruimtestaat[[#This Row],[uren / jaar weekend]]+Ruimtestaat[[#This Row],[uren / jaar werkdagen]]</f>
        <v>0</v>
      </c>
      <c r="AG91" s="103">
        <f>Ruimtestaat[[#This Row],[kosten / jaar weekend]]+Ruimtestaat[[#This Row],[kosten / jaar werkdagen]]</f>
        <v>0</v>
      </c>
      <c r="AH91" s="103"/>
      <c r="AI91" s="110" t="str">
        <f>IF(Ruimtestaat[[#This Row],[Frequentie werkdagen]]="","",_xlfn.CONCAT(Ruimtestaat[[#This Row],[Ruimte code]],"-",Ruimtestaat[[#This Row],[Frequentie werkdagen]]," ",Ruimtestaat[[#This Row],[Vloer code]]))</f>
        <v>6-5w P</v>
      </c>
      <c r="AJ91" s="114" t="str">
        <f>_xlfn.IFNA(VLOOKUP($AI91,Programma!$F$3:$G$1101,2,0),"")</f>
        <v>_</v>
      </c>
      <c r="AK91" s="114" t="str">
        <f>_xlfn.IFNA(VLOOKUP($AI91,Programma!$F$3:$H$1101,3,0),"")</f>
        <v>_</v>
      </c>
      <c r="AL91" s="114" t="str">
        <f>_xlfn.IFNA(VLOOKUP($AI91,Programma!$F$3:$I$1101,4,0),"")</f>
        <v>5w</v>
      </c>
      <c r="AM91" s="114" t="str">
        <f>_xlfn.IFNA(VLOOKUP($AI91,Programma!$F$3:$J$1101,5,0),"")</f>
        <v>_</v>
      </c>
      <c r="AN91" s="114" t="str">
        <f>_xlfn.IFNA(VLOOKUP($AI91,Programma!$F$3:$K$1101,6,0),"")</f>
        <v>5w</v>
      </c>
      <c r="AO91" s="114" t="str">
        <f>_xlfn.IFNA(VLOOKUP($AI91,Programma!$F$3:$L$1101,7,0),"")</f>
        <v>_</v>
      </c>
      <c r="AP91" s="114" t="str">
        <f>_xlfn.IFNA(VLOOKUP($AI91,Programma!$F$3:$M$1101,8,0),"")</f>
        <v>_</v>
      </c>
      <c r="AQ91" s="114" t="str">
        <f>_xlfn.IFNA(VLOOKUP($AI91,Programma!$F$3:$N$1101,9,0),"")</f>
        <v>_</v>
      </c>
      <c r="AR91" s="114" t="str">
        <f>_xlfn.IFNA(VLOOKUP($AI91,Programma!$F$3:$O$1101,10,0),"")</f>
        <v>5w</v>
      </c>
      <c r="AS91" s="114" t="str">
        <f>_xlfn.IFNA(VLOOKUP($AI91,Programma!$F$3:$P$1101,11,0),"")</f>
        <v>5w</v>
      </c>
      <c r="AT91" s="114" t="str">
        <f>_xlfn.IFNA(VLOOKUP($AI91,Programma!$F$3:$Q$1101,12,0),"")</f>
        <v>1w</v>
      </c>
      <c r="AU91" s="114" t="str">
        <f>_xlfn.IFNA(VLOOKUP($AI91,Programma!$F$3:$R$1101,13,0),"")</f>
        <v>1w</v>
      </c>
      <c r="AV91" s="114" t="str">
        <f>_xlfn.IFNA(VLOOKUP($AI91,Programma!$F$3:$S$1101,14,0),"")</f>
        <v>1m</v>
      </c>
      <c r="AW91" s="114" t="str">
        <f>_xlfn.IFNA(VLOOKUP($AI91,Programma!$F$3:$T$1101,15,0),"")</f>
        <v>2j</v>
      </c>
      <c r="AX91" s="114" t="str">
        <f>_xlfn.IFNA(VLOOKUP($AI91,Programma!$F$3:$U$1101,16,0),"")</f>
        <v>1j</v>
      </c>
      <c r="AY91" s="114" t="str">
        <f>_xlfn.IFNA(VLOOKUP($AI91,Programma!$F$3:$V$1101,17,0),"")</f>
        <v>_</v>
      </c>
      <c r="AZ91" s="114" t="str">
        <f>_xlfn.IFNA(VLOOKUP($AI91,Programma!$F$3:$W$1101,18,0),"")</f>
        <v>_</v>
      </c>
      <c r="BA91" s="114" t="str">
        <f>_xlfn.IFNA(VLOOKUP($AI91,Programma!$F$3:$X$1101,19,0),"")</f>
        <v>_</v>
      </c>
      <c r="BB91" s="114" t="str">
        <f>_xlfn.IFNA(VLOOKUP($AI91,Programma!$F$3:$Y$1101,20,0),"")</f>
        <v>_</v>
      </c>
      <c r="BC91" s="111"/>
      <c r="BD91" s="110" t="str">
        <f>IF(Ruimtestaat[[#This Row],[Frequentie weekend]]="","",_xlfn.CONCAT(Ruimtestaat[[#This Row],[Ruimte code]],"-",Ruimtestaat[[#This Row],[Frequentie weekend]]," ",Ruimtestaat[[#This Row],[Vloer code]]))</f>
        <v/>
      </c>
      <c r="BE91" s="114" t="str">
        <f>_xlfn.IFNA(VLOOKUP($BD91,Programma!$F$3:$G$1101,2,0),"")</f>
        <v/>
      </c>
      <c r="BF91" s="114" t="str">
        <f>_xlfn.IFNA(VLOOKUP($BD91,Programma!$F$3:$H$1101,3,0),"")</f>
        <v/>
      </c>
      <c r="BG91" s="114" t="str">
        <f>_xlfn.IFNA(VLOOKUP($BD91,Programma!$F$3:$I$1101,4,0),"")</f>
        <v/>
      </c>
      <c r="BH91" s="114" t="str">
        <f>_xlfn.IFNA(VLOOKUP($BD91,Programma!$F$3:$J$1101,5,0),"")</f>
        <v/>
      </c>
      <c r="BI91" s="114" t="str">
        <f>_xlfn.IFNA(VLOOKUP($BD91,Programma!$F$3:$K$1101,6,0),"")</f>
        <v/>
      </c>
      <c r="BJ91" s="114" t="str">
        <f>_xlfn.IFNA(VLOOKUP($BD91,Programma!$F$3:$L$1101,7,0),"")</f>
        <v/>
      </c>
      <c r="BK91" s="114" t="str">
        <f>_xlfn.IFNA(VLOOKUP($BD91,Programma!$F$3:$M$1101,8,0),"")</f>
        <v/>
      </c>
      <c r="BL91" s="114" t="str">
        <f>_xlfn.IFNA(VLOOKUP($BD91,Programma!$F$3:$N$1101,9,0),"")</f>
        <v/>
      </c>
      <c r="BM91" s="114" t="str">
        <f>_xlfn.IFNA(VLOOKUP($BD91,Programma!$F$3:$O$1101,10,0),"")</f>
        <v/>
      </c>
      <c r="BN91" s="114" t="str">
        <f>_xlfn.IFNA(VLOOKUP($BD91,Programma!$F$3:$P$1101,11,0),"")</f>
        <v/>
      </c>
      <c r="BO91" s="114" t="str">
        <f>_xlfn.IFNA(VLOOKUP($BD91,Programma!$F$3:$Q$1101,12,0),"")</f>
        <v/>
      </c>
      <c r="BP91" s="114" t="str">
        <f>_xlfn.IFNA(VLOOKUP($BD91,Programma!$F$3:$R$1101,13,0),"")</f>
        <v/>
      </c>
      <c r="BQ91" s="114" t="str">
        <f>_xlfn.IFNA(VLOOKUP($BD91,Programma!$F$3:$S$1101,14,0),"")</f>
        <v/>
      </c>
      <c r="BR91" s="114" t="str">
        <f>_xlfn.IFNA(VLOOKUP($BD91,Programma!$F$3:$T$1101,15,0),"")</f>
        <v/>
      </c>
      <c r="BS91" s="114" t="str">
        <f>_xlfn.IFNA(VLOOKUP($BD91,Programma!$F$3:$U$1101,16,0),"")</f>
        <v/>
      </c>
      <c r="BT91" s="114" t="str">
        <f>_xlfn.IFNA(VLOOKUP($BD91,Programma!$F$3:$V$1101,17,0),"")</f>
        <v/>
      </c>
      <c r="BU91" s="114" t="str">
        <f>_xlfn.IFNA(VLOOKUP($BD91,Programma!$F$3:$W$1101,18,0),"")</f>
        <v/>
      </c>
      <c r="BV91" s="114" t="str">
        <f>_xlfn.IFNA(VLOOKUP($BD91,Programma!$F$3:$X$1101,19,0),"")</f>
        <v/>
      </c>
      <c r="BW91" s="114" t="str">
        <f>_xlfn.IFNA(VLOOKUP($BD91,Programma!$F$3:$Y$1101,20,0),"")</f>
        <v/>
      </c>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c r="HL91" s="28"/>
    </row>
    <row r="92" spans="1:220" ht="15" customHeight="1">
      <c r="A92" s="31">
        <v>2</v>
      </c>
      <c r="B92" s="105" t="str">
        <f>VLOOKUP(Ruimtestaat[[#This Row],[Code]],Locaties[[Code]:[Locatie]],2,FALSE)</f>
        <v>IKC De Hoge Hoeve</v>
      </c>
      <c r="C92" s="105" t="str">
        <f>VLOOKUP(Ruimtestaat[[#This Row],[Code]],Locaties[[#All],[Code]:[Adres]],4,FALSE)</f>
        <v>De Hoge Hoeve 70</v>
      </c>
      <c r="D92" s="105" t="str">
        <f>VLOOKUP(Ruimtestaat[[#This Row],[Code]],Locaties[[#All],[Code]:[Postcode]],5,FALSE)</f>
        <v>6932 DJ</v>
      </c>
      <c r="E92" s="105" t="str">
        <f>VLOOKUP(Ruimtestaat[[#This Row],[Code]],Locaties[#All],6,FALSE)</f>
        <v>Westervoort</v>
      </c>
      <c r="F92" s="73"/>
      <c r="G92" s="73" t="s">
        <v>1645</v>
      </c>
      <c r="H92" s="271" t="s">
        <v>1699</v>
      </c>
      <c r="I92" s="273" t="s">
        <v>1737</v>
      </c>
      <c r="J92" s="31">
        <v>16</v>
      </c>
      <c r="K92" s="113" t="str">
        <f>VLOOKUP(Ruimtestaat[[#This Row],[Ruimte code]],Ruimtegroepen[[#All],[Code]:[Ruimte omschrijving]],2,FALSE)</f>
        <v>Leslokalen</v>
      </c>
      <c r="L92" s="73" t="s">
        <v>102</v>
      </c>
      <c r="M92" s="273" t="s">
        <v>120</v>
      </c>
      <c r="N92" s="106">
        <v>35</v>
      </c>
      <c r="O92" s="112"/>
      <c r="P92" s="112"/>
      <c r="Q92" s="107" t="str">
        <f>VLOOKUP(Ruimtestaat[[#This Row],[Ruimte code]],Ruimtegroepen[],4,FALSE)</f>
        <v>Le</v>
      </c>
      <c r="R92" s="73">
        <v>40</v>
      </c>
      <c r="S92" s="73" t="s">
        <v>2</v>
      </c>
      <c r="T92" s="73">
        <f>IF(R92&gt;0,IF(RIGHT(Ruimtestaat[[#This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2" s="73">
        <f>IF(T92&gt;0,VLOOKUP($J92,Ruimtegroepen[],3,FALSE)*VLOOKUP($L92,Vloersoorten[],3,FALSE)*VLOOKUP($S92,Frequenties[],3,FALSE)*VLOOKUP($A92,Locaties[],3,FALSE),0)</f>
        <v>0</v>
      </c>
      <c r="V92" s="73">
        <f>Ruimtestaat[[#This Row],[Uitvoeringen werkdagen]]*Ruimtestaat[[#This Row],[Oppervlak (netto)]]</f>
        <v>7000</v>
      </c>
      <c r="W92" s="108">
        <f>IF(U92&gt;0,Ruimtestaat[[#This Row],[Prest. (m2 /jaar) werkdagen]]/Ruimtestaat[[#This Row],[Norm (m2/uur) werkdagen]],0)</f>
        <v>0</v>
      </c>
      <c r="X92" s="109">
        <f>Ruimtestaat[[#This Row],[uren / jaar werkdagen]]*Tariefsopbouw!$E$35</f>
        <v>0</v>
      </c>
      <c r="Y92" s="73"/>
      <c r="Z92" s="73">
        <f>IF(Ruimtestaat[[#This Row],[Frequentie weekend]]&gt;0,VALUE(LEFT(Y92,1))*R92,0)</f>
        <v>0</v>
      </c>
      <c r="AA92" s="72">
        <f>IF($Z92&gt;0,VLOOKUP($J92,Ruimtegroepen[],3,FALSE)*VLOOKUP($L92,Vloersoorten[],3,FALSE)*VLOOKUP($Y92,Frequenties[],3,FALSE)*VLOOKUP(Ruimtestaat[[#This Row],[Code]],Locaties[],3,FALSE),0)</f>
        <v>0</v>
      </c>
      <c r="AB92" s="72">
        <f>Ruimtestaat[[#This Row],[Uitvoeringen weekend]]*Ruimtestaat[[#This Row],[Oppervlak (netto)]]</f>
        <v>0</v>
      </c>
      <c r="AC92" s="72">
        <f>IF(AA92&gt;0,Ruimtestaat[[#This Row],[Prest. (m2 /jaar) weekend]]/Ruimtestaat[[#This Row],[Norm (m2/uur) weekend]],0)</f>
        <v>0</v>
      </c>
      <c r="AD92" s="109">
        <f>Ruimtestaat[[#This Row],[uren / jaar weekend]]*Tariefsopbouw!$D$40</f>
        <v>0</v>
      </c>
      <c r="AE92" s="108">
        <f>Ruimtestaat[[#This Row],[Prest. (m2 /jaar) weekend]]+Ruimtestaat[[#This Row],[Prest. (m2 /jaar) werkdagen]]</f>
        <v>7000</v>
      </c>
      <c r="AF92" s="108">
        <f>Ruimtestaat[[#This Row],[uren / jaar weekend]]+Ruimtestaat[[#This Row],[uren / jaar werkdagen]]</f>
        <v>0</v>
      </c>
      <c r="AG92" s="103">
        <f>Ruimtestaat[[#This Row],[kosten / jaar weekend]]+Ruimtestaat[[#This Row],[kosten / jaar werkdagen]]</f>
        <v>0</v>
      </c>
      <c r="AH92" s="103"/>
      <c r="AI92" s="110" t="str">
        <f>IF(Ruimtestaat[[#This Row],[Frequentie werkdagen]]="","",_xlfn.CONCAT(Ruimtestaat[[#This Row],[Ruimte code]],"-",Ruimtestaat[[#This Row],[Frequentie werkdagen]]," ",Ruimtestaat[[#This Row],[Vloer code]]))</f>
        <v>16-5w P</v>
      </c>
      <c r="AJ92" s="114" t="str">
        <f>_xlfn.IFNA(VLOOKUP($AI92,Programma!$F$3:$G$1101,2,0),"")</f>
        <v>_</v>
      </c>
      <c r="AK92" s="114" t="str">
        <f>_xlfn.IFNA(VLOOKUP($AI92,Programma!$F$3:$H$1101,3,0),"")</f>
        <v>_</v>
      </c>
      <c r="AL92" s="114" t="str">
        <f>_xlfn.IFNA(VLOOKUP($AI92,Programma!$F$3:$I$1101,4,0),"")</f>
        <v>4w</v>
      </c>
      <c r="AM92" s="114" t="str">
        <f>_xlfn.IFNA(VLOOKUP($AI92,Programma!$F$3:$J$1101,5,0),"")</f>
        <v>1w</v>
      </c>
      <c r="AN92" s="114" t="str">
        <f>_xlfn.IFNA(VLOOKUP($AI92,Programma!$F$3:$K$1101,6,0),"")</f>
        <v>1m</v>
      </c>
      <c r="AO92" s="114" t="str">
        <f>_xlfn.IFNA(VLOOKUP($AI92,Programma!$F$3:$L$1101,7,0),"")</f>
        <v>_</v>
      </c>
      <c r="AP92" s="114" t="str">
        <f>_xlfn.IFNA(VLOOKUP($AI92,Programma!$F$3:$M$1101,8,0),"")</f>
        <v>_</v>
      </c>
      <c r="AQ92" s="114" t="str">
        <f>_xlfn.IFNA(VLOOKUP($AI92,Programma!$F$3:$N$1101,9,0),"")</f>
        <v>_</v>
      </c>
      <c r="AR92" s="114" t="str">
        <f>_xlfn.IFNA(VLOOKUP($AI92,Programma!$F$3:$O$1101,10,0),"")</f>
        <v>5w</v>
      </c>
      <c r="AS92" s="114" t="str">
        <f>_xlfn.IFNA(VLOOKUP($AI92,Programma!$F$3:$P$1101,11,0),"")</f>
        <v>5w</v>
      </c>
      <c r="AT92" s="114" t="str">
        <f>_xlfn.IFNA(VLOOKUP($AI92,Programma!$F$3:$Q$1101,12,0),"")</f>
        <v>1w</v>
      </c>
      <c r="AU92" s="114" t="str">
        <f>_xlfn.IFNA(VLOOKUP($AI92,Programma!$F$3:$R$1101,13,0),"")</f>
        <v>1w</v>
      </c>
      <c r="AV92" s="114" t="str">
        <f>_xlfn.IFNA(VLOOKUP($AI92,Programma!$F$3:$S$1101,14,0),"")</f>
        <v>1m</v>
      </c>
      <c r="AW92" s="114" t="str">
        <f>_xlfn.IFNA(VLOOKUP($AI92,Programma!$F$3:$T$1101,15,0),"")</f>
        <v>2j</v>
      </c>
      <c r="AX92" s="114" t="str">
        <f>_xlfn.IFNA(VLOOKUP($AI92,Programma!$F$3:$U$1101,16,0),"")</f>
        <v>1j</v>
      </c>
      <c r="AY92" s="114" t="str">
        <f>_xlfn.IFNA(VLOOKUP($AI92,Programma!$F$3:$V$1101,17,0),"")</f>
        <v>_</v>
      </c>
      <c r="AZ92" s="114" t="str">
        <f>_xlfn.IFNA(VLOOKUP($AI92,Programma!$F$3:$W$1101,18,0),"")</f>
        <v>_</v>
      </c>
      <c r="BA92" s="114" t="str">
        <f>_xlfn.IFNA(VLOOKUP($AI92,Programma!$F$3:$X$1101,19,0),"")</f>
        <v>_</v>
      </c>
      <c r="BB92" s="114" t="str">
        <f>_xlfn.IFNA(VLOOKUP($AI92,Programma!$F$3:$Y$1101,20,0),"")</f>
        <v>_</v>
      </c>
      <c r="BC92" s="111"/>
      <c r="BD92" s="110" t="str">
        <f>IF(Ruimtestaat[[#This Row],[Frequentie weekend]]="","",_xlfn.CONCAT(Ruimtestaat[[#This Row],[Ruimte code]],"-",Ruimtestaat[[#This Row],[Frequentie weekend]]," ",Ruimtestaat[[#This Row],[Vloer code]]))</f>
        <v/>
      </c>
      <c r="BE92" s="114" t="str">
        <f>_xlfn.IFNA(VLOOKUP($BD92,Programma!$F$3:$G$1101,2,0),"")</f>
        <v/>
      </c>
      <c r="BF92" s="114" t="str">
        <f>_xlfn.IFNA(VLOOKUP($BD92,Programma!$F$3:$H$1101,3,0),"")</f>
        <v/>
      </c>
      <c r="BG92" s="114" t="str">
        <f>_xlfn.IFNA(VLOOKUP($BD92,Programma!$F$3:$I$1101,4,0),"")</f>
        <v/>
      </c>
      <c r="BH92" s="114" t="str">
        <f>_xlfn.IFNA(VLOOKUP($BD92,Programma!$F$3:$J$1101,5,0),"")</f>
        <v/>
      </c>
      <c r="BI92" s="114" t="str">
        <f>_xlfn.IFNA(VLOOKUP($BD92,Programma!$F$3:$K$1101,6,0),"")</f>
        <v/>
      </c>
      <c r="BJ92" s="114" t="str">
        <f>_xlfn.IFNA(VLOOKUP($BD92,Programma!$F$3:$L$1101,7,0),"")</f>
        <v/>
      </c>
      <c r="BK92" s="114" t="str">
        <f>_xlfn.IFNA(VLOOKUP($BD92,Programma!$F$3:$M$1101,8,0),"")</f>
        <v/>
      </c>
      <c r="BL92" s="114" t="str">
        <f>_xlfn.IFNA(VLOOKUP($BD92,Programma!$F$3:$N$1101,9,0),"")</f>
        <v/>
      </c>
      <c r="BM92" s="114" t="str">
        <f>_xlfn.IFNA(VLOOKUP($BD92,Programma!$F$3:$O$1101,10,0),"")</f>
        <v/>
      </c>
      <c r="BN92" s="114" t="str">
        <f>_xlfn.IFNA(VLOOKUP($BD92,Programma!$F$3:$P$1101,11,0),"")</f>
        <v/>
      </c>
      <c r="BO92" s="114" t="str">
        <f>_xlfn.IFNA(VLOOKUP($BD92,Programma!$F$3:$Q$1101,12,0),"")</f>
        <v/>
      </c>
      <c r="BP92" s="114" t="str">
        <f>_xlfn.IFNA(VLOOKUP($BD92,Programma!$F$3:$R$1101,13,0),"")</f>
        <v/>
      </c>
      <c r="BQ92" s="114" t="str">
        <f>_xlfn.IFNA(VLOOKUP($BD92,Programma!$F$3:$S$1101,14,0),"")</f>
        <v/>
      </c>
      <c r="BR92" s="114" t="str">
        <f>_xlfn.IFNA(VLOOKUP($BD92,Programma!$F$3:$T$1101,15,0),"")</f>
        <v/>
      </c>
      <c r="BS92" s="114" t="str">
        <f>_xlfn.IFNA(VLOOKUP($BD92,Programma!$F$3:$U$1101,16,0),"")</f>
        <v/>
      </c>
      <c r="BT92" s="114" t="str">
        <f>_xlfn.IFNA(VLOOKUP($BD92,Programma!$F$3:$V$1101,17,0),"")</f>
        <v/>
      </c>
      <c r="BU92" s="114" t="str">
        <f>_xlfn.IFNA(VLOOKUP($BD92,Programma!$F$3:$W$1101,18,0),"")</f>
        <v/>
      </c>
      <c r="BV92" s="114" t="str">
        <f>_xlfn.IFNA(VLOOKUP($BD92,Programma!$F$3:$X$1101,19,0),"")</f>
        <v/>
      </c>
      <c r="BW92" s="114" t="str">
        <f>_xlfn.IFNA(VLOOKUP($BD92,Programma!$F$3:$Y$1101,20,0),"")</f>
        <v/>
      </c>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c r="HL92" s="28"/>
    </row>
    <row r="93" spans="1:220" ht="15" customHeight="1">
      <c r="A93" s="31">
        <v>2</v>
      </c>
      <c r="B93" s="105" t="str">
        <f>VLOOKUP(Ruimtestaat[[#This Row],[Code]],Locaties[[Code]:[Locatie]],2,FALSE)</f>
        <v>IKC De Hoge Hoeve</v>
      </c>
      <c r="C93" s="105" t="str">
        <f>VLOOKUP(Ruimtestaat[[#This Row],[Code]],Locaties[[#All],[Code]:[Adres]],4,FALSE)</f>
        <v>De Hoge Hoeve 70</v>
      </c>
      <c r="D93" s="105" t="str">
        <f>VLOOKUP(Ruimtestaat[[#This Row],[Code]],Locaties[[#All],[Code]:[Postcode]],5,FALSE)</f>
        <v>6932 DJ</v>
      </c>
      <c r="E93" s="105" t="str">
        <f>VLOOKUP(Ruimtestaat[[#This Row],[Code]],Locaties[#All],6,FALSE)</f>
        <v>Westervoort</v>
      </c>
      <c r="F93" s="73"/>
      <c r="G93" s="73" t="s">
        <v>1645</v>
      </c>
      <c r="H93" s="271" t="s">
        <v>1700</v>
      </c>
      <c r="I93" s="273" t="s">
        <v>1665</v>
      </c>
      <c r="J93" s="31">
        <v>20</v>
      </c>
      <c r="K93" s="113" t="str">
        <f>VLOOKUP(Ruimtestaat[[#This Row],[Ruimte code]],Ruimtegroepen[[#All],[Code]:[Ruimte omschrijving]],2,FALSE)</f>
        <v>Niet in Onderhoud</v>
      </c>
      <c r="L93" s="73"/>
      <c r="M93" s="273"/>
      <c r="N93" s="106"/>
      <c r="O93" s="112">
        <v>10</v>
      </c>
      <c r="P93" s="73"/>
      <c r="Q93" s="107">
        <f>VLOOKUP(Ruimtestaat[[#This Row],[Ruimte code]],Ruimtegroepen[],4,FALSE)</f>
        <v>0</v>
      </c>
      <c r="R93" s="73"/>
      <c r="S93" s="73"/>
      <c r="T93" s="73">
        <f>IF(R93&gt;0,IF(RIGHT(Ruimtestaat[[#This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3" s="73">
        <f>IF(T93&gt;0,VLOOKUP($J93,Ruimtegroepen[],3,FALSE)*VLOOKUP($L93,Vloersoorten[],3,FALSE)*VLOOKUP($S93,Frequenties[],3,FALSE)*VLOOKUP($A93,Locaties[],3,FALSE),0)</f>
        <v>0</v>
      </c>
      <c r="V93" s="73">
        <f>Ruimtestaat[[#This Row],[Uitvoeringen werkdagen]]*Ruimtestaat[[#This Row],[Oppervlak (netto)]]</f>
        <v>0</v>
      </c>
      <c r="W93" s="108">
        <f>IF(U93&gt;0,Ruimtestaat[[#This Row],[Prest. (m2 /jaar) werkdagen]]/Ruimtestaat[[#This Row],[Norm (m2/uur) werkdagen]],0)</f>
        <v>0</v>
      </c>
      <c r="X93" s="109">
        <f>Ruimtestaat[[#This Row],[uren / jaar werkdagen]]*Tariefsopbouw!$E$35</f>
        <v>0</v>
      </c>
      <c r="Y93" s="73"/>
      <c r="Z93" s="73">
        <f>IF(Ruimtestaat[[#This Row],[Frequentie weekend]]&gt;0,VALUE(LEFT(Y93,1))*R93,0)</f>
        <v>0</v>
      </c>
      <c r="AA93" s="72">
        <f>IF($Z93&gt;0,VLOOKUP($J93,Ruimtegroepen[],3,FALSE)*VLOOKUP($L93,Vloersoorten[],3,FALSE)*VLOOKUP($Y93,Frequenties[],3,FALSE)*VLOOKUP(Ruimtestaat[[#This Row],[Code]],Locaties[],3,FALSE),0)</f>
        <v>0</v>
      </c>
      <c r="AB93" s="72">
        <f>Ruimtestaat[[#This Row],[Uitvoeringen weekend]]*Ruimtestaat[[#This Row],[Oppervlak (netto)]]</f>
        <v>0</v>
      </c>
      <c r="AC93" s="72">
        <f>IF(AA93&gt;0,Ruimtestaat[[#This Row],[Prest. (m2 /jaar) weekend]]/Ruimtestaat[[#This Row],[Norm (m2/uur) weekend]],0)</f>
        <v>0</v>
      </c>
      <c r="AD93" s="109">
        <f>Ruimtestaat[[#This Row],[uren / jaar weekend]]*Tariefsopbouw!$D$40</f>
        <v>0</v>
      </c>
      <c r="AE93" s="108">
        <f>Ruimtestaat[[#This Row],[Prest. (m2 /jaar) weekend]]+Ruimtestaat[[#This Row],[Prest. (m2 /jaar) werkdagen]]</f>
        <v>0</v>
      </c>
      <c r="AF93" s="108">
        <f>Ruimtestaat[[#This Row],[uren / jaar weekend]]+Ruimtestaat[[#This Row],[uren / jaar werkdagen]]</f>
        <v>0</v>
      </c>
      <c r="AG93" s="103">
        <f>Ruimtestaat[[#This Row],[kosten / jaar weekend]]+Ruimtestaat[[#This Row],[kosten / jaar werkdagen]]</f>
        <v>0</v>
      </c>
      <c r="AH93" s="103"/>
      <c r="AI93" s="110" t="str">
        <f>IF(Ruimtestaat[[#This Row],[Frequentie werkdagen]]="","",_xlfn.CONCAT(Ruimtestaat[[#This Row],[Ruimte code]],"-",Ruimtestaat[[#This Row],[Frequentie werkdagen]]," ",Ruimtestaat[[#This Row],[Vloer code]]))</f>
        <v/>
      </c>
      <c r="AJ93" s="114" t="str">
        <f>_xlfn.IFNA(VLOOKUP($AI93,Programma!$F$3:$G$1101,2,0),"")</f>
        <v/>
      </c>
      <c r="AK93" s="114" t="str">
        <f>_xlfn.IFNA(VLOOKUP($AI93,Programma!$F$3:$H$1101,3,0),"")</f>
        <v/>
      </c>
      <c r="AL93" s="114" t="str">
        <f>_xlfn.IFNA(VLOOKUP($AI93,Programma!$F$3:$I$1101,4,0),"")</f>
        <v/>
      </c>
      <c r="AM93" s="114" t="str">
        <f>_xlfn.IFNA(VLOOKUP($AI93,Programma!$F$3:$J$1101,5,0),"")</f>
        <v/>
      </c>
      <c r="AN93" s="114" t="str">
        <f>_xlfn.IFNA(VLOOKUP($AI93,Programma!$F$3:$K$1101,6,0),"")</f>
        <v/>
      </c>
      <c r="AO93" s="114" t="str">
        <f>_xlfn.IFNA(VLOOKUP($AI93,Programma!$F$3:$L$1101,7,0),"")</f>
        <v/>
      </c>
      <c r="AP93" s="114" t="str">
        <f>_xlfn.IFNA(VLOOKUP($AI93,Programma!$F$3:$M$1101,8,0),"")</f>
        <v/>
      </c>
      <c r="AQ93" s="114" t="str">
        <f>_xlfn.IFNA(VLOOKUP($AI93,Programma!$F$3:$N$1101,9,0),"")</f>
        <v/>
      </c>
      <c r="AR93" s="114" t="str">
        <f>_xlfn.IFNA(VLOOKUP($AI93,Programma!$F$3:$O$1101,10,0),"")</f>
        <v/>
      </c>
      <c r="AS93" s="114" t="str">
        <f>_xlfn.IFNA(VLOOKUP($AI93,Programma!$F$3:$P$1101,11,0),"")</f>
        <v/>
      </c>
      <c r="AT93" s="114" t="str">
        <f>_xlfn.IFNA(VLOOKUP($AI93,Programma!$F$3:$Q$1101,12,0),"")</f>
        <v/>
      </c>
      <c r="AU93" s="114" t="str">
        <f>_xlfn.IFNA(VLOOKUP($AI93,Programma!$F$3:$R$1101,13,0),"")</f>
        <v/>
      </c>
      <c r="AV93" s="114" t="str">
        <f>_xlfn.IFNA(VLOOKUP($AI93,Programma!$F$3:$S$1101,14,0),"")</f>
        <v/>
      </c>
      <c r="AW93" s="114" t="str">
        <f>_xlfn.IFNA(VLOOKUP($AI93,Programma!$F$3:$T$1101,15,0),"")</f>
        <v/>
      </c>
      <c r="AX93" s="114" t="str">
        <f>_xlfn.IFNA(VLOOKUP($AI93,Programma!$F$3:$U$1101,16,0),"")</f>
        <v/>
      </c>
      <c r="AY93" s="114" t="str">
        <f>_xlfn.IFNA(VLOOKUP($AI93,Programma!$F$3:$V$1101,17,0),"")</f>
        <v/>
      </c>
      <c r="AZ93" s="114" t="str">
        <f>_xlfn.IFNA(VLOOKUP($AI93,Programma!$F$3:$W$1101,18,0),"")</f>
        <v/>
      </c>
      <c r="BA93" s="114" t="str">
        <f>_xlfn.IFNA(VLOOKUP($AI93,Programma!$F$3:$X$1101,19,0),"")</f>
        <v/>
      </c>
      <c r="BB93" s="114" t="str">
        <f>_xlfn.IFNA(VLOOKUP($AI93,Programma!$F$3:$Y$1101,20,0),"")</f>
        <v/>
      </c>
      <c r="BC93" s="111"/>
      <c r="BD93" s="110" t="str">
        <f>IF(Ruimtestaat[[#This Row],[Frequentie weekend]]="","",_xlfn.CONCAT(Ruimtestaat[[#This Row],[Ruimte code]],"-",Ruimtestaat[[#This Row],[Frequentie weekend]]," ",Ruimtestaat[[#This Row],[Vloer code]]))</f>
        <v/>
      </c>
      <c r="BE93" s="114" t="str">
        <f>_xlfn.IFNA(VLOOKUP($BD93,Programma!$F$3:$G$1101,2,0),"")</f>
        <v/>
      </c>
      <c r="BF93" s="114" t="str">
        <f>_xlfn.IFNA(VLOOKUP($BD93,Programma!$F$3:$H$1101,3,0),"")</f>
        <v/>
      </c>
      <c r="BG93" s="114" t="str">
        <f>_xlfn.IFNA(VLOOKUP($BD93,Programma!$F$3:$I$1101,4,0),"")</f>
        <v/>
      </c>
      <c r="BH93" s="114" t="str">
        <f>_xlfn.IFNA(VLOOKUP($BD93,Programma!$F$3:$J$1101,5,0),"")</f>
        <v/>
      </c>
      <c r="BI93" s="114" t="str">
        <f>_xlfn.IFNA(VLOOKUP($BD93,Programma!$F$3:$K$1101,6,0),"")</f>
        <v/>
      </c>
      <c r="BJ93" s="114" t="str">
        <f>_xlfn.IFNA(VLOOKUP($BD93,Programma!$F$3:$L$1101,7,0),"")</f>
        <v/>
      </c>
      <c r="BK93" s="114" t="str">
        <f>_xlfn.IFNA(VLOOKUP($BD93,Programma!$F$3:$M$1101,8,0),"")</f>
        <v/>
      </c>
      <c r="BL93" s="114" t="str">
        <f>_xlfn.IFNA(VLOOKUP($BD93,Programma!$F$3:$N$1101,9,0),"")</f>
        <v/>
      </c>
      <c r="BM93" s="114" t="str">
        <f>_xlfn.IFNA(VLOOKUP($BD93,Programma!$F$3:$O$1101,10,0),"")</f>
        <v/>
      </c>
      <c r="BN93" s="114" t="str">
        <f>_xlfn.IFNA(VLOOKUP($BD93,Programma!$F$3:$P$1101,11,0),"")</f>
        <v/>
      </c>
      <c r="BO93" s="114" t="str">
        <f>_xlfn.IFNA(VLOOKUP($BD93,Programma!$F$3:$Q$1101,12,0),"")</f>
        <v/>
      </c>
      <c r="BP93" s="114" t="str">
        <f>_xlfn.IFNA(VLOOKUP($BD93,Programma!$F$3:$R$1101,13,0),"")</f>
        <v/>
      </c>
      <c r="BQ93" s="114" t="str">
        <f>_xlfn.IFNA(VLOOKUP($BD93,Programma!$F$3:$S$1101,14,0),"")</f>
        <v/>
      </c>
      <c r="BR93" s="114" t="str">
        <f>_xlfn.IFNA(VLOOKUP($BD93,Programma!$F$3:$T$1101,15,0),"")</f>
        <v/>
      </c>
      <c r="BS93" s="114" t="str">
        <f>_xlfn.IFNA(VLOOKUP($BD93,Programma!$F$3:$U$1101,16,0),"")</f>
        <v/>
      </c>
      <c r="BT93" s="114" t="str">
        <f>_xlfn.IFNA(VLOOKUP($BD93,Programma!$F$3:$V$1101,17,0),"")</f>
        <v/>
      </c>
      <c r="BU93" s="114" t="str">
        <f>_xlfn.IFNA(VLOOKUP($BD93,Programma!$F$3:$W$1101,18,0),"")</f>
        <v/>
      </c>
      <c r="BV93" s="114" t="str">
        <f>_xlfn.IFNA(VLOOKUP($BD93,Programma!$F$3:$X$1101,19,0),"")</f>
        <v/>
      </c>
      <c r="BW93" s="114" t="str">
        <f>_xlfn.IFNA(VLOOKUP($BD93,Programma!$F$3:$Y$1101,20,0),"")</f>
        <v/>
      </c>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c r="GF93" s="28"/>
      <c r="GG93" s="28"/>
      <c r="GH93" s="28"/>
      <c r="GI93" s="28"/>
      <c r="GJ93" s="28"/>
      <c r="GK93" s="28"/>
      <c r="GL93" s="28"/>
      <c r="GM93" s="28"/>
      <c r="GN93" s="28"/>
      <c r="GO93" s="28"/>
      <c r="GP93" s="28"/>
      <c r="GQ93" s="28"/>
      <c r="GR93" s="28"/>
      <c r="GS93" s="28"/>
      <c r="GT93" s="28"/>
      <c r="GU93" s="28"/>
      <c r="GV93" s="28"/>
      <c r="GW93" s="28"/>
      <c r="GX93" s="28"/>
      <c r="GY93" s="28"/>
      <c r="GZ93" s="28"/>
      <c r="HA93" s="28"/>
      <c r="HB93" s="28"/>
      <c r="HC93" s="28"/>
      <c r="HD93" s="28"/>
      <c r="HE93" s="28"/>
      <c r="HF93" s="28"/>
      <c r="HG93" s="28"/>
      <c r="HH93" s="28"/>
      <c r="HI93" s="28"/>
      <c r="HJ93" s="28"/>
      <c r="HK93" s="28"/>
      <c r="HL93" s="28"/>
    </row>
    <row r="94" spans="1:220" ht="15" customHeight="1">
      <c r="A94" s="31">
        <v>2</v>
      </c>
      <c r="B94" s="105" t="str">
        <f>VLOOKUP(Ruimtestaat[[#This Row],[Code]],Locaties[[Code]:[Locatie]],2,FALSE)</f>
        <v>IKC De Hoge Hoeve</v>
      </c>
      <c r="C94" s="105" t="str">
        <f>VLOOKUP(Ruimtestaat[[#This Row],[Code]],Locaties[[#All],[Code]:[Adres]],4,FALSE)</f>
        <v>De Hoge Hoeve 70</v>
      </c>
      <c r="D94" s="105" t="str">
        <f>VLOOKUP(Ruimtestaat[[#This Row],[Code]],Locaties[[#All],[Code]:[Postcode]],5,FALSE)</f>
        <v>6932 DJ</v>
      </c>
      <c r="E94" s="105" t="str">
        <f>VLOOKUP(Ruimtestaat[[#This Row],[Code]],Locaties[#All],6,FALSE)</f>
        <v>Westervoort</v>
      </c>
      <c r="F94" s="73" t="s">
        <v>1824</v>
      </c>
      <c r="G94" s="73" t="s">
        <v>1645</v>
      </c>
      <c r="H94" s="271" t="s">
        <v>1701</v>
      </c>
      <c r="I94" s="273" t="s">
        <v>38</v>
      </c>
      <c r="J94" s="31">
        <v>7</v>
      </c>
      <c r="K94" s="113" t="str">
        <f>VLOOKUP(Ruimtestaat[[#This Row],[Ruimte code]],Ruimtegroepen[[#All],[Code]:[Ruimte omschrijving]],2,FALSE)</f>
        <v>Entree</v>
      </c>
      <c r="L94" s="73" t="s">
        <v>99</v>
      </c>
      <c r="M94" s="273" t="s">
        <v>1978</v>
      </c>
      <c r="N94" s="106">
        <v>11</v>
      </c>
      <c r="O94" s="112"/>
      <c r="P94" s="112"/>
      <c r="Q94" s="107" t="str">
        <f>VLOOKUP(Ruimtestaat[[#This Row],[Ruimte code]],Ruimtegroepen[],4,FALSE)</f>
        <v>Ve</v>
      </c>
      <c r="R94" s="73">
        <v>40</v>
      </c>
      <c r="S94" s="73" t="s">
        <v>2</v>
      </c>
      <c r="T94" s="73">
        <f>IF(R94&gt;0,IF(RIGHT(Ruimtestaat[[#This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4" s="73">
        <f>IF(T94&gt;0,VLOOKUP($J94,Ruimtegroepen[],3,FALSE)*VLOOKUP($L94,Vloersoorten[],3,FALSE)*VLOOKUP($S94,Frequenties[],3,FALSE)*VLOOKUP($A94,Locaties[],3,FALSE),0)</f>
        <v>0</v>
      </c>
      <c r="V94" s="73">
        <f>Ruimtestaat[[#This Row],[Uitvoeringen werkdagen]]*Ruimtestaat[[#This Row],[Oppervlak (netto)]]</f>
        <v>2200</v>
      </c>
      <c r="W94" s="108">
        <f>IF(U94&gt;0,Ruimtestaat[[#This Row],[Prest. (m2 /jaar) werkdagen]]/Ruimtestaat[[#This Row],[Norm (m2/uur) werkdagen]],0)</f>
        <v>0</v>
      </c>
      <c r="X94" s="109">
        <f>Ruimtestaat[[#This Row],[uren / jaar werkdagen]]*Tariefsopbouw!$E$35</f>
        <v>0</v>
      </c>
      <c r="Y94" s="73"/>
      <c r="Z94" s="73">
        <f>IF(Ruimtestaat[[#This Row],[Frequentie weekend]]&gt;0,VALUE(LEFT(Y94,1))*R94,0)</f>
        <v>0</v>
      </c>
      <c r="AA94" s="72">
        <f>IF($Z94&gt;0,VLOOKUP($J94,Ruimtegroepen[],3,FALSE)*VLOOKUP($L94,Vloersoorten[],3,FALSE)*VLOOKUP($Y94,Frequenties[],3,FALSE)*VLOOKUP(Ruimtestaat[[#This Row],[Code]],Locaties[],3,FALSE),0)</f>
        <v>0</v>
      </c>
      <c r="AB94" s="72">
        <f>Ruimtestaat[[#This Row],[Uitvoeringen weekend]]*Ruimtestaat[[#This Row],[Oppervlak (netto)]]</f>
        <v>0</v>
      </c>
      <c r="AC94" s="72">
        <f>IF(AA94&gt;0,Ruimtestaat[[#This Row],[Prest. (m2 /jaar) weekend]]/Ruimtestaat[[#This Row],[Norm (m2/uur) weekend]],0)</f>
        <v>0</v>
      </c>
      <c r="AD94" s="109">
        <f>Ruimtestaat[[#This Row],[uren / jaar weekend]]*Tariefsopbouw!$D$40</f>
        <v>0</v>
      </c>
      <c r="AE94" s="108">
        <f>Ruimtestaat[[#This Row],[Prest. (m2 /jaar) weekend]]+Ruimtestaat[[#This Row],[Prest. (m2 /jaar) werkdagen]]</f>
        <v>2200</v>
      </c>
      <c r="AF94" s="108">
        <f>Ruimtestaat[[#This Row],[uren / jaar weekend]]+Ruimtestaat[[#This Row],[uren / jaar werkdagen]]</f>
        <v>0</v>
      </c>
      <c r="AG94" s="103">
        <f>Ruimtestaat[[#This Row],[kosten / jaar weekend]]+Ruimtestaat[[#This Row],[kosten / jaar werkdagen]]</f>
        <v>0</v>
      </c>
      <c r="AH94" s="103"/>
      <c r="AI94" s="110" t="str">
        <f>IF(Ruimtestaat[[#This Row],[Frequentie werkdagen]]="","",_xlfn.CONCAT(Ruimtestaat[[#This Row],[Ruimte code]],"-",Ruimtestaat[[#This Row],[Frequentie werkdagen]]," ",Ruimtestaat[[#This Row],[Vloer code]]))</f>
        <v>7-5w T</v>
      </c>
      <c r="AJ94" s="114" t="str">
        <f>_xlfn.IFNA(VLOOKUP($AI94,Programma!$F$3:$G$1101,2,0),"")</f>
        <v>_</v>
      </c>
      <c r="AK94" s="114" t="str">
        <f>_xlfn.IFNA(VLOOKUP($AI94,Programma!$F$3:$H$1101,3,0),"")</f>
        <v>5w</v>
      </c>
      <c r="AL94" s="114" t="str">
        <f>_xlfn.IFNA(VLOOKUP($AI94,Programma!$F$3:$I$1101,4,0),"")</f>
        <v>_</v>
      </c>
      <c r="AM94" s="114" t="str">
        <f>_xlfn.IFNA(VLOOKUP($AI94,Programma!$F$3:$J$1101,5,0),"")</f>
        <v>_</v>
      </c>
      <c r="AN94" s="114" t="str">
        <f>_xlfn.IFNA(VLOOKUP($AI94,Programma!$F$3:$K$1101,6,0),"")</f>
        <v>_</v>
      </c>
      <c r="AO94" s="114" t="str">
        <f>_xlfn.IFNA(VLOOKUP($AI94,Programma!$F$3:$L$1101,7,0),"")</f>
        <v>_</v>
      </c>
      <c r="AP94" s="114" t="str">
        <f>_xlfn.IFNA(VLOOKUP($AI94,Programma!$F$3:$M$1101,8,0),"")</f>
        <v>_</v>
      </c>
      <c r="AQ94" s="114" t="str">
        <f>_xlfn.IFNA(VLOOKUP($AI94,Programma!$F$3:$N$1101,9,0),"")</f>
        <v>_</v>
      </c>
      <c r="AR94" s="114" t="str">
        <f>_xlfn.IFNA(VLOOKUP($AI94,Programma!$F$3:$O$1101,10,0),"")</f>
        <v>5w</v>
      </c>
      <c r="AS94" s="114" t="str">
        <f>_xlfn.IFNA(VLOOKUP($AI94,Programma!$F$3:$P$1101,11,0),"")</f>
        <v>5w</v>
      </c>
      <c r="AT94" s="114" t="str">
        <f>_xlfn.IFNA(VLOOKUP($AI94,Programma!$F$3:$Q$1101,12,0),"")</f>
        <v>1w</v>
      </c>
      <c r="AU94" s="114" t="str">
        <f>_xlfn.IFNA(VLOOKUP($AI94,Programma!$F$3:$R$1101,13,0),"")</f>
        <v>1w</v>
      </c>
      <c r="AV94" s="114" t="str">
        <f>_xlfn.IFNA(VLOOKUP($AI94,Programma!$F$3:$S$1101,14,0),"")</f>
        <v>1m</v>
      </c>
      <c r="AW94" s="114" t="str">
        <f>_xlfn.IFNA(VLOOKUP($AI94,Programma!$F$3:$T$1101,15,0),"")</f>
        <v>2j</v>
      </c>
      <c r="AX94" s="114" t="str">
        <f>_xlfn.IFNA(VLOOKUP($AI94,Programma!$F$3:$U$1101,16,0),"")</f>
        <v>1j</v>
      </c>
      <c r="AY94" s="114" t="str">
        <f>_xlfn.IFNA(VLOOKUP($AI94,Programma!$F$3:$V$1101,17,0),"")</f>
        <v>_</v>
      </c>
      <c r="AZ94" s="114" t="str">
        <f>_xlfn.IFNA(VLOOKUP($AI94,Programma!$F$3:$W$1101,18,0),"")</f>
        <v>_</v>
      </c>
      <c r="BA94" s="114" t="str">
        <f>_xlfn.IFNA(VLOOKUP($AI94,Programma!$F$3:$X$1101,19,0),"")</f>
        <v>_</v>
      </c>
      <c r="BB94" s="114" t="str">
        <f>_xlfn.IFNA(VLOOKUP($AI94,Programma!$F$3:$Y$1101,20,0),"")</f>
        <v>_</v>
      </c>
      <c r="BC94" s="111"/>
      <c r="BD94" s="110" t="str">
        <f>IF(Ruimtestaat[[#This Row],[Frequentie weekend]]="","",_xlfn.CONCAT(Ruimtestaat[[#This Row],[Ruimte code]],"-",Ruimtestaat[[#This Row],[Frequentie weekend]]," ",Ruimtestaat[[#This Row],[Vloer code]]))</f>
        <v/>
      </c>
      <c r="BE94" s="114" t="str">
        <f>_xlfn.IFNA(VLOOKUP($BD94,Programma!$F$3:$G$1101,2,0),"")</f>
        <v/>
      </c>
      <c r="BF94" s="114" t="str">
        <f>_xlfn.IFNA(VLOOKUP($BD94,Programma!$F$3:$H$1101,3,0),"")</f>
        <v/>
      </c>
      <c r="BG94" s="114" t="str">
        <f>_xlfn.IFNA(VLOOKUP($BD94,Programma!$F$3:$I$1101,4,0),"")</f>
        <v/>
      </c>
      <c r="BH94" s="114" t="str">
        <f>_xlfn.IFNA(VLOOKUP($BD94,Programma!$F$3:$J$1101,5,0),"")</f>
        <v/>
      </c>
      <c r="BI94" s="114" t="str">
        <f>_xlfn.IFNA(VLOOKUP($BD94,Programma!$F$3:$K$1101,6,0),"")</f>
        <v/>
      </c>
      <c r="BJ94" s="114" t="str">
        <f>_xlfn.IFNA(VLOOKUP($BD94,Programma!$F$3:$L$1101,7,0),"")</f>
        <v/>
      </c>
      <c r="BK94" s="114" t="str">
        <f>_xlfn.IFNA(VLOOKUP($BD94,Programma!$F$3:$M$1101,8,0),"")</f>
        <v/>
      </c>
      <c r="BL94" s="114" t="str">
        <f>_xlfn.IFNA(VLOOKUP($BD94,Programma!$F$3:$N$1101,9,0),"")</f>
        <v/>
      </c>
      <c r="BM94" s="114" t="str">
        <f>_xlfn.IFNA(VLOOKUP($BD94,Programma!$F$3:$O$1101,10,0),"")</f>
        <v/>
      </c>
      <c r="BN94" s="114" t="str">
        <f>_xlfn.IFNA(VLOOKUP($BD94,Programma!$F$3:$P$1101,11,0),"")</f>
        <v/>
      </c>
      <c r="BO94" s="114" t="str">
        <f>_xlfn.IFNA(VLOOKUP($BD94,Programma!$F$3:$Q$1101,12,0),"")</f>
        <v/>
      </c>
      <c r="BP94" s="114" t="str">
        <f>_xlfn.IFNA(VLOOKUP($BD94,Programma!$F$3:$R$1101,13,0),"")</f>
        <v/>
      </c>
      <c r="BQ94" s="114" t="str">
        <f>_xlfn.IFNA(VLOOKUP($BD94,Programma!$F$3:$S$1101,14,0),"")</f>
        <v/>
      </c>
      <c r="BR94" s="114" t="str">
        <f>_xlfn.IFNA(VLOOKUP($BD94,Programma!$F$3:$T$1101,15,0),"")</f>
        <v/>
      </c>
      <c r="BS94" s="114" t="str">
        <f>_xlfn.IFNA(VLOOKUP($BD94,Programma!$F$3:$U$1101,16,0),"")</f>
        <v/>
      </c>
      <c r="BT94" s="114" t="str">
        <f>_xlfn.IFNA(VLOOKUP($BD94,Programma!$F$3:$V$1101,17,0),"")</f>
        <v/>
      </c>
      <c r="BU94" s="114" t="str">
        <f>_xlfn.IFNA(VLOOKUP($BD94,Programma!$F$3:$W$1101,18,0),"")</f>
        <v/>
      </c>
      <c r="BV94" s="114" t="str">
        <f>_xlfn.IFNA(VLOOKUP($BD94,Programma!$F$3:$X$1101,19,0),"")</f>
        <v/>
      </c>
      <c r="BW94" s="114" t="str">
        <f>_xlfn.IFNA(VLOOKUP($BD94,Programma!$F$3:$Y$1101,20,0),"")</f>
        <v/>
      </c>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c r="GF94" s="28"/>
      <c r="GG94" s="28"/>
      <c r="GH94" s="28"/>
      <c r="GI94" s="28"/>
      <c r="GJ94" s="28"/>
      <c r="GK94" s="28"/>
      <c r="GL94" s="28"/>
      <c r="GM94" s="28"/>
      <c r="GN94" s="28"/>
      <c r="GO94" s="28"/>
      <c r="GP94" s="28"/>
      <c r="GQ94" s="28"/>
      <c r="GR94" s="28"/>
      <c r="GS94" s="28"/>
      <c r="GT94" s="28"/>
      <c r="GU94" s="28"/>
      <c r="GV94" s="28"/>
      <c r="GW94" s="28"/>
      <c r="GX94" s="28"/>
      <c r="GY94" s="28"/>
      <c r="GZ94" s="28"/>
      <c r="HA94" s="28"/>
      <c r="HB94" s="28"/>
      <c r="HC94" s="28"/>
      <c r="HD94" s="28"/>
      <c r="HE94" s="28"/>
      <c r="HF94" s="28"/>
      <c r="HG94" s="28"/>
      <c r="HH94" s="28"/>
      <c r="HI94" s="28"/>
      <c r="HJ94" s="28"/>
      <c r="HK94" s="28"/>
      <c r="HL94" s="28"/>
    </row>
    <row r="95" spans="1:220" ht="15" customHeight="1">
      <c r="A95" s="31">
        <v>2</v>
      </c>
      <c r="B95" s="105" t="str">
        <f>VLOOKUP(Ruimtestaat[[#This Row],[Code]],Locaties[[Code]:[Locatie]],2,FALSE)</f>
        <v>IKC De Hoge Hoeve</v>
      </c>
      <c r="C95" s="105" t="str">
        <f>VLOOKUP(Ruimtestaat[[#This Row],[Code]],Locaties[[#All],[Code]:[Adres]],4,FALSE)</f>
        <v>De Hoge Hoeve 70</v>
      </c>
      <c r="D95" s="105" t="str">
        <f>VLOOKUP(Ruimtestaat[[#This Row],[Code]],Locaties[[#All],[Code]:[Postcode]],5,FALSE)</f>
        <v>6932 DJ</v>
      </c>
      <c r="E95" s="105" t="str">
        <f>VLOOKUP(Ruimtestaat[[#This Row],[Code]],Locaties[#All],6,FALSE)</f>
        <v>Westervoort</v>
      </c>
      <c r="F95" s="73"/>
      <c r="G95" s="73" t="s">
        <v>1645</v>
      </c>
      <c r="H95" s="271" t="s">
        <v>1702</v>
      </c>
      <c r="I95" s="273" t="s">
        <v>1732</v>
      </c>
      <c r="J95" s="31">
        <v>1</v>
      </c>
      <c r="K95" s="113" t="str">
        <f>VLOOKUP(Ruimtestaat[[#This Row],[Ruimte code]],Ruimtegroepen[[#All],[Code]:[Ruimte omschrijving]],2,FALSE)</f>
        <v>Magazijnen/bergingen</v>
      </c>
      <c r="L95" s="73" t="s">
        <v>102</v>
      </c>
      <c r="M95" s="273" t="s">
        <v>120</v>
      </c>
      <c r="N95" s="106">
        <v>5</v>
      </c>
      <c r="O95" s="112"/>
      <c r="P95" s="112"/>
      <c r="Q95" s="107" t="str">
        <f>VLOOKUP(Ruimtestaat[[#This Row],[Ruimte code]],Ruimtegroepen[],4,FALSE)</f>
        <v>Ve</v>
      </c>
      <c r="R95" s="73">
        <v>40</v>
      </c>
      <c r="S95" s="73" t="s">
        <v>16</v>
      </c>
      <c r="T95" s="73">
        <f>IF(R95&gt;0,IF(RIGHT(Ruimtestaat[[#This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95" s="73">
        <f>IF(T95&gt;0,VLOOKUP($J95,Ruimtegroepen[],3,FALSE)*VLOOKUP($L95,Vloersoorten[],3,FALSE)*VLOOKUP($S95,Frequenties[],3,FALSE)*VLOOKUP($A95,Locaties[],3,FALSE),0)</f>
        <v>0</v>
      </c>
      <c r="V95" s="73">
        <f>Ruimtestaat[[#This Row],[Uitvoeringen werkdagen]]*Ruimtestaat[[#This Row],[Oppervlak (netto)]]</f>
        <v>60</v>
      </c>
      <c r="W95" s="108">
        <f>IF(U95&gt;0,Ruimtestaat[[#This Row],[Prest. (m2 /jaar) werkdagen]]/Ruimtestaat[[#This Row],[Norm (m2/uur) werkdagen]],0)</f>
        <v>0</v>
      </c>
      <c r="X95" s="109">
        <f>Ruimtestaat[[#This Row],[uren / jaar werkdagen]]*Tariefsopbouw!$E$35</f>
        <v>0</v>
      </c>
      <c r="Y95" s="73"/>
      <c r="Z95" s="73">
        <f>IF(Ruimtestaat[[#This Row],[Frequentie weekend]]&gt;0,VALUE(LEFT(Y95,1))*R95,0)</f>
        <v>0</v>
      </c>
      <c r="AA95" s="72">
        <f>IF($Z95&gt;0,VLOOKUP($J95,Ruimtegroepen[],3,FALSE)*VLOOKUP($L95,Vloersoorten[],3,FALSE)*VLOOKUP($Y95,Frequenties[],3,FALSE)*VLOOKUP(Ruimtestaat[[#This Row],[Code]],Locaties[],3,FALSE),0)</f>
        <v>0</v>
      </c>
      <c r="AB95" s="72">
        <f>Ruimtestaat[[#This Row],[Uitvoeringen weekend]]*Ruimtestaat[[#This Row],[Oppervlak (netto)]]</f>
        <v>0</v>
      </c>
      <c r="AC95" s="72">
        <f>IF(AA95&gt;0,Ruimtestaat[[#This Row],[Prest. (m2 /jaar) weekend]]/Ruimtestaat[[#This Row],[Norm (m2/uur) weekend]],0)</f>
        <v>0</v>
      </c>
      <c r="AD95" s="109">
        <f>Ruimtestaat[[#This Row],[uren / jaar weekend]]*Tariefsopbouw!$D$40</f>
        <v>0</v>
      </c>
      <c r="AE95" s="108">
        <f>Ruimtestaat[[#This Row],[Prest. (m2 /jaar) weekend]]+Ruimtestaat[[#This Row],[Prest. (m2 /jaar) werkdagen]]</f>
        <v>60</v>
      </c>
      <c r="AF95" s="108">
        <f>Ruimtestaat[[#This Row],[uren / jaar weekend]]+Ruimtestaat[[#This Row],[uren / jaar werkdagen]]</f>
        <v>0</v>
      </c>
      <c r="AG95" s="103">
        <f>Ruimtestaat[[#This Row],[kosten / jaar weekend]]+Ruimtestaat[[#This Row],[kosten / jaar werkdagen]]</f>
        <v>0</v>
      </c>
      <c r="AH95" s="103"/>
      <c r="AI95" s="110" t="str">
        <f>IF(Ruimtestaat[[#This Row],[Frequentie werkdagen]]="","",_xlfn.CONCAT(Ruimtestaat[[#This Row],[Ruimte code]],"-",Ruimtestaat[[#This Row],[Frequentie werkdagen]]," ",Ruimtestaat[[#This Row],[Vloer code]]))</f>
        <v>1-1m P</v>
      </c>
      <c r="AJ95" s="114" t="str">
        <f>_xlfn.IFNA(VLOOKUP($AI95,Programma!$F$3:$G$1101,2,0),"")</f>
        <v>_</v>
      </c>
      <c r="AK95" s="114" t="str">
        <f>_xlfn.IFNA(VLOOKUP($AI95,Programma!$F$3:$H$1101,3,0),"")</f>
        <v>_</v>
      </c>
      <c r="AL95" s="114" t="str">
        <f>_xlfn.IFNA(VLOOKUP($AI95,Programma!$F$3:$I$1101,4,0),"")</f>
        <v>1m</v>
      </c>
      <c r="AM95" s="114" t="str">
        <f>_xlfn.IFNA(VLOOKUP($AI95,Programma!$F$3:$J$1101,5,0),"")</f>
        <v>1m</v>
      </c>
      <c r="AN95" s="114" t="str">
        <f>_xlfn.IFNA(VLOOKUP($AI95,Programma!$F$3:$K$1101,6,0),"")</f>
        <v>1j</v>
      </c>
      <c r="AO95" s="114" t="str">
        <f>_xlfn.IFNA(VLOOKUP($AI95,Programma!$F$3:$L$1101,7,0),"")</f>
        <v>_</v>
      </c>
      <c r="AP95" s="114" t="str">
        <f>_xlfn.IFNA(VLOOKUP($AI95,Programma!$F$3:$M$1101,8,0),"")</f>
        <v>_</v>
      </c>
      <c r="AQ95" s="114" t="str">
        <f>_xlfn.IFNA(VLOOKUP($AI95,Programma!$F$3:$N$1101,9,0),"")</f>
        <v>_</v>
      </c>
      <c r="AR95" s="114" t="str">
        <f>_xlfn.IFNA(VLOOKUP($AI95,Programma!$F$3:$O$1101,10,0),"")</f>
        <v>_</v>
      </c>
      <c r="AS95" s="114" t="str">
        <f>_xlfn.IFNA(VLOOKUP($AI95,Programma!$F$3:$P$1101,11,0),"")</f>
        <v>_</v>
      </c>
      <c r="AT95" s="114" t="str">
        <f>_xlfn.IFNA(VLOOKUP($AI95,Programma!$F$3:$Q$1101,12,0),"")</f>
        <v>_</v>
      </c>
      <c r="AU95" s="114" t="str">
        <f>_xlfn.IFNA(VLOOKUP($AI95,Programma!$F$3:$R$1101,13,0),"")</f>
        <v>_</v>
      </c>
      <c r="AV95" s="114" t="str">
        <f>_xlfn.IFNA(VLOOKUP($AI95,Programma!$F$3:$S$1101,14,0),"")</f>
        <v>1m</v>
      </c>
      <c r="AW95" s="114" t="str">
        <f>_xlfn.IFNA(VLOOKUP($AI95,Programma!$F$3:$T$1101,15,0),"")</f>
        <v>4j</v>
      </c>
      <c r="AX95" s="114" t="str">
        <f>_xlfn.IFNA(VLOOKUP($AI95,Programma!$F$3:$U$1101,16,0),"")</f>
        <v>4j</v>
      </c>
      <c r="AY95" s="114" t="str">
        <f>_xlfn.IFNA(VLOOKUP($AI95,Programma!$F$3:$V$1101,17,0),"")</f>
        <v>_</v>
      </c>
      <c r="AZ95" s="114" t="str">
        <f>_xlfn.IFNA(VLOOKUP($AI95,Programma!$F$3:$W$1101,18,0),"")</f>
        <v>_</v>
      </c>
      <c r="BA95" s="114" t="str">
        <f>_xlfn.IFNA(VLOOKUP($AI95,Programma!$F$3:$X$1101,19,0),"")</f>
        <v>_</v>
      </c>
      <c r="BB95" s="114" t="str">
        <f>_xlfn.IFNA(VLOOKUP($AI95,Programma!$F$3:$Y$1101,20,0),"")</f>
        <v>_</v>
      </c>
      <c r="BC95" s="111"/>
      <c r="BD95" s="110" t="str">
        <f>IF(Ruimtestaat[[#This Row],[Frequentie weekend]]="","",_xlfn.CONCAT(Ruimtestaat[[#This Row],[Ruimte code]],"-",Ruimtestaat[[#This Row],[Frequentie weekend]]," ",Ruimtestaat[[#This Row],[Vloer code]]))</f>
        <v/>
      </c>
      <c r="BE95" s="114" t="str">
        <f>_xlfn.IFNA(VLOOKUP($BD95,Programma!$F$3:$G$1101,2,0),"")</f>
        <v/>
      </c>
      <c r="BF95" s="114" t="str">
        <f>_xlfn.IFNA(VLOOKUP($BD95,Programma!$F$3:$H$1101,3,0),"")</f>
        <v/>
      </c>
      <c r="BG95" s="114" t="str">
        <f>_xlfn.IFNA(VLOOKUP($BD95,Programma!$F$3:$I$1101,4,0),"")</f>
        <v/>
      </c>
      <c r="BH95" s="114" t="str">
        <f>_xlfn.IFNA(VLOOKUP($BD95,Programma!$F$3:$J$1101,5,0),"")</f>
        <v/>
      </c>
      <c r="BI95" s="114" t="str">
        <f>_xlfn.IFNA(VLOOKUP($BD95,Programma!$F$3:$K$1101,6,0),"")</f>
        <v/>
      </c>
      <c r="BJ95" s="114" t="str">
        <f>_xlfn.IFNA(VLOOKUP($BD95,Programma!$F$3:$L$1101,7,0),"")</f>
        <v/>
      </c>
      <c r="BK95" s="114" t="str">
        <f>_xlfn.IFNA(VLOOKUP($BD95,Programma!$F$3:$M$1101,8,0),"")</f>
        <v/>
      </c>
      <c r="BL95" s="114" t="str">
        <f>_xlfn.IFNA(VLOOKUP($BD95,Programma!$F$3:$N$1101,9,0),"")</f>
        <v/>
      </c>
      <c r="BM95" s="114" t="str">
        <f>_xlfn.IFNA(VLOOKUP($BD95,Programma!$F$3:$O$1101,10,0),"")</f>
        <v/>
      </c>
      <c r="BN95" s="114" t="str">
        <f>_xlfn.IFNA(VLOOKUP($BD95,Programma!$F$3:$P$1101,11,0),"")</f>
        <v/>
      </c>
      <c r="BO95" s="114" t="str">
        <f>_xlfn.IFNA(VLOOKUP($BD95,Programma!$F$3:$Q$1101,12,0),"")</f>
        <v/>
      </c>
      <c r="BP95" s="114" t="str">
        <f>_xlfn.IFNA(VLOOKUP($BD95,Programma!$F$3:$R$1101,13,0),"")</f>
        <v/>
      </c>
      <c r="BQ95" s="114" t="str">
        <f>_xlfn.IFNA(VLOOKUP($BD95,Programma!$F$3:$S$1101,14,0),"")</f>
        <v/>
      </c>
      <c r="BR95" s="114" t="str">
        <f>_xlfn.IFNA(VLOOKUP($BD95,Programma!$F$3:$T$1101,15,0),"")</f>
        <v/>
      </c>
      <c r="BS95" s="114" t="str">
        <f>_xlfn.IFNA(VLOOKUP($BD95,Programma!$F$3:$U$1101,16,0),"")</f>
        <v/>
      </c>
      <c r="BT95" s="114" t="str">
        <f>_xlfn.IFNA(VLOOKUP($BD95,Programma!$F$3:$V$1101,17,0),"")</f>
        <v/>
      </c>
      <c r="BU95" s="114" t="str">
        <f>_xlfn.IFNA(VLOOKUP($BD95,Programma!$F$3:$W$1101,18,0),"")</f>
        <v/>
      </c>
      <c r="BV95" s="114" t="str">
        <f>_xlfn.IFNA(VLOOKUP($BD95,Programma!$F$3:$X$1101,19,0),"")</f>
        <v/>
      </c>
      <c r="BW95" s="114" t="str">
        <f>_xlfn.IFNA(VLOOKUP($BD95,Programma!$F$3:$Y$1101,20,0),"")</f>
        <v/>
      </c>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c r="HL95" s="28"/>
    </row>
    <row r="96" spans="1:220" ht="15" customHeight="1">
      <c r="A96" s="31">
        <v>2</v>
      </c>
      <c r="B96" s="105" t="str">
        <f>VLOOKUP(Ruimtestaat[[#This Row],[Code]],Locaties[[Code]:[Locatie]],2,FALSE)</f>
        <v>IKC De Hoge Hoeve</v>
      </c>
      <c r="C96" s="105" t="str">
        <f>VLOOKUP(Ruimtestaat[[#This Row],[Code]],Locaties[[#All],[Code]:[Adres]],4,FALSE)</f>
        <v>De Hoge Hoeve 70</v>
      </c>
      <c r="D96" s="105" t="str">
        <f>VLOOKUP(Ruimtestaat[[#This Row],[Code]],Locaties[[#All],[Code]:[Postcode]],5,FALSE)</f>
        <v>6932 DJ</v>
      </c>
      <c r="E96" s="105" t="str">
        <f>VLOOKUP(Ruimtestaat[[#This Row],[Code]],Locaties[#All],6,FALSE)</f>
        <v>Westervoort</v>
      </c>
      <c r="F96" s="73" t="s">
        <v>1824</v>
      </c>
      <c r="G96" s="73" t="s">
        <v>1645</v>
      </c>
      <c r="H96" s="271" t="s">
        <v>1703</v>
      </c>
      <c r="I96" s="273" t="s">
        <v>1739</v>
      </c>
      <c r="J96" s="31">
        <v>6</v>
      </c>
      <c r="K96" s="113" t="str">
        <f>VLOOKUP(Ruimtestaat[[#This Row],[Ruimte code]],Ruimtegroepen[[#All],[Code]:[Ruimte omschrijving]],2,FALSE)</f>
        <v>Gangen/hallen</v>
      </c>
      <c r="L96" s="73" t="s">
        <v>102</v>
      </c>
      <c r="M96" s="273" t="s">
        <v>120</v>
      </c>
      <c r="N96" s="106">
        <v>9</v>
      </c>
      <c r="O96" s="112"/>
      <c r="P96" s="73"/>
      <c r="Q96" s="107" t="str">
        <f>VLOOKUP(Ruimtestaat[[#This Row],[Ruimte code]],Ruimtegroepen[],4,FALSE)</f>
        <v>Ve</v>
      </c>
      <c r="R96" s="73">
        <v>40</v>
      </c>
      <c r="S96" s="73" t="s">
        <v>2</v>
      </c>
      <c r="T96" s="73">
        <f>IF(R96&gt;0,IF(RIGHT(Ruimtestaat[[#This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6" s="73">
        <f>IF(T96&gt;0,VLOOKUP($J96,Ruimtegroepen[],3,FALSE)*VLOOKUP($L96,Vloersoorten[],3,FALSE)*VLOOKUP($S96,Frequenties[],3,FALSE)*VLOOKUP($A96,Locaties[],3,FALSE),0)</f>
        <v>0</v>
      </c>
      <c r="V96" s="73">
        <f>Ruimtestaat[[#This Row],[Uitvoeringen werkdagen]]*Ruimtestaat[[#This Row],[Oppervlak (netto)]]</f>
        <v>1800</v>
      </c>
      <c r="W96" s="108">
        <f>IF(U96&gt;0,Ruimtestaat[[#This Row],[Prest. (m2 /jaar) werkdagen]]/Ruimtestaat[[#This Row],[Norm (m2/uur) werkdagen]],0)</f>
        <v>0</v>
      </c>
      <c r="X96" s="109">
        <f>Ruimtestaat[[#This Row],[uren / jaar werkdagen]]*Tariefsopbouw!$E$35</f>
        <v>0</v>
      </c>
      <c r="Y96" s="73"/>
      <c r="Z96" s="73">
        <f>IF(Ruimtestaat[[#This Row],[Frequentie weekend]]&gt;0,VALUE(LEFT(Y96,1))*R96,0)</f>
        <v>0</v>
      </c>
      <c r="AA96" s="72">
        <f>IF($Z96&gt;0,VLOOKUP($J96,Ruimtegroepen[],3,FALSE)*VLOOKUP($L96,Vloersoorten[],3,FALSE)*VLOOKUP($Y96,Frequenties[],3,FALSE)*VLOOKUP(Ruimtestaat[[#This Row],[Code]],Locaties[],3,FALSE),0)</f>
        <v>0</v>
      </c>
      <c r="AB96" s="72">
        <f>Ruimtestaat[[#This Row],[Uitvoeringen weekend]]*Ruimtestaat[[#This Row],[Oppervlak (netto)]]</f>
        <v>0</v>
      </c>
      <c r="AC96" s="72">
        <f>IF(AA96&gt;0,Ruimtestaat[[#This Row],[Prest. (m2 /jaar) weekend]]/Ruimtestaat[[#This Row],[Norm (m2/uur) weekend]],0)</f>
        <v>0</v>
      </c>
      <c r="AD96" s="109">
        <f>Ruimtestaat[[#This Row],[uren / jaar weekend]]*Tariefsopbouw!$D$40</f>
        <v>0</v>
      </c>
      <c r="AE96" s="108">
        <f>Ruimtestaat[[#This Row],[Prest. (m2 /jaar) weekend]]+Ruimtestaat[[#This Row],[Prest. (m2 /jaar) werkdagen]]</f>
        <v>1800</v>
      </c>
      <c r="AF96" s="108">
        <f>Ruimtestaat[[#This Row],[uren / jaar weekend]]+Ruimtestaat[[#This Row],[uren / jaar werkdagen]]</f>
        <v>0</v>
      </c>
      <c r="AG96" s="103">
        <f>Ruimtestaat[[#This Row],[kosten / jaar weekend]]+Ruimtestaat[[#This Row],[kosten / jaar werkdagen]]</f>
        <v>0</v>
      </c>
      <c r="AH96" s="103"/>
      <c r="AI96" s="110" t="str">
        <f>IF(Ruimtestaat[[#This Row],[Frequentie werkdagen]]="","",_xlfn.CONCAT(Ruimtestaat[[#This Row],[Ruimte code]],"-",Ruimtestaat[[#This Row],[Frequentie werkdagen]]," ",Ruimtestaat[[#This Row],[Vloer code]]))</f>
        <v>6-5w P</v>
      </c>
      <c r="AJ96" s="114" t="str">
        <f>_xlfn.IFNA(VLOOKUP($AI96,Programma!$F$3:$G$1101,2,0),"")</f>
        <v>_</v>
      </c>
      <c r="AK96" s="114" t="str">
        <f>_xlfn.IFNA(VLOOKUP($AI96,Programma!$F$3:$H$1101,3,0),"")</f>
        <v>_</v>
      </c>
      <c r="AL96" s="114" t="str">
        <f>_xlfn.IFNA(VLOOKUP($AI96,Programma!$F$3:$I$1101,4,0),"")</f>
        <v>5w</v>
      </c>
      <c r="AM96" s="114" t="str">
        <f>_xlfn.IFNA(VLOOKUP($AI96,Programma!$F$3:$J$1101,5,0),"")</f>
        <v>_</v>
      </c>
      <c r="AN96" s="114" t="str">
        <f>_xlfn.IFNA(VLOOKUP($AI96,Programma!$F$3:$K$1101,6,0),"")</f>
        <v>5w</v>
      </c>
      <c r="AO96" s="114" t="str">
        <f>_xlfn.IFNA(VLOOKUP($AI96,Programma!$F$3:$L$1101,7,0),"")</f>
        <v>_</v>
      </c>
      <c r="AP96" s="114" t="str">
        <f>_xlfn.IFNA(VLOOKUP($AI96,Programma!$F$3:$M$1101,8,0),"")</f>
        <v>_</v>
      </c>
      <c r="AQ96" s="114" t="str">
        <f>_xlfn.IFNA(VLOOKUP($AI96,Programma!$F$3:$N$1101,9,0),"")</f>
        <v>_</v>
      </c>
      <c r="AR96" s="114" t="str">
        <f>_xlfn.IFNA(VLOOKUP($AI96,Programma!$F$3:$O$1101,10,0),"")</f>
        <v>5w</v>
      </c>
      <c r="AS96" s="114" t="str">
        <f>_xlfn.IFNA(VLOOKUP($AI96,Programma!$F$3:$P$1101,11,0),"")</f>
        <v>5w</v>
      </c>
      <c r="AT96" s="114" t="str">
        <f>_xlfn.IFNA(VLOOKUP($AI96,Programma!$F$3:$Q$1101,12,0),"")</f>
        <v>1w</v>
      </c>
      <c r="AU96" s="114" t="str">
        <f>_xlfn.IFNA(VLOOKUP($AI96,Programma!$F$3:$R$1101,13,0),"")</f>
        <v>1w</v>
      </c>
      <c r="AV96" s="114" t="str">
        <f>_xlfn.IFNA(VLOOKUP($AI96,Programma!$F$3:$S$1101,14,0),"")</f>
        <v>1m</v>
      </c>
      <c r="AW96" s="114" t="str">
        <f>_xlfn.IFNA(VLOOKUP($AI96,Programma!$F$3:$T$1101,15,0),"")</f>
        <v>2j</v>
      </c>
      <c r="AX96" s="114" t="str">
        <f>_xlfn.IFNA(VLOOKUP($AI96,Programma!$F$3:$U$1101,16,0),"")</f>
        <v>1j</v>
      </c>
      <c r="AY96" s="114" t="str">
        <f>_xlfn.IFNA(VLOOKUP($AI96,Programma!$F$3:$V$1101,17,0),"")</f>
        <v>_</v>
      </c>
      <c r="AZ96" s="114" t="str">
        <f>_xlfn.IFNA(VLOOKUP($AI96,Programma!$F$3:$W$1101,18,0),"")</f>
        <v>_</v>
      </c>
      <c r="BA96" s="114" t="str">
        <f>_xlfn.IFNA(VLOOKUP($AI96,Programma!$F$3:$X$1101,19,0),"")</f>
        <v>_</v>
      </c>
      <c r="BB96" s="114" t="str">
        <f>_xlfn.IFNA(VLOOKUP($AI96,Programma!$F$3:$Y$1101,20,0),"")</f>
        <v>_</v>
      </c>
      <c r="BC96" s="111"/>
      <c r="BD96" s="110" t="str">
        <f>IF(Ruimtestaat[[#This Row],[Frequentie weekend]]="","",_xlfn.CONCAT(Ruimtestaat[[#This Row],[Ruimte code]],"-",Ruimtestaat[[#This Row],[Frequentie weekend]]," ",Ruimtestaat[[#This Row],[Vloer code]]))</f>
        <v/>
      </c>
      <c r="BE96" s="114" t="str">
        <f>_xlfn.IFNA(VLOOKUP($BD96,Programma!$F$3:$G$1101,2,0),"")</f>
        <v/>
      </c>
      <c r="BF96" s="114" t="str">
        <f>_xlfn.IFNA(VLOOKUP($BD96,Programma!$F$3:$H$1101,3,0),"")</f>
        <v/>
      </c>
      <c r="BG96" s="114" t="str">
        <f>_xlfn.IFNA(VLOOKUP($BD96,Programma!$F$3:$I$1101,4,0),"")</f>
        <v/>
      </c>
      <c r="BH96" s="114" t="str">
        <f>_xlfn.IFNA(VLOOKUP($BD96,Programma!$F$3:$J$1101,5,0),"")</f>
        <v/>
      </c>
      <c r="BI96" s="114" t="str">
        <f>_xlfn.IFNA(VLOOKUP($BD96,Programma!$F$3:$K$1101,6,0),"")</f>
        <v/>
      </c>
      <c r="BJ96" s="114" t="str">
        <f>_xlfn.IFNA(VLOOKUP($BD96,Programma!$F$3:$L$1101,7,0),"")</f>
        <v/>
      </c>
      <c r="BK96" s="114" t="str">
        <f>_xlfn.IFNA(VLOOKUP($BD96,Programma!$F$3:$M$1101,8,0),"")</f>
        <v/>
      </c>
      <c r="BL96" s="114" t="str">
        <f>_xlfn.IFNA(VLOOKUP($BD96,Programma!$F$3:$N$1101,9,0),"")</f>
        <v/>
      </c>
      <c r="BM96" s="114" t="str">
        <f>_xlfn.IFNA(VLOOKUP($BD96,Programma!$F$3:$O$1101,10,0),"")</f>
        <v/>
      </c>
      <c r="BN96" s="114" t="str">
        <f>_xlfn.IFNA(VLOOKUP($BD96,Programma!$F$3:$P$1101,11,0),"")</f>
        <v/>
      </c>
      <c r="BO96" s="114" t="str">
        <f>_xlfn.IFNA(VLOOKUP($BD96,Programma!$F$3:$Q$1101,12,0),"")</f>
        <v/>
      </c>
      <c r="BP96" s="114" t="str">
        <f>_xlfn.IFNA(VLOOKUP($BD96,Programma!$F$3:$R$1101,13,0),"")</f>
        <v/>
      </c>
      <c r="BQ96" s="114" t="str">
        <f>_xlfn.IFNA(VLOOKUP($BD96,Programma!$F$3:$S$1101,14,0),"")</f>
        <v/>
      </c>
      <c r="BR96" s="114" t="str">
        <f>_xlfn.IFNA(VLOOKUP($BD96,Programma!$F$3:$T$1101,15,0),"")</f>
        <v/>
      </c>
      <c r="BS96" s="114" t="str">
        <f>_xlfn.IFNA(VLOOKUP($BD96,Programma!$F$3:$U$1101,16,0),"")</f>
        <v/>
      </c>
      <c r="BT96" s="114" t="str">
        <f>_xlfn.IFNA(VLOOKUP($BD96,Programma!$F$3:$V$1101,17,0),"")</f>
        <v/>
      </c>
      <c r="BU96" s="114" t="str">
        <f>_xlfn.IFNA(VLOOKUP($BD96,Programma!$F$3:$W$1101,18,0),"")</f>
        <v/>
      </c>
      <c r="BV96" s="114" t="str">
        <f>_xlfn.IFNA(VLOOKUP($BD96,Programma!$F$3:$X$1101,19,0),"")</f>
        <v/>
      </c>
      <c r="BW96" s="114" t="str">
        <f>_xlfn.IFNA(VLOOKUP($BD96,Programma!$F$3:$Y$1101,20,0),"")</f>
        <v/>
      </c>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c r="GF96" s="28"/>
      <c r="GG96" s="28"/>
      <c r="GH96" s="28"/>
      <c r="GI96" s="28"/>
      <c r="GJ96" s="28"/>
      <c r="GK96" s="28"/>
      <c r="GL96" s="28"/>
      <c r="GM96" s="28"/>
      <c r="GN96" s="28"/>
      <c r="GO96" s="28"/>
      <c r="GP96" s="28"/>
      <c r="GQ96" s="28"/>
      <c r="GR96" s="28"/>
      <c r="GS96" s="28"/>
      <c r="GT96" s="28"/>
      <c r="GU96" s="28"/>
      <c r="GV96" s="28"/>
      <c r="GW96" s="28"/>
      <c r="GX96" s="28"/>
      <c r="GY96" s="28"/>
      <c r="GZ96" s="28"/>
      <c r="HA96" s="28"/>
      <c r="HB96" s="28"/>
      <c r="HC96" s="28"/>
      <c r="HD96" s="28"/>
      <c r="HE96" s="28"/>
      <c r="HF96" s="28"/>
      <c r="HG96" s="28"/>
      <c r="HH96" s="28"/>
      <c r="HI96" s="28"/>
      <c r="HJ96" s="28"/>
      <c r="HK96" s="28"/>
      <c r="HL96" s="28"/>
    </row>
    <row r="97" spans="1:220" ht="15" customHeight="1">
      <c r="A97" s="31">
        <v>2</v>
      </c>
      <c r="B97" s="105" t="str">
        <f>VLOOKUP(Ruimtestaat[[#This Row],[Code]],Locaties[[Code]:[Locatie]],2,FALSE)</f>
        <v>IKC De Hoge Hoeve</v>
      </c>
      <c r="C97" s="105" t="str">
        <f>VLOOKUP(Ruimtestaat[[#This Row],[Code]],Locaties[[#All],[Code]:[Adres]],4,FALSE)</f>
        <v>De Hoge Hoeve 70</v>
      </c>
      <c r="D97" s="105" t="str">
        <f>VLOOKUP(Ruimtestaat[[#This Row],[Code]],Locaties[[#All],[Code]:[Postcode]],5,FALSE)</f>
        <v>6932 DJ</v>
      </c>
      <c r="E97" s="105" t="str">
        <f>VLOOKUP(Ruimtestaat[[#This Row],[Code]],Locaties[#All],6,FALSE)</f>
        <v>Westervoort</v>
      </c>
      <c r="F97" s="73" t="s">
        <v>1824</v>
      </c>
      <c r="G97" s="73" t="s">
        <v>1645</v>
      </c>
      <c r="H97" s="271" t="s">
        <v>1704</v>
      </c>
      <c r="I97" s="273" t="s">
        <v>1740</v>
      </c>
      <c r="J97" s="73">
        <v>8</v>
      </c>
      <c r="K97" s="113" t="str">
        <f>VLOOKUP(Ruimtestaat[[#This Row],[Ruimte code]],Ruimtegroepen[[#All],[Code]:[Ruimte omschrijving]],2,FALSE)</f>
        <v>Kinderopvang</v>
      </c>
      <c r="L97" s="73" t="s">
        <v>102</v>
      </c>
      <c r="M97" s="273" t="s">
        <v>120</v>
      </c>
      <c r="N97" s="106">
        <v>58</v>
      </c>
      <c r="O97" s="112"/>
      <c r="P97" s="112"/>
      <c r="Q97" s="107" t="str">
        <f>VLOOKUP(Ruimtestaat[[#This Row],[Ruimte code]],Ruimtegroepen[],4,FALSE)</f>
        <v>Le</v>
      </c>
      <c r="R97" s="73">
        <v>40</v>
      </c>
      <c r="S97" s="73" t="s">
        <v>2</v>
      </c>
      <c r="T97" s="73">
        <f>IF(R97&gt;0,IF(RIGHT(Ruimtestaat[[#This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7" s="73">
        <f>IF(T97&gt;0,VLOOKUP($J97,Ruimtegroepen[],3,FALSE)*VLOOKUP($L97,Vloersoorten[],3,FALSE)*VLOOKUP($S97,Frequenties[],3,FALSE)*VLOOKUP($A97,Locaties[],3,FALSE),0)</f>
        <v>0</v>
      </c>
      <c r="V97" s="73">
        <f>Ruimtestaat[[#This Row],[Uitvoeringen werkdagen]]*Ruimtestaat[[#This Row],[Oppervlak (netto)]]</f>
        <v>11600</v>
      </c>
      <c r="W97" s="108">
        <f>IF(U97&gt;0,Ruimtestaat[[#This Row],[Prest. (m2 /jaar) werkdagen]]/Ruimtestaat[[#This Row],[Norm (m2/uur) werkdagen]],0)</f>
        <v>0</v>
      </c>
      <c r="X97" s="109">
        <f>Ruimtestaat[[#This Row],[uren / jaar werkdagen]]*Tariefsopbouw!$E$35</f>
        <v>0</v>
      </c>
      <c r="Y97" s="73"/>
      <c r="Z97" s="73">
        <f>IF(Ruimtestaat[[#This Row],[Frequentie weekend]]&gt;0,VALUE(LEFT(Y97,1))*R97,0)</f>
        <v>0</v>
      </c>
      <c r="AA97" s="72">
        <f>IF($Z97&gt;0,VLOOKUP($J97,Ruimtegroepen[],3,FALSE)*VLOOKUP($L97,Vloersoorten[],3,FALSE)*VLOOKUP($Y97,Frequenties[],3,FALSE)*VLOOKUP(Ruimtestaat[[#This Row],[Code]],Locaties[],3,FALSE),0)</f>
        <v>0</v>
      </c>
      <c r="AB97" s="72">
        <f>Ruimtestaat[[#This Row],[Uitvoeringen weekend]]*Ruimtestaat[[#This Row],[Oppervlak (netto)]]</f>
        <v>0</v>
      </c>
      <c r="AC97" s="72">
        <f>IF(AA97&gt;0,Ruimtestaat[[#This Row],[Prest. (m2 /jaar) weekend]]/Ruimtestaat[[#This Row],[Norm (m2/uur) weekend]],0)</f>
        <v>0</v>
      </c>
      <c r="AD97" s="109">
        <f>Ruimtestaat[[#This Row],[uren / jaar weekend]]*Tariefsopbouw!$D$40</f>
        <v>0</v>
      </c>
      <c r="AE97" s="108">
        <f>Ruimtestaat[[#This Row],[Prest. (m2 /jaar) weekend]]+Ruimtestaat[[#This Row],[Prest. (m2 /jaar) werkdagen]]</f>
        <v>11600</v>
      </c>
      <c r="AF97" s="108">
        <f>Ruimtestaat[[#This Row],[uren / jaar weekend]]+Ruimtestaat[[#This Row],[uren / jaar werkdagen]]</f>
        <v>0</v>
      </c>
      <c r="AG97" s="103">
        <f>Ruimtestaat[[#This Row],[kosten / jaar weekend]]+Ruimtestaat[[#This Row],[kosten / jaar werkdagen]]</f>
        <v>0</v>
      </c>
      <c r="AH97" s="103"/>
      <c r="AI97" s="110" t="str">
        <f>IF(Ruimtestaat[[#This Row],[Frequentie werkdagen]]="","",_xlfn.CONCAT(Ruimtestaat[[#This Row],[Ruimte code]],"-",Ruimtestaat[[#This Row],[Frequentie werkdagen]]," ",Ruimtestaat[[#This Row],[Vloer code]]))</f>
        <v>8-5w P</v>
      </c>
      <c r="AJ97" s="114" t="str">
        <f>_xlfn.IFNA(VLOOKUP($AI97,Programma!$F$3:$G$1101,2,0),"")</f>
        <v>_</v>
      </c>
      <c r="AK97" s="114" t="str">
        <f>_xlfn.IFNA(VLOOKUP($AI97,Programma!$F$3:$H$1101,3,0),"")</f>
        <v>_</v>
      </c>
      <c r="AL97" s="114" t="str">
        <f>_xlfn.IFNA(VLOOKUP($AI97,Programma!$F$3:$I$1101,4,0),"")</f>
        <v>5w</v>
      </c>
      <c r="AM97" s="114" t="str">
        <f>_xlfn.IFNA(VLOOKUP($AI97,Programma!$F$3:$J$1101,5,0),"")</f>
        <v>_</v>
      </c>
      <c r="AN97" s="114" t="str">
        <f>_xlfn.IFNA(VLOOKUP($AI97,Programma!$F$3:$K$1101,6,0),"")</f>
        <v>4j</v>
      </c>
      <c r="AO97" s="114" t="str">
        <f>_xlfn.IFNA(VLOOKUP($AI97,Programma!$F$3:$L$1101,7,0),"")</f>
        <v>_</v>
      </c>
      <c r="AP97" s="114" t="str">
        <f>_xlfn.IFNA(VLOOKUP($AI97,Programma!$F$3:$M$1101,8,0),"")</f>
        <v>_</v>
      </c>
      <c r="AQ97" s="114" t="str">
        <f>_xlfn.IFNA(VLOOKUP($AI97,Programma!$F$3:$N$1101,9,0),"")</f>
        <v>_</v>
      </c>
      <c r="AR97" s="114" t="str">
        <f>_xlfn.IFNA(VLOOKUP($AI97,Programma!$F$3:$O$1101,10,0),"")</f>
        <v>5w</v>
      </c>
      <c r="AS97" s="114" t="str">
        <f>_xlfn.IFNA(VLOOKUP($AI97,Programma!$F$3:$P$1101,11,0),"")</f>
        <v>5w</v>
      </c>
      <c r="AT97" s="114" t="str">
        <f>_xlfn.IFNA(VLOOKUP($AI97,Programma!$F$3:$Q$1101,12,0),"")</f>
        <v>1w</v>
      </c>
      <c r="AU97" s="114" t="str">
        <f>_xlfn.IFNA(VLOOKUP($AI97,Programma!$F$3:$R$1101,13,0),"")</f>
        <v>1w</v>
      </c>
      <c r="AV97" s="114" t="str">
        <f>_xlfn.IFNA(VLOOKUP($AI97,Programma!$F$3:$S$1101,14,0),"")</f>
        <v>1m</v>
      </c>
      <c r="AW97" s="114" t="str">
        <f>_xlfn.IFNA(VLOOKUP($AI97,Programma!$F$3:$T$1101,15,0),"")</f>
        <v>2j</v>
      </c>
      <c r="AX97" s="114" t="str">
        <f>_xlfn.IFNA(VLOOKUP($AI97,Programma!$F$3:$U$1101,16,0),"")</f>
        <v>1j</v>
      </c>
      <c r="AY97" s="114" t="str">
        <f>_xlfn.IFNA(VLOOKUP($AI97,Programma!$F$3:$V$1101,17,0),"")</f>
        <v>_</v>
      </c>
      <c r="AZ97" s="114" t="str">
        <f>_xlfn.IFNA(VLOOKUP($AI97,Programma!$F$3:$W$1101,18,0),"")</f>
        <v>_</v>
      </c>
      <c r="BA97" s="114" t="str">
        <f>_xlfn.IFNA(VLOOKUP($AI97,Programma!$F$3:$X$1101,19,0),"")</f>
        <v>_</v>
      </c>
      <c r="BB97" s="114" t="str">
        <f>_xlfn.IFNA(VLOOKUP($AI97,Programma!$F$3:$Y$1101,20,0),"")</f>
        <v>_</v>
      </c>
      <c r="BC97" s="111"/>
      <c r="BD97" s="110" t="str">
        <f>IF(Ruimtestaat[[#This Row],[Frequentie weekend]]="","",_xlfn.CONCAT(Ruimtestaat[[#This Row],[Ruimte code]],"-",Ruimtestaat[[#This Row],[Frequentie weekend]]," ",Ruimtestaat[[#This Row],[Vloer code]]))</f>
        <v/>
      </c>
      <c r="BE97" s="114" t="str">
        <f>_xlfn.IFNA(VLOOKUP($BD97,Programma!$F$3:$G$1101,2,0),"")</f>
        <v/>
      </c>
      <c r="BF97" s="114" t="str">
        <f>_xlfn.IFNA(VLOOKUP($BD97,Programma!$F$3:$H$1101,3,0),"")</f>
        <v/>
      </c>
      <c r="BG97" s="114" t="str">
        <f>_xlfn.IFNA(VLOOKUP($BD97,Programma!$F$3:$I$1101,4,0),"")</f>
        <v/>
      </c>
      <c r="BH97" s="114" t="str">
        <f>_xlfn.IFNA(VLOOKUP($BD97,Programma!$F$3:$J$1101,5,0),"")</f>
        <v/>
      </c>
      <c r="BI97" s="114" t="str">
        <f>_xlfn.IFNA(VLOOKUP($BD97,Programma!$F$3:$K$1101,6,0),"")</f>
        <v/>
      </c>
      <c r="BJ97" s="114" t="str">
        <f>_xlfn.IFNA(VLOOKUP($BD97,Programma!$F$3:$L$1101,7,0),"")</f>
        <v/>
      </c>
      <c r="BK97" s="114" t="str">
        <f>_xlfn.IFNA(VLOOKUP($BD97,Programma!$F$3:$M$1101,8,0),"")</f>
        <v/>
      </c>
      <c r="BL97" s="114" t="str">
        <f>_xlfn.IFNA(VLOOKUP($BD97,Programma!$F$3:$N$1101,9,0),"")</f>
        <v/>
      </c>
      <c r="BM97" s="114" t="str">
        <f>_xlfn.IFNA(VLOOKUP($BD97,Programma!$F$3:$O$1101,10,0),"")</f>
        <v/>
      </c>
      <c r="BN97" s="114" t="str">
        <f>_xlfn.IFNA(VLOOKUP($BD97,Programma!$F$3:$P$1101,11,0),"")</f>
        <v/>
      </c>
      <c r="BO97" s="114" t="str">
        <f>_xlfn.IFNA(VLOOKUP($BD97,Programma!$F$3:$Q$1101,12,0),"")</f>
        <v/>
      </c>
      <c r="BP97" s="114" t="str">
        <f>_xlfn.IFNA(VLOOKUP($BD97,Programma!$F$3:$R$1101,13,0),"")</f>
        <v/>
      </c>
      <c r="BQ97" s="114" t="str">
        <f>_xlfn.IFNA(VLOOKUP($BD97,Programma!$F$3:$S$1101,14,0),"")</f>
        <v/>
      </c>
      <c r="BR97" s="114" t="str">
        <f>_xlfn.IFNA(VLOOKUP($BD97,Programma!$F$3:$T$1101,15,0),"")</f>
        <v/>
      </c>
      <c r="BS97" s="114" t="str">
        <f>_xlfn.IFNA(VLOOKUP($BD97,Programma!$F$3:$U$1101,16,0),"")</f>
        <v/>
      </c>
      <c r="BT97" s="114" t="str">
        <f>_xlfn.IFNA(VLOOKUP($BD97,Programma!$F$3:$V$1101,17,0),"")</f>
        <v/>
      </c>
      <c r="BU97" s="114" t="str">
        <f>_xlfn.IFNA(VLOOKUP($BD97,Programma!$F$3:$W$1101,18,0),"")</f>
        <v/>
      </c>
      <c r="BV97" s="114" t="str">
        <f>_xlfn.IFNA(VLOOKUP($BD97,Programma!$F$3:$X$1101,19,0),"")</f>
        <v/>
      </c>
      <c r="BW97" s="114" t="str">
        <f>_xlfn.IFNA(VLOOKUP($BD97,Programma!$F$3:$Y$1101,20,0),"")</f>
        <v/>
      </c>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row>
    <row r="98" spans="1:220" ht="15" customHeight="1">
      <c r="A98" s="31">
        <v>2</v>
      </c>
      <c r="B98" s="105" t="str">
        <f>VLOOKUP(Ruimtestaat[[#This Row],[Code]],Locaties[[Code]:[Locatie]],2,FALSE)</f>
        <v>IKC De Hoge Hoeve</v>
      </c>
      <c r="C98" s="105" t="str">
        <f>VLOOKUP(Ruimtestaat[[#This Row],[Code]],Locaties[[#All],[Code]:[Adres]],4,FALSE)</f>
        <v>De Hoge Hoeve 70</v>
      </c>
      <c r="D98" s="105" t="str">
        <f>VLOOKUP(Ruimtestaat[[#This Row],[Code]],Locaties[[#All],[Code]:[Postcode]],5,FALSE)</f>
        <v>6932 DJ</v>
      </c>
      <c r="E98" s="105" t="str">
        <f>VLOOKUP(Ruimtestaat[[#This Row],[Code]],Locaties[#All],6,FALSE)</f>
        <v>Westervoort</v>
      </c>
      <c r="F98" s="73" t="s">
        <v>1824</v>
      </c>
      <c r="G98" s="73" t="s">
        <v>1645</v>
      </c>
      <c r="H98" s="271" t="s">
        <v>1705</v>
      </c>
      <c r="I98" s="273" t="s">
        <v>1741</v>
      </c>
      <c r="J98" s="31">
        <v>8</v>
      </c>
      <c r="K98" s="113" t="str">
        <f>VLOOKUP(Ruimtestaat[[#This Row],[Ruimte code]],Ruimtegroepen[[#All],[Code]:[Ruimte omschrijving]],2,FALSE)</f>
        <v>Kinderopvang</v>
      </c>
      <c r="L98" s="73" t="s">
        <v>102</v>
      </c>
      <c r="M98" s="273" t="s">
        <v>120</v>
      </c>
      <c r="N98" s="106">
        <v>56</v>
      </c>
      <c r="O98" s="112"/>
      <c r="P98" s="112"/>
      <c r="Q98" s="107" t="str">
        <f>VLOOKUP(Ruimtestaat[[#This Row],[Ruimte code]],Ruimtegroepen[],4,FALSE)</f>
        <v>Le</v>
      </c>
      <c r="R98" s="73">
        <v>40</v>
      </c>
      <c r="S98" s="73" t="s">
        <v>2</v>
      </c>
      <c r="T98" s="73">
        <f>IF(R98&gt;0,IF(RIGHT(Ruimtestaat[[#This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8" s="73">
        <f>IF(T98&gt;0,VLOOKUP($J98,Ruimtegroepen[],3,FALSE)*VLOOKUP($L98,Vloersoorten[],3,FALSE)*VLOOKUP($S98,Frequenties[],3,FALSE)*VLOOKUP($A98,Locaties[],3,FALSE),0)</f>
        <v>0</v>
      </c>
      <c r="V98" s="73">
        <f>Ruimtestaat[[#This Row],[Uitvoeringen werkdagen]]*Ruimtestaat[[#This Row],[Oppervlak (netto)]]</f>
        <v>11200</v>
      </c>
      <c r="W98" s="108">
        <f>IF(U98&gt;0,Ruimtestaat[[#This Row],[Prest. (m2 /jaar) werkdagen]]/Ruimtestaat[[#This Row],[Norm (m2/uur) werkdagen]],0)</f>
        <v>0</v>
      </c>
      <c r="X98" s="109">
        <f>Ruimtestaat[[#This Row],[uren / jaar werkdagen]]*Tariefsopbouw!$E$35</f>
        <v>0</v>
      </c>
      <c r="Y98" s="73"/>
      <c r="Z98" s="73">
        <f>IF(Ruimtestaat[[#This Row],[Frequentie weekend]]&gt;0,VALUE(LEFT(Y98,1))*R98,0)</f>
        <v>0</v>
      </c>
      <c r="AA98" s="72">
        <f>IF($Z98&gt;0,VLOOKUP($J98,Ruimtegroepen[],3,FALSE)*VLOOKUP($L98,Vloersoorten[],3,FALSE)*VLOOKUP($Y98,Frequenties[],3,FALSE)*VLOOKUP(Ruimtestaat[[#This Row],[Code]],Locaties[],3,FALSE),0)</f>
        <v>0</v>
      </c>
      <c r="AB98" s="72">
        <f>Ruimtestaat[[#This Row],[Uitvoeringen weekend]]*Ruimtestaat[[#This Row],[Oppervlak (netto)]]</f>
        <v>0</v>
      </c>
      <c r="AC98" s="72">
        <f>IF(AA98&gt;0,Ruimtestaat[[#This Row],[Prest. (m2 /jaar) weekend]]/Ruimtestaat[[#This Row],[Norm (m2/uur) weekend]],0)</f>
        <v>0</v>
      </c>
      <c r="AD98" s="109">
        <f>Ruimtestaat[[#This Row],[uren / jaar weekend]]*Tariefsopbouw!$D$40</f>
        <v>0</v>
      </c>
      <c r="AE98" s="108">
        <f>Ruimtestaat[[#This Row],[Prest. (m2 /jaar) weekend]]+Ruimtestaat[[#This Row],[Prest. (m2 /jaar) werkdagen]]</f>
        <v>11200</v>
      </c>
      <c r="AF98" s="108">
        <f>Ruimtestaat[[#This Row],[uren / jaar weekend]]+Ruimtestaat[[#This Row],[uren / jaar werkdagen]]</f>
        <v>0</v>
      </c>
      <c r="AG98" s="103">
        <f>Ruimtestaat[[#This Row],[kosten / jaar weekend]]+Ruimtestaat[[#This Row],[kosten / jaar werkdagen]]</f>
        <v>0</v>
      </c>
      <c r="AH98" s="103"/>
      <c r="AI98" s="110" t="str">
        <f>IF(Ruimtestaat[[#This Row],[Frequentie werkdagen]]="","",_xlfn.CONCAT(Ruimtestaat[[#This Row],[Ruimte code]],"-",Ruimtestaat[[#This Row],[Frequentie werkdagen]]," ",Ruimtestaat[[#This Row],[Vloer code]]))</f>
        <v>8-5w P</v>
      </c>
      <c r="AJ98" s="114" t="str">
        <f>_xlfn.IFNA(VLOOKUP($AI98,Programma!$F$3:$G$1101,2,0),"")</f>
        <v>_</v>
      </c>
      <c r="AK98" s="114" t="str">
        <f>_xlfn.IFNA(VLOOKUP($AI98,Programma!$F$3:$H$1101,3,0),"")</f>
        <v>_</v>
      </c>
      <c r="AL98" s="114" t="str">
        <f>_xlfn.IFNA(VLOOKUP($AI98,Programma!$F$3:$I$1101,4,0),"")</f>
        <v>5w</v>
      </c>
      <c r="AM98" s="114" t="str">
        <f>_xlfn.IFNA(VLOOKUP($AI98,Programma!$F$3:$J$1101,5,0),"")</f>
        <v>_</v>
      </c>
      <c r="AN98" s="114" t="str">
        <f>_xlfn.IFNA(VLOOKUP($AI98,Programma!$F$3:$K$1101,6,0),"")</f>
        <v>4j</v>
      </c>
      <c r="AO98" s="114" t="str">
        <f>_xlfn.IFNA(VLOOKUP($AI98,Programma!$F$3:$L$1101,7,0),"")</f>
        <v>_</v>
      </c>
      <c r="AP98" s="114" t="str">
        <f>_xlfn.IFNA(VLOOKUP($AI98,Programma!$F$3:$M$1101,8,0),"")</f>
        <v>_</v>
      </c>
      <c r="AQ98" s="114" t="str">
        <f>_xlfn.IFNA(VLOOKUP($AI98,Programma!$F$3:$N$1101,9,0),"")</f>
        <v>_</v>
      </c>
      <c r="AR98" s="114" t="str">
        <f>_xlfn.IFNA(VLOOKUP($AI98,Programma!$F$3:$O$1101,10,0),"")</f>
        <v>5w</v>
      </c>
      <c r="AS98" s="114" t="str">
        <f>_xlfn.IFNA(VLOOKUP($AI98,Programma!$F$3:$P$1101,11,0),"")</f>
        <v>5w</v>
      </c>
      <c r="AT98" s="114" t="str">
        <f>_xlfn.IFNA(VLOOKUP($AI98,Programma!$F$3:$Q$1101,12,0),"")</f>
        <v>1w</v>
      </c>
      <c r="AU98" s="114" t="str">
        <f>_xlfn.IFNA(VLOOKUP($AI98,Programma!$F$3:$R$1101,13,0),"")</f>
        <v>1w</v>
      </c>
      <c r="AV98" s="114" t="str">
        <f>_xlfn.IFNA(VLOOKUP($AI98,Programma!$F$3:$S$1101,14,0),"")</f>
        <v>1m</v>
      </c>
      <c r="AW98" s="114" t="str">
        <f>_xlfn.IFNA(VLOOKUP($AI98,Programma!$F$3:$T$1101,15,0),"")</f>
        <v>2j</v>
      </c>
      <c r="AX98" s="114" t="str">
        <f>_xlfn.IFNA(VLOOKUP($AI98,Programma!$F$3:$U$1101,16,0),"")</f>
        <v>1j</v>
      </c>
      <c r="AY98" s="114" t="str">
        <f>_xlfn.IFNA(VLOOKUP($AI98,Programma!$F$3:$V$1101,17,0),"")</f>
        <v>_</v>
      </c>
      <c r="AZ98" s="114" t="str">
        <f>_xlfn.IFNA(VLOOKUP($AI98,Programma!$F$3:$W$1101,18,0),"")</f>
        <v>_</v>
      </c>
      <c r="BA98" s="114" t="str">
        <f>_xlfn.IFNA(VLOOKUP($AI98,Programma!$F$3:$X$1101,19,0),"")</f>
        <v>_</v>
      </c>
      <c r="BB98" s="114" t="str">
        <f>_xlfn.IFNA(VLOOKUP($AI98,Programma!$F$3:$Y$1101,20,0),"")</f>
        <v>_</v>
      </c>
      <c r="BC98" s="111"/>
      <c r="BD98" s="110" t="str">
        <f>IF(Ruimtestaat[[#This Row],[Frequentie weekend]]="","",_xlfn.CONCAT(Ruimtestaat[[#This Row],[Ruimte code]],"-",Ruimtestaat[[#This Row],[Frequentie weekend]]," ",Ruimtestaat[[#This Row],[Vloer code]]))</f>
        <v/>
      </c>
      <c r="BE98" s="114" t="str">
        <f>_xlfn.IFNA(VLOOKUP($BD98,Programma!$F$3:$G$1101,2,0),"")</f>
        <v/>
      </c>
      <c r="BF98" s="114" t="str">
        <f>_xlfn.IFNA(VLOOKUP($BD98,Programma!$F$3:$H$1101,3,0),"")</f>
        <v/>
      </c>
      <c r="BG98" s="114" t="str">
        <f>_xlfn.IFNA(VLOOKUP($BD98,Programma!$F$3:$I$1101,4,0),"")</f>
        <v/>
      </c>
      <c r="BH98" s="114" t="str">
        <f>_xlfn.IFNA(VLOOKUP($BD98,Programma!$F$3:$J$1101,5,0),"")</f>
        <v/>
      </c>
      <c r="BI98" s="114" t="str">
        <f>_xlfn.IFNA(VLOOKUP($BD98,Programma!$F$3:$K$1101,6,0),"")</f>
        <v/>
      </c>
      <c r="BJ98" s="114" t="str">
        <f>_xlfn.IFNA(VLOOKUP($BD98,Programma!$F$3:$L$1101,7,0),"")</f>
        <v/>
      </c>
      <c r="BK98" s="114" t="str">
        <f>_xlfn.IFNA(VLOOKUP($BD98,Programma!$F$3:$M$1101,8,0),"")</f>
        <v/>
      </c>
      <c r="BL98" s="114" t="str">
        <f>_xlfn.IFNA(VLOOKUP($BD98,Programma!$F$3:$N$1101,9,0),"")</f>
        <v/>
      </c>
      <c r="BM98" s="114" t="str">
        <f>_xlfn.IFNA(VLOOKUP($BD98,Programma!$F$3:$O$1101,10,0),"")</f>
        <v/>
      </c>
      <c r="BN98" s="114" t="str">
        <f>_xlfn.IFNA(VLOOKUP($BD98,Programma!$F$3:$P$1101,11,0),"")</f>
        <v/>
      </c>
      <c r="BO98" s="114" t="str">
        <f>_xlfn.IFNA(VLOOKUP($BD98,Programma!$F$3:$Q$1101,12,0),"")</f>
        <v/>
      </c>
      <c r="BP98" s="114" t="str">
        <f>_xlfn.IFNA(VLOOKUP($BD98,Programma!$F$3:$R$1101,13,0),"")</f>
        <v/>
      </c>
      <c r="BQ98" s="114" t="str">
        <f>_xlfn.IFNA(VLOOKUP($BD98,Programma!$F$3:$S$1101,14,0),"")</f>
        <v/>
      </c>
      <c r="BR98" s="114" t="str">
        <f>_xlfn.IFNA(VLOOKUP($BD98,Programma!$F$3:$T$1101,15,0),"")</f>
        <v/>
      </c>
      <c r="BS98" s="114" t="str">
        <f>_xlfn.IFNA(VLOOKUP($BD98,Programma!$F$3:$U$1101,16,0),"")</f>
        <v/>
      </c>
      <c r="BT98" s="114" t="str">
        <f>_xlfn.IFNA(VLOOKUP($BD98,Programma!$F$3:$V$1101,17,0),"")</f>
        <v/>
      </c>
      <c r="BU98" s="114" t="str">
        <f>_xlfn.IFNA(VLOOKUP($BD98,Programma!$F$3:$W$1101,18,0),"")</f>
        <v/>
      </c>
      <c r="BV98" s="114" t="str">
        <f>_xlfn.IFNA(VLOOKUP($BD98,Programma!$F$3:$X$1101,19,0),"")</f>
        <v/>
      </c>
      <c r="BW98" s="114" t="str">
        <f>_xlfn.IFNA(VLOOKUP($BD98,Programma!$F$3:$Y$1101,20,0),"")</f>
        <v/>
      </c>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c r="GF98" s="28"/>
      <c r="GG98" s="28"/>
      <c r="GH98" s="28"/>
      <c r="GI98" s="28"/>
      <c r="GJ98" s="28"/>
      <c r="GK98" s="28"/>
      <c r="GL98" s="28"/>
      <c r="GM98" s="28"/>
      <c r="GN98" s="28"/>
      <c r="GO98" s="28"/>
      <c r="GP98" s="28"/>
      <c r="GQ98" s="28"/>
      <c r="GR98" s="28"/>
      <c r="GS98" s="28"/>
      <c r="GT98" s="28"/>
      <c r="GU98" s="28"/>
      <c r="GV98" s="28"/>
      <c r="GW98" s="28"/>
      <c r="GX98" s="28"/>
      <c r="GY98" s="28"/>
      <c r="GZ98" s="28"/>
      <c r="HA98" s="28"/>
      <c r="HB98" s="28"/>
      <c r="HC98" s="28"/>
      <c r="HD98" s="28"/>
      <c r="HE98" s="28"/>
      <c r="HF98" s="28"/>
      <c r="HG98" s="28"/>
      <c r="HH98" s="28"/>
      <c r="HI98" s="28"/>
      <c r="HJ98" s="28"/>
      <c r="HK98" s="28"/>
      <c r="HL98" s="28"/>
    </row>
    <row r="99" spans="1:220" ht="15" customHeight="1">
      <c r="A99" s="31">
        <v>2</v>
      </c>
      <c r="B99" s="105" t="str">
        <f>VLOOKUP(Ruimtestaat[[#This Row],[Code]],Locaties[[Code]:[Locatie]],2,FALSE)</f>
        <v>IKC De Hoge Hoeve</v>
      </c>
      <c r="C99" s="105" t="str">
        <f>VLOOKUP(Ruimtestaat[[#This Row],[Code]],Locaties[[#All],[Code]:[Adres]],4,FALSE)</f>
        <v>De Hoge Hoeve 70</v>
      </c>
      <c r="D99" s="105" t="str">
        <f>VLOOKUP(Ruimtestaat[[#This Row],[Code]],Locaties[[#All],[Code]:[Postcode]],5,FALSE)</f>
        <v>6932 DJ</v>
      </c>
      <c r="E99" s="105" t="str">
        <f>VLOOKUP(Ruimtestaat[[#This Row],[Code]],Locaties[#All],6,FALSE)</f>
        <v>Westervoort</v>
      </c>
      <c r="F99" s="73" t="s">
        <v>1824</v>
      </c>
      <c r="G99" s="73" t="s">
        <v>1645</v>
      </c>
      <c r="H99" s="271" t="s">
        <v>1706</v>
      </c>
      <c r="I99" s="273" t="s">
        <v>1740</v>
      </c>
      <c r="J99" s="31">
        <v>8</v>
      </c>
      <c r="K99" s="113" t="str">
        <f>VLOOKUP(Ruimtestaat[[#This Row],[Ruimte code]],Ruimtegroepen[[#All],[Code]:[Ruimte omschrijving]],2,FALSE)</f>
        <v>Kinderopvang</v>
      </c>
      <c r="L99" s="73" t="s">
        <v>102</v>
      </c>
      <c r="M99" s="273" t="s">
        <v>120</v>
      </c>
      <c r="N99" s="106">
        <v>34</v>
      </c>
      <c r="O99" s="112"/>
      <c r="P99" s="73"/>
      <c r="Q99" s="107" t="str">
        <f>VLOOKUP(Ruimtestaat[[#This Row],[Ruimte code]],Ruimtegroepen[],4,FALSE)</f>
        <v>Le</v>
      </c>
      <c r="R99" s="73">
        <v>40</v>
      </c>
      <c r="S99" s="73" t="s">
        <v>2</v>
      </c>
      <c r="T99" s="73">
        <f>IF(R99&gt;0,IF(RIGHT(Ruimtestaat[[#This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9" s="73">
        <f>IF(T99&gt;0,VLOOKUP($J99,Ruimtegroepen[],3,FALSE)*VLOOKUP($L99,Vloersoorten[],3,FALSE)*VLOOKUP($S99,Frequenties[],3,FALSE)*VLOOKUP($A99,Locaties[],3,FALSE),0)</f>
        <v>0</v>
      </c>
      <c r="V99" s="73">
        <f>Ruimtestaat[[#This Row],[Uitvoeringen werkdagen]]*Ruimtestaat[[#This Row],[Oppervlak (netto)]]</f>
        <v>6800</v>
      </c>
      <c r="W99" s="108">
        <f>IF(U99&gt;0,Ruimtestaat[[#This Row],[Prest. (m2 /jaar) werkdagen]]/Ruimtestaat[[#This Row],[Norm (m2/uur) werkdagen]],0)</f>
        <v>0</v>
      </c>
      <c r="X99" s="109">
        <f>Ruimtestaat[[#This Row],[uren / jaar werkdagen]]*Tariefsopbouw!$E$35</f>
        <v>0</v>
      </c>
      <c r="Y99" s="73"/>
      <c r="Z99" s="73">
        <f>IF(Ruimtestaat[[#This Row],[Frequentie weekend]]&gt;0,VALUE(LEFT(Y99,1))*R99,0)</f>
        <v>0</v>
      </c>
      <c r="AA99" s="72">
        <f>IF($Z99&gt;0,VLOOKUP($J99,Ruimtegroepen[],3,FALSE)*VLOOKUP($L99,Vloersoorten[],3,FALSE)*VLOOKUP($Y99,Frequenties[],3,FALSE)*VLOOKUP(Ruimtestaat[[#This Row],[Code]],Locaties[],3,FALSE),0)</f>
        <v>0</v>
      </c>
      <c r="AB99" s="72">
        <f>Ruimtestaat[[#This Row],[Uitvoeringen weekend]]*Ruimtestaat[[#This Row],[Oppervlak (netto)]]</f>
        <v>0</v>
      </c>
      <c r="AC99" s="72">
        <f>IF(AA99&gt;0,Ruimtestaat[[#This Row],[Prest. (m2 /jaar) weekend]]/Ruimtestaat[[#This Row],[Norm (m2/uur) weekend]],0)</f>
        <v>0</v>
      </c>
      <c r="AD99" s="109">
        <f>Ruimtestaat[[#This Row],[uren / jaar weekend]]*Tariefsopbouw!$D$40</f>
        <v>0</v>
      </c>
      <c r="AE99" s="108">
        <f>Ruimtestaat[[#This Row],[Prest. (m2 /jaar) weekend]]+Ruimtestaat[[#This Row],[Prest. (m2 /jaar) werkdagen]]</f>
        <v>6800</v>
      </c>
      <c r="AF99" s="108">
        <f>Ruimtestaat[[#This Row],[uren / jaar weekend]]+Ruimtestaat[[#This Row],[uren / jaar werkdagen]]</f>
        <v>0</v>
      </c>
      <c r="AG99" s="103">
        <f>Ruimtestaat[[#This Row],[kosten / jaar weekend]]+Ruimtestaat[[#This Row],[kosten / jaar werkdagen]]</f>
        <v>0</v>
      </c>
      <c r="AH99" s="103"/>
      <c r="AI99" s="110" t="str">
        <f>IF(Ruimtestaat[[#This Row],[Frequentie werkdagen]]="","",_xlfn.CONCAT(Ruimtestaat[[#This Row],[Ruimte code]],"-",Ruimtestaat[[#This Row],[Frequentie werkdagen]]," ",Ruimtestaat[[#This Row],[Vloer code]]))</f>
        <v>8-5w P</v>
      </c>
      <c r="AJ99" s="114" t="str">
        <f>_xlfn.IFNA(VLOOKUP($AI99,Programma!$F$3:$G$1101,2,0),"")</f>
        <v>_</v>
      </c>
      <c r="AK99" s="114" t="str">
        <f>_xlfn.IFNA(VLOOKUP($AI99,Programma!$F$3:$H$1101,3,0),"")</f>
        <v>_</v>
      </c>
      <c r="AL99" s="114" t="str">
        <f>_xlfn.IFNA(VLOOKUP($AI99,Programma!$F$3:$I$1101,4,0),"")</f>
        <v>5w</v>
      </c>
      <c r="AM99" s="114" t="str">
        <f>_xlfn.IFNA(VLOOKUP($AI99,Programma!$F$3:$J$1101,5,0),"")</f>
        <v>_</v>
      </c>
      <c r="AN99" s="114" t="str">
        <f>_xlfn.IFNA(VLOOKUP($AI99,Programma!$F$3:$K$1101,6,0),"")</f>
        <v>4j</v>
      </c>
      <c r="AO99" s="114" t="str">
        <f>_xlfn.IFNA(VLOOKUP($AI99,Programma!$F$3:$L$1101,7,0),"")</f>
        <v>_</v>
      </c>
      <c r="AP99" s="114" t="str">
        <f>_xlfn.IFNA(VLOOKUP($AI99,Programma!$F$3:$M$1101,8,0),"")</f>
        <v>_</v>
      </c>
      <c r="AQ99" s="114" t="str">
        <f>_xlfn.IFNA(VLOOKUP($AI99,Programma!$F$3:$N$1101,9,0),"")</f>
        <v>_</v>
      </c>
      <c r="AR99" s="114" t="str">
        <f>_xlfn.IFNA(VLOOKUP($AI99,Programma!$F$3:$O$1101,10,0),"")</f>
        <v>5w</v>
      </c>
      <c r="AS99" s="114" t="str">
        <f>_xlfn.IFNA(VLOOKUP($AI99,Programma!$F$3:$P$1101,11,0),"")</f>
        <v>5w</v>
      </c>
      <c r="AT99" s="114" t="str">
        <f>_xlfn.IFNA(VLOOKUP($AI99,Programma!$F$3:$Q$1101,12,0),"")</f>
        <v>1w</v>
      </c>
      <c r="AU99" s="114" t="str">
        <f>_xlfn.IFNA(VLOOKUP($AI99,Programma!$F$3:$R$1101,13,0),"")</f>
        <v>1w</v>
      </c>
      <c r="AV99" s="114" t="str">
        <f>_xlfn.IFNA(VLOOKUP($AI99,Programma!$F$3:$S$1101,14,0),"")</f>
        <v>1m</v>
      </c>
      <c r="AW99" s="114" t="str">
        <f>_xlfn.IFNA(VLOOKUP($AI99,Programma!$F$3:$T$1101,15,0),"")</f>
        <v>2j</v>
      </c>
      <c r="AX99" s="114" t="str">
        <f>_xlfn.IFNA(VLOOKUP($AI99,Programma!$F$3:$U$1101,16,0),"")</f>
        <v>1j</v>
      </c>
      <c r="AY99" s="114" t="str">
        <f>_xlfn.IFNA(VLOOKUP($AI99,Programma!$F$3:$V$1101,17,0),"")</f>
        <v>_</v>
      </c>
      <c r="AZ99" s="114" t="str">
        <f>_xlfn.IFNA(VLOOKUP($AI99,Programma!$F$3:$W$1101,18,0),"")</f>
        <v>_</v>
      </c>
      <c r="BA99" s="114" t="str">
        <f>_xlfn.IFNA(VLOOKUP($AI99,Programma!$F$3:$X$1101,19,0),"")</f>
        <v>_</v>
      </c>
      <c r="BB99" s="114" t="str">
        <f>_xlfn.IFNA(VLOOKUP($AI99,Programma!$F$3:$Y$1101,20,0),"")</f>
        <v>_</v>
      </c>
      <c r="BC99" s="111"/>
      <c r="BD99" s="110" t="str">
        <f>IF(Ruimtestaat[[#This Row],[Frequentie weekend]]="","",_xlfn.CONCAT(Ruimtestaat[[#This Row],[Ruimte code]],"-",Ruimtestaat[[#This Row],[Frequentie weekend]]," ",Ruimtestaat[[#This Row],[Vloer code]]))</f>
        <v/>
      </c>
      <c r="BE99" s="114" t="str">
        <f>_xlfn.IFNA(VLOOKUP($BD99,Programma!$F$3:$G$1101,2,0),"")</f>
        <v/>
      </c>
      <c r="BF99" s="114" t="str">
        <f>_xlfn.IFNA(VLOOKUP($BD99,Programma!$F$3:$H$1101,3,0),"")</f>
        <v/>
      </c>
      <c r="BG99" s="114" t="str">
        <f>_xlfn.IFNA(VLOOKUP($BD99,Programma!$F$3:$I$1101,4,0),"")</f>
        <v/>
      </c>
      <c r="BH99" s="114" t="str">
        <f>_xlfn.IFNA(VLOOKUP($BD99,Programma!$F$3:$J$1101,5,0),"")</f>
        <v/>
      </c>
      <c r="BI99" s="114" t="str">
        <f>_xlfn.IFNA(VLOOKUP($BD99,Programma!$F$3:$K$1101,6,0),"")</f>
        <v/>
      </c>
      <c r="BJ99" s="114" t="str">
        <f>_xlfn.IFNA(VLOOKUP($BD99,Programma!$F$3:$L$1101,7,0),"")</f>
        <v/>
      </c>
      <c r="BK99" s="114" t="str">
        <f>_xlfn.IFNA(VLOOKUP($BD99,Programma!$F$3:$M$1101,8,0),"")</f>
        <v/>
      </c>
      <c r="BL99" s="114" t="str">
        <f>_xlfn.IFNA(VLOOKUP($BD99,Programma!$F$3:$N$1101,9,0),"")</f>
        <v/>
      </c>
      <c r="BM99" s="114" t="str">
        <f>_xlfn.IFNA(VLOOKUP($BD99,Programma!$F$3:$O$1101,10,0),"")</f>
        <v/>
      </c>
      <c r="BN99" s="114" t="str">
        <f>_xlfn.IFNA(VLOOKUP($BD99,Programma!$F$3:$P$1101,11,0),"")</f>
        <v/>
      </c>
      <c r="BO99" s="114" t="str">
        <f>_xlfn.IFNA(VLOOKUP($BD99,Programma!$F$3:$Q$1101,12,0),"")</f>
        <v/>
      </c>
      <c r="BP99" s="114" t="str">
        <f>_xlfn.IFNA(VLOOKUP($BD99,Programma!$F$3:$R$1101,13,0),"")</f>
        <v/>
      </c>
      <c r="BQ99" s="114" t="str">
        <f>_xlfn.IFNA(VLOOKUP($BD99,Programma!$F$3:$S$1101,14,0),"")</f>
        <v/>
      </c>
      <c r="BR99" s="114" t="str">
        <f>_xlfn.IFNA(VLOOKUP($BD99,Programma!$F$3:$T$1101,15,0),"")</f>
        <v/>
      </c>
      <c r="BS99" s="114" t="str">
        <f>_xlfn.IFNA(VLOOKUP($BD99,Programma!$F$3:$U$1101,16,0),"")</f>
        <v/>
      </c>
      <c r="BT99" s="114" t="str">
        <f>_xlfn.IFNA(VLOOKUP($BD99,Programma!$F$3:$V$1101,17,0),"")</f>
        <v/>
      </c>
      <c r="BU99" s="114" t="str">
        <f>_xlfn.IFNA(VLOOKUP($BD99,Programma!$F$3:$W$1101,18,0),"")</f>
        <v/>
      </c>
      <c r="BV99" s="114" t="str">
        <f>_xlfn.IFNA(VLOOKUP($BD99,Programma!$F$3:$X$1101,19,0),"")</f>
        <v/>
      </c>
      <c r="BW99" s="114" t="str">
        <f>_xlfn.IFNA(VLOOKUP($BD99,Programma!$F$3:$Y$1101,20,0),"")</f>
        <v/>
      </c>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c r="GF99" s="28"/>
      <c r="GG99" s="28"/>
      <c r="GH99" s="28"/>
      <c r="GI99" s="28"/>
      <c r="GJ99" s="28"/>
      <c r="GK99" s="28"/>
      <c r="GL99" s="28"/>
      <c r="GM99" s="28"/>
      <c r="GN99" s="28"/>
      <c r="GO99" s="28"/>
      <c r="GP99" s="28"/>
      <c r="GQ99" s="28"/>
      <c r="GR99" s="28"/>
      <c r="GS99" s="28"/>
      <c r="GT99" s="28"/>
      <c r="GU99" s="28"/>
      <c r="GV99" s="28"/>
      <c r="GW99" s="28"/>
      <c r="GX99" s="28"/>
      <c r="GY99" s="28"/>
      <c r="GZ99" s="28"/>
      <c r="HA99" s="28"/>
      <c r="HB99" s="28"/>
      <c r="HC99" s="28"/>
      <c r="HD99" s="28"/>
      <c r="HE99" s="28"/>
      <c r="HF99" s="28"/>
      <c r="HG99" s="28"/>
      <c r="HH99" s="28"/>
      <c r="HI99" s="28"/>
      <c r="HJ99" s="28"/>
      <c r="HK99" s="28"/>
      <c r="HL99" s="28"/>
    </row>
    <row r="100" spans="1:220" ht="15" customHeight="1">
      <c r="A100" s="31">
        <v>2</v>
      </c>
      <c r="B100" s="105" t="str">
        <f>VLOOKUP(Ruimtestaat[[#This Row],[Code]],Locaties[[Code]:[Locatie]],2,FALSE)</f>
        <v>IKC De Hoge Hoeve</v>
      </c>
      <c r="C100" s="105" t="str">
        <f>VLOOKUP(Ruimtestaat[[#This Row],[Code]],Locaties[[#All],[Code]:[Adres]],4,FALSE)</f>
        <v>De Hoge Hoeve 70</v>
      </c>
      <c r="D100" s="105" t="str">
        <f>VLOOKUP(Ruimtestaat[[#This Row],[Code]],Locaties[[#All],[Code]:[Postcode]],5,FALSE)</f>
        <v>6932 DJ</v>
      </c>
      <c r="E100" s="105" t="str">
        <f>VLOOKUP(Ruimtestaat[[#This Row],[Code]],Locaties[#All],6,FALSE)</f>
        <v>Westervoort</v>
      </c>
      <c r="F100" s="73" t="s">
        <v>1824</v>
      </c>
      <c r="G100" s="73" t="s">
        <v>1645</v>
      </c>
      <c r="H100" s="271" t="s">
        <v>1707</v>
      </c>
      <c r="I100" s="273" t="s">
        <v>1723</v>
      </c>
      <c r="J100" s="31">
        <v>5</v>
      </c>
      <c r="K100" s="113" t="str">
        <f>VLOOKUP(Ruimtestaat[[#This Row],[Ruimte code]],Ruimtegroepen[[#All],[Code]:[Ruimte omschrijving]],2,FALSE)</f>
        <v>Sanitair</v>
      </c>
      <c r="L100" s="73" t="s">
        <v>102</v>
      </c>
      <c r="M100" s="273" t="s">
        <v>120</v>
      </c>
      <c r="N100" s="106">
        <v>6</v>
      </c>
      <c r="O100" s="112"/>
      <c r="P100" s="112"/>
      <c r="Q100" s="107" t="str">
        <f>VLOOKUP(Ruimtestaat[[#This Row],[Ruimte code]],Ruimtegroepen[],4,FALSE)</f>
        <v>Sa</v>
      </c>
      <c r="R100" s="73">
        <v>40</v>
      </c>
      <c r="S100" s="73" t="s">
        <v>2</v>
      </c>
      <c r="T100" s="73">
        <f>IF(R100&gt;0,IF(RIGHT(Ruimtestaat[[#This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0" s="73">
        <f>IF(T100&gt;0,VLOOKUP($J100,Ruimtegroepen[],3,FALSE)*VLOOKUP($L100,Vloersoorten[],3,FALSE)*VLOOKUP($S100,Frequenties[],3,FALSE)*VLOOKUP($A100,Locaties[],3,FALSE),0)</f>
        <v>0</v>
      </c>
      <c r="V100" s="73">
        <f>Ruimtestaat[[#This Row],[Uitvoeringen werkdagen]]*Ruimtestaat[[#This Row],[Oppervlak (netto)]]</f>
        <v>1200</v>
      </c>
      <c r="W100" s="108">
        <f>IF(U100&gt;0,Ruimtestaat[[#This Row],[Prest. (m2 /jaar) werkdagen]]/Ruimtestaat[[#This Row],[Norm (m2/uur) werkdagen]],0)</f>
        <v>0</v>
      </c>
      <c r="X100" s="109">
        <f>Ruimtestaat[[#This Row],[uren / jaar werkdagen]]*Tariefsopbouw!$E$35</f>
        <v>0</v>
      </c>
      <c r="Y100" s="73"/>
      <c r="Z100" s="73">
        <f>IF(Ruimtestaat[[#This Row],[Frequentie weekend]]&gt;0,VALUE(LEFT(Y100,1))*R100,0)</f>
        <v>0</v>
      </c>
      <c r="AA100" s="72">
        <f>IF($Z100&gt;0,VLOOKUP($J100,Ruimtegroepen[],3,FALSE)*VLOOKUP($L100,Vloersoorten[],3,FALSE)*VLOOKUP($Y100,Frequenties[],3,FALSE)*VLOOKUP(Ruimtestaat[[#This Row],[Code]],Locaties[],3,FALSE),0)</f>
        <v>0</v>
      </c>
      <c r="AB100" s="72">
        <f>Ruimtestaat[[#This Row],[Uitvoeringen weekend]]*Ruimtestaat[[#This Row],[Oppervlak (netto)]]</f>
        <v>0</v>
      </c>
      <c r="AC100" s="72">
        <f>IF(AA100&gt;0,Ruimtestaat[[#This Row],[Prest. (m2 /jaar) weekend]]/Ruimtestaat[[#This Row],[Norm (m2/uur) weekend]],0)</f>
        <v>0</v>
      </c>
      <c r="AD100" s="109">
        <f>Ruimtestaat[[#This Row],[uren / jaar weekend]]*Tariefsopbouw!$D$40</f>
        <v>0</v>
      </c>
      <c r="AE100" s="108">
        <f>Ruimtestaat[[#This Row],[Prest. (m2 /jaar) weekend]]+Ruimtestaat[[#This Row],[Prest. (m2 /jaar) werkdagen]]</f>
        <v>1200</v>
      </c>
      <c r="AF100" s="108">
        <f>Ruimtestaat[[#This Row],[uren / jaar weekend]]+Ruimtestaat[[#This Row],[uren / jaar werkdagen]]</f>
        <v>0</v>
      </c>
      <c r="AG100" s="103">
        <f>Ruimtestaat[[#This Row],[kosten / jaar weekend]]+Ruimtestaat[[#This Row],[kosten / jaar werkdagen]]</f>
        <v>0</v>
      </c>
      <c r="AH100" s="103"/>
      <c r="AI100" s="110" t="str">
        <f>IF(Ruimtestaat[[#This Row],[Frequentie werkdagen]]="","",_xlfn.CONCAT(Ruimtestaat[[#This Row],[Ruimte code]],"-",Ruimtestaat[[#This Row],[Frequentie werkdagen]]," ",Ruimtestaat[[#This Row],[Vloer code]]))</f>
        <v>5-5w P</v>
      </c>
      <c r="AJ100" s="114" t="str">
        <f>_xlfn.IFNA(VLOOKUP($AI100,Programma!$F$3:$G$1101,2,0),"")</f>
        <v>_</v>
      </c>
      <c r="AK100" s="114" t="str">
        <f>_xlfn.IFNA(VLOOKUP($AI100,Programma!$F$3:$H$1101,3,0),"")</f>
        <v>_</v>
      </c>
      <c r="AL100" s="114" t="str">
        <f>_xlfn.IFNA(VLOOKUP($AI100,Programma!$F$3:$I$1101,4,0),"")</f>
        <v>_</v>
      </c>
      <c r="AM100" s="114" t="str">
        <f>_xlfn.IFNA(VLOOKUP($AI100,Programma!$F$3:$J$1101,5,0),"")</f>
        <v>4w</v>
      </c>
      <c r="AN100" s="114" t="str">
        <f>_xlfn.IFNA(VLOOKUP($AI100,Programma!$F$3:$K$1101,6,0),"")</f>
        <v>1w</v>
      </c>
      <c r="AO100" s="114" t="str">
        <f>_xlfn.IFNA(VLOOKUP($AI100,Programma!$F$3:$L$1101,7,0),"")</f>
        <v>_</v>
      </c>
      <c r="AP100" s="114" t="str">
        <f>_xlfn.IFNA(VLOOKUP($AI100,Programma!$F$3:$M$1101,8,0),"")</f>
        <v>_</v>
      </c>
      <c r="AQ100" s="114" t="str">
        <f>_xlfn.IFNA(VLOOKUP($AI100,Programma!$F$3:$N$1101,9,0),"")</f>
        <v>_</v>
      </c>
      <c r="AR100" s="114" t="str">
        <f>_xlfn.IFNA(VLOOKUP($AI100,Programma!$F$3:$O$1101,10,0),"")</f>
        <v>_</v>
      </c>
      <c r="AS100" s="114" t="str">
        <f>_xlfn.IFNA(VLOOKUP($AI100,Programma!$F$3:$P$1101,11,0),"")</f>
        <v>_</v>
      </c>
      <c r="AT100" s="114" t="str">
        <f>_xlfn.IFNA(VLOOKUP($AI100,Programma!$F$3:$Q$1101,12,0),"")</f>
        <v>_</v>
      </c>
      <c r="AU100" s="114" t="str">
        <f>_xlfn.IFNA(VLOOKUP($AI100,Programma!$F$3:$R$1101,13,0),"")</f>
        <v>_</v>
      </c>
      <c r="AV100" s="114" t="str">
        <f>_xlfn.IFNA(VLOOKUP($AI100,Programma!$F$3:$S$1101,14,0),"")</f>
        <v>_</v>
      </c>
      <c r="AW100" s="114" t="str">
        <f>_xlfn.IFNA(VLOOKUP($AI100,Programma!$F$3:$T$1101,15,0),"")</f>
        <v>_</v>
      </c>
      <c r="AX100" s="114" t="str">
        <f>_xlfn.IFNA(VLOOKUP($AI100,Programma!$F$3:$U$1101,16,0),"")</f>
        <v>_</v>
      </c>
      <c r="AY100" s="114" t="str">
        <f>_xlfn.IFNA(VLOOKUP($AI100,Programma!$F$3:$V$1101,17,0),"")</f>
        <v>_</v>
      </c>
      <c r="AZ100" s="114" t="str">
        <f>_xlfn.IFNA(VLOOKUP($AI100,Programma!$F$3:$W$1101,18,0),"")</f>
        <v>4w</v>
      </c>
      <c r="BA100" s="114" t="str">
        <f>_xlfn.IFNA(VLOOKUP($AI100,Programma!$F$3:$X$1101,19,0),"")</f>
        <v>1w</v>
      </c>
      <c r="BB100" s="114" t="str">
        <f>_xlfn.IFNA(VLOOKUP($AI100,Programma!$F$3:$Y$1101,20,0),"")</f>
        <v>_</v>
      </c>
      <c r="BC100" s="111"/>
      <c r="BD100" s="110" t="str">
        <f>IF(Ruimtestaat[[#This Row],[Frequentie weekend]]="","",_xlfn.CONCAT(Ruimtestaat[[#This Row],[Ruimte code]],"-",Ruimtestaat[[#This Row],[Frequentie weekend]]," ",Ruimtestaat[[#This Row],[Vloer code]]))</f>
        <v/>
      </c>
      <c r="BE100" s="114" t="str">
        <f>_xlfn.IFNA(VLOOKUP($BD100,Programma!$F$3:$G$1101,2,0),"")</f>
        <v/>
      </c>
      <c r="BF100" s="114" t="str">
        <f>_xlfn.IFNA(VLOOKUP($BD100,Programma!$F$3:$H$1101,3,0),"")</f>
        <v/>
      </c>
      <c r="BG100" s="114" t="str">
        <f>_xlfn.IFNA(VLOOKUP($BD100,Programma!$F$3:$I$1101,4,0),"")</f>
        <v/>
      </c>
      <c r="BH100" s="114" t="str">
        <f>_xlfn.IFNA(VLOOKUP($BD100,Programma!$F$3:$J$1101,5,0),"")</f>
        <v/>
      </c>
      <c r="BI100" s="114" t="str">
        <f>_xlfn.IFNA(VLOOKUP($BD100,Programma!$F$3:$K$1101,6,0),"")</f>
        <v/>
      </c>
      <c r="BJ100" s="114" t="str">
        <f>_xlfn.IFNA(VLOOKUP($BD100,Programma!$F$3:$L$1101,7,0),"")</f>
        <v/>
      </c>
      <c r="BK100" s="114" t="str">
        <f>_xlfn.IFNA(VLOOKUP($BD100,Programma!$F$3:$M$1101,8,0),"")</f>
        <v/>
      </c>
      <c r="BL100" s="114" t="str">
        <f>_xlfn.IFNA(VLOOKUP($BD100,Programma!$F$3:$N$1101,9,0),"")</f>
        <v/>
      </c>
      <c r="BM100" s="114" t="str">
        <f>_xlfn.IFNA(VLOOKUP($BD100,Programma!$F$3:$O$1101,10,0),"")</f>
        <v/>
      </c>
      <c r="BN100" s="114" t="str">
        <f>_xlfn.IFNA(VLOOKUP($BD100,Programma!$F$3:$P$1101,11,0),"")</f>
        <v/>
      </c>
      <c r="BO100" s="114" t="str">
        <f>_xlfn.IFNA(VLOOKUP($BD100,Programma!$F$3:$Q$1101,12,0),"")</f>
        <v/>
      </c>
      <c r="BP100" s="114" t="str">
        <f>_xlfn.IFNA(VLOOKUP($BD100,Programma!$F$3:$R$1101,13,0),"")</f>
        <v/>
      </c>
      <c r="BQ100" s="114" t="str">
        <f>_xlfn.IFNA(VLOOKUP($BD100,Programma!$F$3:$S$1101,14,0),"")</f>
        <v/>
      </c>
      <c r="BR100" s="114" t="str">
        <f>_xlfn.IFNA(VLOOKUP($BD100,Programma!$F$3:$T$1101,15,0),"")</f>
        <v/>
      </c>
      <c r="BS100" s="114" t="str">
        <f>_xlfn.IFNA(VLOOKUP($BD100,Programma!$F$3:$U$1101,16,0),"")</f>
        <v/>
      </c>
      <c r="BT100" s="114" t="str">
        <f>_xlfn.IFNA(VLOOKUP($BD100,Programma!$F$3:$V$1101,17,0),"")</f>
        <v/>
      </c>
      <c r="BU100" s="114" t="str">
        <f>_xlfn.IFNA(VLOOKUP($BD100,Programma!$F$3:$W$1101,18,0),"")</f>
        <v/>
      </c>
      <c r="BV100" s="114" t="str">
        <f>_xlfn.IFNA(VLOOKUP($BD100,Programma!$F$3:$X$1101,19,0),"")</f>
        <v/>
      </c>
      <c r="BW100" s="114" t="str">
        <f>_xlfn.IFNA(VLOOKUP($BD100,Programma!$F$3:$Y$1101,20,0),"")</f>
        <v/>
      </c>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c r="GF100" s="28"/>
      <c r="GG100" s="28"/>
      <c r="GH100" s="28"/>
      <c r="GI100" s="28"/>
      <c r="GJ100" s="28"/>
      <c r="GK100" s="28"/>
      <c r="GL100" s="28"/>
      <c r="GM100" s="28"/>
      <c r="GN100" s="28"/>
      <c r="GO100" s="28"/>
      <c r="GP100" s="28"/>
      <c r="GQ100" s="28"/>
      <c r="GR100" s="28"/>
      <c r="GS100" s="28"/>
      <c r="GT100" s="28"/>
      <c r="GU100" s="28"/>
      <c r="GV100" s="28"/>
      <c r="GW100" s="28"/>
      <c r="GX100" s="28"/>
      <c r="GY100" s="28"/>
      <c r="GZ100" s="28"/>
      <c r="HA100" s="28"/>
      <c r="HB100" s="28"/>
      <c r="HC100" s="28"/>
      <c r="HD100" s="28"/>
      <c r="HE100" s="28"/>
      <c r="HF100" s="28"/>
      <c r="HG100" s="28"/>
      <c r="HH100" s="28"/>
      <c r="HI100" s="28"/>
      <c r="HJ100" s="28"/>
      <c r="HK100" s="28"/>
      <c r="HL100" s="28"/>
    </row>
    <row r="101" spans="1:220" ht="15" customHeight="1">
      <c r="A101" s="31">
        <v>2</v>
      </c>
      <c r="B101" s="105" t="str">
        <f>VLOOKUP(Ruimtestaat[[#This Row],[Code]],Locaties[[Code]:[Locatie]],2,FALSE)</f>
        <v>IKC De Hoge Hoeve</v>
      </c>
      <c r="C101" s="105" t="str">
        <f>VLOOKUP(Ruimtestaat[[#This Row],[Code]],Locaties[[#All],[Code]:[Adres]],4,FALSE)</f>
        <v>De Hoge Hoeve 70</v>
      </c>
      <c r="D101" s="105" t="str">
        <f>VLOOKUP(Ruimtestaat[[#This Row],[Code]],Locaties[[#All],[Code]:[Postcode]],5,FALSE)</f>
        <v>6932 DJ</v>
      </c>
      <c r="E101" s="105" t="str">
        <f>VLOOKUP(Ruimtestaat[[#This Row],[Code]],Locaties[#All],6,FALSE)</f>
        <v>Westervoort</v>
      </c>
      <c r="F101" s="73" t="s">
        <v>1824</v>
      </c>
      <c r="G101" s="73" t="s">
        <v>1645</v>
      </c>
      <c r="H101" s="271" t="s">
        <v>1708</v>
      </c>
      <c r="I101" s="273" t="s">
        <v>1739</v>
      </c>
      <c r="J101" s="31">
        <v>6</v>
      </c>
      <c r="K101" s="113" t="str">
        <f>VLOOKUP(Ruimtestaat[[#This Row],[Ruimte code]],Ruimtegroepen[[#All],[Code]:[Ruimte omschrijving]],2,FALSE)</f>
        <v>Gangen/hallen</v>
      </c>
      <c r="L101" s="73" t="s">
        <v>102</v>
      </c>
      <c r="M101" s="273" t="s">
        <v>120</v>
      </c>
      <c r="N101" s="106">
        <v>17</v>
      </c>
      <c r="O101" s="112"/>
      <c r="P101" s="112"/>
      <c r="Q101" s="107" t="str">
        <f>VLOOKUP(Ruimtestaat[[#This Row],[Ruimte code]],Ruimtegroepen[],4,FALSE)</f>
        <v>Ve</v>
      </c>
      <c r="R101" s="73">
        <v>40</v>
      </c>
      <c r="S101" s="73" t="s">
        <v>2</v>
      </c>
      <c r="T101" s="73">
        <f>IF(R101&gt;0,IF(RIGHT(Ruimtestaat[[#This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1" s="73">
        <f>IF(T101&gt;0,VLOOKUP($J101,Ruimtegroepen[],3,FALSE)*VLOOKUP($L101,Vloersoorten[],3,FALSE)*VLOOKUP($S101,Frequenties[],3,FALSE)*VLOOKUP($A101,Locaties[],3,FALSE),0)</f>
        <v>0</v>
      </c>
      <c r="V101" s="73">
        <f>Ruimtestaat[[#This Row],[Uitvoeringen werkdagen]]*Ruimtestaat[[#This Row],[Oppervlak (netto)]]</f>
        <v>3400</v>
      </c>
      <c r="W101" s="108">
        <f>IF(U101&gt;0,Ruimtestaat[[#This Row],[Prest. (m2 /jaar) werkdagen]]/Ruimtestaat[[#This Row],[Norm (m2/uur) werkdagen]],0)</f>
        <v>0</v>
      </c>
      <c r="X101" s="109">
        <f>Ruimtestaat[[#This Row],[uren / jaar werkdagen]]*Tariefsopbouw!$E$35</f>
        <v>0</v>
      </c>
      <c r="Y101" s="73"/>
      <c r="Z101" s="73">
        <f>IF(Ruimtestaat[[#This Row],[Frequentie weekend]]&gt;0,VALUE(LEFT(Y101,1))*R101,0)</f>
        <v>0</v>
      </c>
      <c r="AA101" s="72">
        <f>IF($Z101&gt;0,VLOOKUP($J101,Ruimtegroepen[],3,FALSE)*VLOOKUP($L101,Vloersoorten[],3,FALSE)*VLOOKUP($Y101,Frequenties[],3,FALSE)*VLOOKUP(Ruimtestaat[[#This Row],[Code]],Locaties[],3,FALSE),0)</f>
        <v>0</v>
      </c>
      <c r="AB101" s="72">
        <f>Ruimtestaat[[#This Row],[Uitvoeringen weekend]]*Ruimtestaat[[#This Row],[Oppervlak (netto)]]</f>
        <v>0</v>
      </c>
      <c r="AC101" s="72">
        <f>IF(AA101&gt;0,Ruimtestaat[[#This Row],[Prest. (m2 /jaar) weekend]]/Ruimtestaat[[#This Row],[Norm (m2/uur) weekend]],0)</f>
        <v>0</v>
      </c>
      <c r="AD101" s="109">
        <f>Ruimtestaat[[#This Row],[uren / jaar weekend]]*Tariefsopbouw!$D$40</f>
        <v>0</v>
      </c>
      <c r="AE101" s="108">
        <f>Ruimtestaat[[#This Row],[Prest. (m2 /jaar) weekend]]+Ruimtestaat[[#This Row],[Prest. (m2 /jaar) werkdagen]]</f>
        <v>3400</v>
      </c>
      <c r="AF101" s="108">
        <f>Ruimtestaat[[#This Row],[uren / jaar weekend]]+Ruimtestaat[[#This Row],[uren / jaar werkdagen]]</f>
        <v>0</v>
      </c>
      <c r="AG101" s="103">
        <f>Ruimtestaat[[#This Row],[kosten / jaar weekend]]+Ruimtestaat[[#This Row],[kosten / jaar werkdagen]]</f>
        <v>0</v>
      </c>
      <c r="AH101" s="103"/>
      <c r="AI101" s="110" t="str">
        <f>IF(Ruimtestaat[[#This Row],[Frequentie werkdagen]]="","",_xlfn.CONCAT(Ruimtestaat[[#This Row],[Ruimte code]],"-",Ruimtestaat[[#This Row],[Frequentie werkdagen]]," ",Ruimtestaat[[#This Row],[Vloer code]]))</f>
        <v>6-5w P</v>
      </c>
      <c r="AJ101" s="114" t="str">
        <f>_xlfn.IFNA(VLOOKUP($AI101,Programma!$F$3:$G$1101,2,0),"")</f>
        <v>_</v>
      </c>
      <c r="AK101" s="114" t="str">
        <f>_xlfn.IFNA(VLOOKUP($AI101,Programma!$F$3:$H$1101,3,0),"")</f>
        <v>_</v>
      </c>
      <c r="AL101" s="114" t="str">
        <f>_xlfn.IFNA(VLOOKUP($AI101,Programma!$F$3:$I$1101,4,0),"")</f>
        <v>5w</v>
      </c>
      <c r="AM101" s="114" t="str">
        <f>_xlfn.IFNA(VLOOKUP($AI101,Programma!$F$3:$J$1101,5,0),"")</f>
        <v>_</v>
      </c>
      <c r="AN101" s="114" t="str">
        <f>_xlfn.IFNA(VLOOKUP($AI101,Programma!$F$3:$K$1101,6,0),"")</f>
        <v>5w</v>
      </c>
      <c r="AO101" s="114" t="str">
        <f>_xlfn.IFNA(VLOOKUP($AI101,Programma!$F$3:$L$1101,7,0),"")</f>
        <v>_</v>
      </c>
      <c r="AP101" s="114" t="str">
        <f>_xlfn.IFNA(VLOOKUP($AI101,Programma!$F$3:$M$1101,8,0),"")</f>
        <v>_</v>
      </c>
      <c r="AQ101" s="114" t="str">
        <f>_xlfn.IFNA(VLOOKUP($AI101,Programma!$F$3:$N$1101,9,0),"")</f>
        <v>_</v>
      </c>
      <c r="AR101" s="114" t="str">
        <f>_xlfn.IFNA(VLOOKUP($AI101,Programma!$F$3:$O$1101,10,0),"")</f>
        <v>5w</v>
      </c>
      <c r="AS101" s="114" t="str">
        <f>_xlfn.IFNA(VLOOKUP($AI101,Programma!$F$3:$P$1101,11,0),"")</f>
        <v>5w</v>
      </c>
      <c r="AT101" s="114" t="str">
        <f>_xlfn.IFNA(VLOOKUP($AI101,Programma!$F$3:$Q$1101,12,0),"")</f>
        <v>1w</v>
      </c>
      <c r="AU101" s="114" t="str">
        <f>_xlfn.IFNA(VLOOKUP($AI101,Programma!$F$3:$R$1101,13,0),"")</f>
        <v>1w</v>
      </c>
      <c r="AV101" s="114" t="str">
        <f>_xlfn.IFNA(VLOOKUP($AI101,Programma!$F$3:$S$1101,14,0),"")</f>
        <v>1m</v>
      </c>
      <c r="AW101" s="114" t="str">
        <f>_xlfn.IFNA(VLOOKUP($AI101,Programma!$F$3:$T$1101,15,0),"")</f>
        <v>2j</v>
      </c>
      <c r="AX101" s="114" t="str">
        <f>_xlfn.IFNA(VLOOKUP($AI101,Programma!$F$3:$U$1101,16,0),"")</f>
        <v>1j</v>
      </c>
      <c r="AY101" s="114" t="str">
        <f>_xlfn.IFNA(VLOOKUP($AI101,Programma!$F$3:$V$1101,17,0),"")</f>
        <v>_</v>
      </c>
      <c r="AZ101" s="114" t="str">
        <f>_xlfn.IFNA(VLOOKUP($AI101,Programma!$F$3:$W$1101,18,0),"")</f>
        <v>_</v>
      </c>
      <c r="BA101" s="114" t="str">
        <f>_xlfn.IFNA(VLOOKUP($AI101,Programma!$F$3:$X$1101,19,0),"")</f>
        <v>_</v>
      </c>
      <c r="BB101" s="114" t="str">
        <f>_xlfn.IFNA(VLOOKUP($AI101,Programma!$F$3:$Y$1101,20,0),"")</f>
        <v>_</v>
      </c>
      <c r="BC101" s="111"/>
      <c r="BD101" s="110" t="str">
        <f>IF(Ruimtestaat[[#This Row],[Frequentie weekend]]="","",_xlfn.CONCAT(Ruimtestaat[[#This Row],[Ruimte code]],"-",Ruimtestaat[[#This Row],[Frequentie weekend]]," ",Ruimtestaat[[#This Row],[Vloer code]]))</f>
        <v/>
      </c>
      <c r="BE101" s="114" t="str">
        <f>_xlfn.IFNA(VLOOKUP($BD101,Programma!$F$3:$G$1101,2,0),"")</f>
        <v/>
      </c>
      <c r="BF101" s="114" t="str">
        <f>_xlfn.IFNA(VLOOKUP($BD101,Programma!$F$3:$H$1101,3,0),"")</f>
        <v/>
      </c>
      <c r="BG101" s="114" t="str">
        <f>_xlfn.IFNA(VLOOKUP($BD101,Programma!$F$3:$I$1101,4,0),"")</f>
        <v/>
      </c>
      <c r="BH101" s="114" t="str">
        <f>_xlfn.IFNA(VLOOKUP($BD101,Programma!$F$3:$J$1101,5,0),"")</f>
        <v/>
      </c>
      <c r="BI101" s="114" t="str">
        <f>_xlfn.IFNA(VLOOKUP($BD101,Programma!$F$3:$K$1101,6,0),"")</f>
        <v/>
      </c>
      <c r="BJ101" s="114" t="str">
        <f>_xlfn.IFNA(VLOOKUP($BD101,Programma!$F$3:$L$1101,7,0),"")</f>
        <v/>
      </c>
      <c r="BK101" s="114" t="str">
        <f>_xlfn.IFNA(VLOOKUP($BD101,Programma!$F$3:$M$1101,8,0),"")</f>
        <v/>
      </c>
      <c r="BL101" s="114" t="str">
        <f>_xlfn.IFNA(VLOOKUP($BD101,Programma!$F$3:$N$1101,9,0),"")</f>
        <v/>
      </c>
      <c r="BM101" s="114" t="str">
        <f>_xlfn.IFNA(VLOOKUP($BD101,Programma!$F$3:$O$1101,10,0),"")</f>
        <v/>
      </c>
      <c r="BN101" s="114" t="str">
        <f>_xlfn.IFNA(VLOOKUP($BD101,Programma!$F$3:$P$1101,11,0),"")</f>
        <v/>
      </c>
      <c r="BO101" s="114" t="str">
        <f>_xlfn.IFNA(VLOOKUP($BD101,Programma!$F$3:$Q$1101,12,0),"")</f>
        <v/>
      </c>
      <c r="BP101" s="114" t="str">
        <f>_xlfn.IFNA(VLOOKUP($BD101,Programma!$F$3:$R$1101,13,0),"")</f>
        <v/>
      </c>
      <c r="BQ101" s="114" t="str">
        <f>_xlfn.IFNA(VLOOKUP($BD101,Programma!$F$3:$S$1101,14,0),"")</f>
        <v/>
      </c>
      <c r="BR101" s="114" t="str">
        <f>_xlfn.IFNA(VLOOKUP($BD101,Programma!$F$3:$T$1101,15,0),"")</f>
        <v/>
      </c>
      <c r="BS101" s="114" t="str">
        <f>_xlfn.IFNA(VLOOKUP($BD101,Programma!$F$3:$U$1101,16,0),"")</f>
        <v/>
      </c>
      <c r="BT101" s="114" t="str">
        <f>_xlfn.IFNA(VLOOKUP($BD101,Programma!$F$3:$V$1101,17,0),"")</f>
        <v/>
      </c>
      <c r="BU101" s="114" t="str">
        <f>_xlfn.IFNA(VLOOKUP($BD101,Programma!$F$3:$W$1101,18,0),"")</f>
        <v/>
      </c>
      <c r="BV101" s="114" t="str">
        <f>_xlfn.IFNA(VLOOKUP($BD101,Programma!$F$3:$X$1101,19,0),"")</f>
        <v/>
      </c>
      <c r="BW101" s="114" t="str">
        <f>_xlfn.IFNA(VLOOKUP($BD101,Programma!$F$3:$Y$1101,20,0),"")</f>
        <v/>
      </c>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c r="GF101" s="28"/>
      <c r="GG101" s="28"/>
      <c r="GH101" s="28"/>
      <c r="GI101" s="28"/>
      <c r="GJ101" s="28"/>
      <c r="GK101" s="28"/>
      <c r="GL101" s="28"/>
      <c r="GM101" s="28"/>
      <c r="GN101" s="28"/>
      <c r="GO101" s="28"/>
      <c r="GP101" s="28"/>
      <c r="GQ101" s="28"/>
      <c r="GR101" s="28"/>
      <c r="GS101" s="28"/>
      <c r="GT101" s="28"/>
      <c r="GU101" s="28"/>
      <c r="GV101" s="28"/>
      <c r="GW101" s="28"/>
      <c r="GX101" s="28"/>
      <c r="GY101" s="28"/>
      <c r="GZ101" s="28"/>
      <c r="HA101" s="28"/>
      <c r="HB101" s="28"/>
      <c r="HC101" s="28"/>
      <c r="HD101" s="28"/>
      <c r="HE101" s="28"/>
      <c r="HF101" s="28"/>
      <c r="HG101" s="28"/>
      <c r="HH101" s="28"/>
      <c r="HI101" s="28"/>
      <c r="HJ101" s="28"/>
      <c r="HK101" s="28"/>
      <c r="HL101" s="28"/>
    </row>
    <row r="102" spans="1:220" ht="15" customHeight="1">
      <c r="A102" s="31">
        <v>2</v>
      </c>
      <c r="B102" s="105" t="str">
        <f>VLOOKUP(Ruimtestaat[[#This Row],[Code]],Locaties[[Code]:[Locatie]],2,FALSE)</f>
        <v>IKC De Hoge Hoeve</v>
      </c>
      <c r="C102" s="105" t="str">
        <f>VLOOKUP(Ruimtestaat[[#This Row],[Code]],Locaties[[#All],[Code]:[Adres]],4,FALSE)</f>
        <v>De Hoge Hoeve 70</v>
      </c>
      <c r="D102" s="105" t="str">
        <f>VLOOKUP(Ruimtestaat[[#This Row],[Code]],Locaties[[#All],[Code]:[Postcode]],5,FALSE)</f>
        <v>6932 DJ</v>
      </c>
      <c r="E102" s="105" t="str">
        <f>VLOOKUP(Ruimtestaat[[#This Row],[Code]],Locaties[#All],6,FALSE)</f>
        <v>Westervoort</v>
      </c>
      <c r="F102" s="73" t="s">
        <v>1824</v>
      </c>
      <c r="G102" s="73" t="s">
        <v>1645</v>
      </c>
      <c r="H102" s="271" t="s">
        <v>1709</v>
      </c>
      <c r="I102" s="273" t="s">
        <v>1742</v>
      </c>
      <c r="J102" s="31">
        <v>8</v>
      </c>
      <c r="K102" s="113" t="str">
        <f>VLOOKUP(Ruimtestaat[[#This Row],[Ruimte code]],Ruimtegroepen[[#All],[Code]:[Ruimte omschrijving]],2,FALSE)</f>
        <v>Kinderopvang</v>
      </c>
      <c r="L102" s="73" t="s">
        <v>102</v>
      </c>
      <c r="M102" s="273" t="s">
        <v>120</v>
      </c>
      <c r="N102" s="106">
        <v>64</v>
      </c>
      <c r="O102" s="112"/>
      <c r="P102" s="73"/>
      <c r="Q102" s="107" t="str">
        <f>VLOOKUP(Ruimtestaat[[#This Row],[Ruimte code]],Ruimtegroepen[],4,FALSE)</f>
        <v>Le</v>
      </c>
      <c r="R102" s="73">
        <v>40</v>
      </c>
      <c r="S102" s="73" t="s">
        <v>2</v>
      </c>
      <c r="T102" s="73">
        <f>IF(R102&gt;0,IF(RIGHT(Ruimtestaat[[#This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2" s="73">
        <f>IF(T102&gt;0,VLOOKUP($J102,Ruimtegroepen[],3,FALSE)*VLOOKUP($L102,Vloersoorten[],3,FALSE)*VLOOKUP($S102,Frequenties[],3,FALSE)*VLOOKUP($A102,Locaties[],3,FALSE),0)</f>
        <v>0</v>
      </c>
      <c r="V102" s="73">
        <f>Ruimtestaat[[#This Row],[Uitvoeringen werkdagen]]*Ruimtestaat[[#This Row],[Oppervlak (netto)]]</f>
        <v>12800</v>
      </c>
      <c r="W102" s="108">
        <f>IF(U102&gt;0,Ruimtestaat[[#This Row],[Prest. (m2 /jaar) werkdagen]]/Ruimtestaat[[#This Row],[Norm (m2/uur) werkdagen]],0)</f>
        <v>0</v>
      </c>
      <c r="X102" s="109">
        <f>Ruimtestaat[[#This Row],[uren / jaar werkdagen]]*Tariefsopbouw!$E$35</f>
        <v>0</v>
      </c>
      <c r="Y102" s="73"/>
      <c r="Z102" s="73">
        <f>IF(Ruimtestaat[[#This Row],[Frequentie weekend]]&gt;0,VALUE(LEFT(Y102,1))*R102,0)</f>
        <v>0</v>
      </c>
      <c r="AA102" s="72">
        <f>IF($Z102&gt;0,VLOOKUP($J102,Ruimtegroepen[],3,FALSE)*VLOOKUP($L102,Vloersoorten[],3,FALSE)*VLOOKUP($Y102,Frequenties[],3,FALSE)*VLOOKUP(Ruimtestaat[[#This Row],[Code]],Locaties[],3,FALSE),0)</f>
        <v>0</v>
      </c>
      <c r="AB102" s="72">
        <f>Ruimtestaat[[#This Row],[Uitvoeringen weekend]]*Ruimtestaat[[#This Row],[Oppervlak (netto)]]</f>
        <v>0</v>
      </c>
      <c r="AC102" s="72">
        <f>IF(AA102&gt;0,Ruimtestaat[[#This Row],[Prest. (m2 /jaar) weekend]]/Ruimtestaat[[#This Row],[Norm (m2/uur) weekend]],0)</f>
        <v>0</v>
      </c>
      <c r="AD102" s="109">
        <f>Ruimtestaat[[#This Row],[uren / jaar weekend]]*Tariefsopbouw!$D$40</f>
        <v>0</v>
      </c>
      <c r="AE102" s="108">
        <f>Ruimtestaat[[#This Row],[Prest. (m2 /jaar) weekend]]+Ruimtestaat[[#This Row],[Prest. (m2 /jaar) werkdagen]]</f>
        <v>12800</v>
      </c>
      <c r="AF102" s="108">
        <f>Ruimtestaat[[#This Row],[uren / jaar weekend]]+Ruimtestaat[[#This Row],[uren / jaar werkdagen]]</f>
        <v>0</v>
      </c>
      <c r="AG102" s="103">
        <f>Ruimtestaat[[#This Row],[kosten / jaar weekend]]+Ruimtestaat[[#This Row],[kosten / jaar werkdagen]]</f>
        <v>0</v>
      </c>
      <c r="AH102" s="103"/>
      <c r="AI102" s="110" t="str">
        <f>IF(Ruimtestaat[[#This Row],[Frequentie werkdagen]]="","",_xlfn.CONCAT(Ruimtestaat[[#This Row],[Ruimte code]],"-",Ruimtestaat[[#This Row],[Frequentie werkdagen]]," ",Ruimtestaat[[#This Row],[Vloer code]]))</f>
        <v>8-5w P</v>
      </c>
      <c r="AJ102" s="114" t="str">
        <f>_xlfn.IFNA(VLOOKUP($AI102,Programma!$F$3:$G$1101,2,0),"")</f>
        <v>_</v>
      </c>
      <c r="AK102" s="114" t="str">
        <f>_xlfn.IFNA(VLOOKUP($AI102,Programma!$F$3:$H$1101,3,0),"")</f>
        <v>_</v>
      </c>
      <c r="AL102" s="114" t="str">
        <f>_xlfn.IFNA(VLOOKUP($AI102,Programma!$F$3:$I$1101,4,0),"")</f>
        <v>5w</v>
      </c>
      <c r="AM102" s="114" t="str">
        <f>_xlfn.IFNA(VLOOKUP($AI102,Programma!$F$3:$J$1101,5,0),"")</f>
        <v>_</v>
      </c>
      <c r="AN102" s="114" t="str">
        <f>_xlfn.IFNA(VLOOKUP($AI102,Programma!$F$3:$K$1101,6,0),"")</f>
        <v>4j</v>
      </c>
      <c r="AO102" s="114" t="str">
        <f>_xlfn.IFNA(VLOOKUP($AI102,Programma!$F$3:$L$1101,7,0),"")</f>
        <v>_</v>
      </c>
      <c r="AP102" s="114" t="str">
        <f>_xlfn.IFNA(VLOOKUP($AI102,Programma!$F$3:$M$1101,8,0),"")</f>
        <v>_</v>
      </c>
      <c r="AQ102" s="114" t="str">
        <f>_xlfn.IFNA(VLOOKUP($AI102,Programma!$F$3:$N$1101,9,0),"")</f>
        <v>_</v>
      </c>
      <c r="AR102" s="114" t="str">
        <f>_xlfn.IFNA(VLOOKUP($AI102,Programma!$F$3:$O$1101,10,0),"")</f>
        <v>5w</v>
      </c>
      <c r="AS102" s="114" t="str">
        <f>_xlfn.IFNA(VLOOKUP($AI102,Programma!$F$3:$P$1101,11,0),"")</f>
        <v>5w</v>
      </c>
      <c r="AT102" s="114" t="str">
        <f>_xlfn.IFNA(VLOOKUP($AI102,Programma!$F$3:$Q$1101,12,0),"")</f>
        <v>1w</v>
      </c>
      <c r="AU102" s="114" t="str">
        <f>_xlfn.IFNA(VLOOKUP($AI102,Programma!$F$3:$R$1101,13,0),"")</f>
        <v>1w</v>
      </c>
      <c r="AV102" s="114" t="str">
        <f>_xlfn.IFNA(VLOOKUP($AI102,Programma!$F$3:$S$1101,14,0),"")</f>
        <v>1m</v>
      </c>
      <c r="AW102" s="114" t="str">
        <f>_xlfn.IFNA(VLOOKUP($AI102,Programma!$F$3:$T$1101,15,0),"")</f>
        <v>2j</v>
      </c>
      <c r="AX102" s="114" t="str">
        <f>_xlfn.IFNA(VLOOKUP($AI102,Programma!$F$3:$U$1101,16,0),"")</f>
        <v>1j</v>
      </c>
      <c r="AY102" s="114" t="str">
        <f>_xlfn.IFNA(VLOOKUP($AI102,Programma!$F$3:$V$1101,17,0),"")</f>
        <v>_</v>
      </c>
      <c r="AZ102" s="114" t="str">
        <f>_xlfn.IFNA(VLOOKUP($AI102,Programma!$F$3:$W$1101,18,0),"")</f>
        <v>_</v>
      </c>
      <c r="BA102" s="114" t="str">
        <f>_xlfn.IFNA(VLOOKUP($AI102,Programma!$F$3:$X$1101,19,0),"")</f>
        <v>_</v>
      </c>
      <c r="BB102" s="114" t="str">
        <f>_xlfn.IFNA(VLOOKUP($AI102,Programma!$F$3:$Y$1101,20,0),"")</f>
        <v>_</v>
      </c>
      <c r="BC102" s="111"/>
      <c r="BD102" s="110" t="str">
        <f>IF(Ruimtestaat[[#This Row],[Frequentie weekend]]="","",_xlfn.CONCAT(Ruimtestaat[[#This Row],[Ruimte code]],"-",Ruimtestaat[[#This Row],[Frequentie weekend]]," ",Ruimtestaat[[#This Row],[Vloer code]]))</f>
        <v/>
      </c>
      <c r="BE102" s="114" t="str">
        <f>_xlfn.IFNA(VLOOKUP($BD102,Programma!$F$3:$G$1101,2,0),"")</f>
        <v/>
      </c>
      <c r="BF102" s="114" t="str">
        <f>_xlfn.IFNA(VLOOKUP($BD102,Programma!$F$3:$H$1101,3,0),"")</f>
        <v/>
      </c>
      <c r="BG102" s="114" t="str">
        <f>_xlfn.IFNA(VLOOKUP($BD102,Programma!$F$3:$I$1101,4,0),"")</f>
        <v/>
      </c>
      <c r="BH102" s="114" t="str">
        <f>_xlfn.IFNA(VLOOKUP($BD102,Programma!$F$3:$J$1101,5,0),"")</f>
        <v/>
      </c>
      <c r="BI102" s="114" t="str">
        <f>_xlfn.IFNA(VLOOKUP($BD102,Programma!$F$3:$K$1101,6,0),"")</f>
        <v/>
      </c>
      <c r="BJ102" s="114" t="str">
        <f>_xlfn.IFNA(VLOOKUP($BD102,Programma!$F$3:$L$1101,7,0),"")</f>
        <v/>
      </c>
      <c r="BK102" s="114" t="str">
        <f>_xlfn.IFNA(VLOOKUP($BD102,Programma!$F$3:$M$1101,8,0),"")</f>
        <v/>
      </c>
      <c r="BL102" s="114" t="str">
        <f>_xlfn.IFNA(VLOOKUP($BD102,Programma!$F$3:$N$1101,9,0),"")</f>
        <v/>
      </c>
      <c r="BM102" s="114" t="str">
        <f>_xlfn.IFNA(VLOOKUP($BD102,Programma!$F$3:$O$1101,10,0),"")</f>
        <v/>
      </c>
      <c r="BN102" s="114" t="str">
        <f>_xlfn.IFNA(VLOOKUP($BD102,Programma!$F$3:$P$1101,11,0),"")</f>
        <v/>
      </c>
      <c r="BO102" s="114" t="str">
        <f>_xlfn.IFNA(VLOOKUP($BD102,Programma!$F$3:$Q$1101,12,0),"")</f>
        <v/>
      </c>
      <c r="BP102" s="114" t="str">
        <f>_xlfn.IFNA(VLOOKUP($BD102,Programma!$F$3:$R$1101,13,0),"")</f>
        <v/>
      </c>
      <c r="BQ102" s="114" t="str">
        <f>_xlfn.IFNA(VLOOKUP($BD102,Programma!$F$3:$S$1101,14,0),"")</f>
        <v/>
      </c>
      <c r="BR102" s="114" t="str">
        <f>_xlfn.IFNA(VLOOKUP($BD102,Programma!$F$3:$T$1101,15,0),"")</f>
        <v/>
      </c>
      <c r="BS102" s="114" t="str">
        <f>_xlfn.IFNA(VLOOKUP($BD102,Programma!$F$3:$U$1101,16,0),"")</f>
        <v/>
      </c>
      <c r="BT102" s="114" t="str">
        <f>_xlfn.IFNA(VLOOKUP($BD102,Programma!$F$3:$V$1101,17,0),"")</f>
        <v/>
      </c>
      <c r="BU102" s="114" t="str">
        <f>_xlfn.IFNA(VLOOKUP($BD102,Programma!$F$3:$W$1101,18,0),"")</f>
        <v/>
      </c>
      <c r="BV102" s="114" t="str">
        <f>_xlfn.IFNA(VLOOKUP($BD102,Programma!$F$3:$X$1101,19,0),"")</f>
        <v/>
      </c>
      <c r="BW102" s="114" t="str">
        <f>_xlfn.IFNA(VLOOKUP($BD102,Programma!$F$3:$Y$1101,20,0),"")</f>
        <v/>
      </c>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row>
    <row r="103" spans="1:220" ht="15" customHeight="1">
      <c r="A103" s="31">
        <v>2</v>
      </c>
      <c r="B103" s="105" t="str">
        <f>VLOOKUP(Ruimtestaat[[#This Row],[Code]],Locaties[[Code]:[Locatie]],2,FALSE)</f>
        <v>IKC De Hoge Hoeve</v>
      </c>
      <c r="C103" s="105" t="str">
        <f>VLOOKUP(Ruimtestaat[[#This Row],[Code]],Locaties[[#All],[Code]:[Adres]],4,FALSE)</f>
        <v>De Hoge Hoeve 70</v>
      </c>
      <c r="D103" s="105" t="str">
        <f>VLOOKUP(Ruimtestaat[[#This Row],[Code]],Locaties[[#All],[Code]:[Postcode]],5,FALSE)</f>
        <v>6932 DJ</v>
      </c>
      <c r="E103" s="105" t="str">
        <f>VLOOKUP(Ruimtestaat[[#This Row],[Code]],Locaties[#All],6,FALSE)</f>
        <v>Westervoort</v>
      </c>
      <c r="F103" s="73" t="s">
        <v>1824</v>
      </c>
      <c r="G103" s="73" t="s">
        <v>1645</v>
      </c>
      <c r="H103" s="271" t="s">
        <v>1710</v>
      </c>
      <c r="I103" s="273" t="s">
        <v>1743</v>
      </c>
      <c r="J103" s="31">
        <v>5</v>
      </c>
      <c r="K103" s="113" t="str">
        <f>VLOOKUP(Ruimtestaat[[#This Row],[Ruimte code]],Ruimtegroepen[[#All],[Code]:[Ruimte omschrijving]],2,FALSE)</f>
        <v>Sanitair</v>
      </c>
      <c r="L103" s="73" t="s">
        <v>102</v>
      </c>
      <c r="M103" s="273" t="s">
        <v>120</v>
      </c>
      <c r="N103" s="106">
        <v>6</v>
      </c>
      <c r="O103" s="112"/>
      <c r="P103" s="112"/>
      <c r="Q103" s="107" t="str">
        <f>VLOOKUP(Ruimtestaat[[#This Row],[Ruimte code]],Ruimtegroepen[],4,FALSE)</f>
        <v>Sa</v>
      </c>
      <c r="R103" s="73">
        <v>40</v>
      </c>
      <c r="S103" s="73" t="s">
        <v>2</v>
      </c>
      <c r="T103" s="73">
        <f>IF(R103&gt;0,IF(RIGHT(Ruimtestaat[[#This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3" s="73">
        <f>IF(T103&gt;0,VLOOKUP($J103,Ruimtegroepen[],3,FALSE)*VLOOKUP($L103,Vloersoorten[],3,FALSE)*VLOOKUP($S103,Frequenties[],3,FALSE)*VLOOKUP($A103,Locaties[],3,FALSE),0)</f>
        <v>0</v>
      </c>
      <c r="V103" s="73">
        <f>Ruimtestaat[[#This Row],[Uitvoeringen werkdagen]]*Ruimtestaat[[#This Row],[Oppervlak (netto)]]</f>
        <v>1200</v>
      </c>
      <c r="W103" s="108">
        <f>IF(U103&gt;0,Ruimtestaat[[#This Row],[Prest. (m2 /jaar) werkdagen]]/Ruimtestaat[[#This Row],[Norm (m2/uur) werkdagen]],0)</f>
        <v>0</v>
      </c>
      <c r="X103" s="109">
        <f>Ruimtestaat[[#This Row],[uren / jaar werkdagen]]*Tariefsopbouw!$E$35</f>
        <v>0</v>
      </c>
      <c r="Y103" s="73"/>
      <c r="Z103" s="73">
        <f>IF(Ruimtestaat[[#This Row],[Frequentie weekend]]&gt;0,VALUE(LEFT(Y103,1))*R103,0)</f>
        <v>0</v>
      </c>
      <c r="AA103" s="72">
        <f>IF($Z103&gt;0,VLOOKUP($J103,Ruimtegroepen[],3,FALSE)*VLOOKUP($L103,Vloersoorten[],3,FALSE)*VLOOKUP($Y103,Frequenties[],3,FALSE)*VLOOKUP(Ruimtestaat[[#This Row],[Code]],Locaties[],3,FALSE),0)</f>
        <v>0</v>
      </c>
      <c r="AB103" s="72">
        <f>Ruimtestaat[[#This Row],[Uitvoeringen weekend]]*Ruimtestaat[[#This Row],[Oppervlak (netto)]]</f>
        <v>0</v>
      </c>
      <c r="AC103" s="72">
        <f>IF(AA103&gt;0,Ruimtestaat[[#This Row],[Prest. (m2 /jaar) weekend]]/Ruimtestaat[[#This Row],[Norm (m2/uur) weekend]],0)</f>
        <v>0</v>
      </c>
      <c r="AD103" s="109">
        <f>Ruimtestaat[[#This Row],[uren / jaar weekend]]*Tariefsopbouw!$D$40</f>
        <v>0</v>
      </c>
      <c r="AE103" s="108">
        <f>Ruimtestaat[[#This Row],[Prest. (m2 /jaar) weekend]]+Ruimtestaat[[#This Row],[Prest. (m2 /jaar) werkdagen]]</f>
        <v>1200</v>
      </c>
      <c r="AF103" s="108">
        <f>Ruimtestaat[[#This Row],[uren / jaar weekend]]+Ruimtestaat[[#This Row],[uren / jaar werkdagen]]</f>
        <v>0</v>
      </c>
      <c r="AG103" s="103">
        <f>Ruimtestaat[[#This Row],[kosten / jaar weekend]]+Ruimtestaat[[#This Row],[kosten / jaar werkdagen]]</f>
        <v>0</v>
      </c>
      <c r="AH103" s="103"/>
      <c r="AI103" s="110" t="str">
        <f>IF(Ruimtestaat[[#This Row],[Frequentie werkdagen]]="","",_xlfn.CONCAT(Ruimtestaat[[#This Row],[Ruimte code]],"-",Ruimtestaat[[#This Row],[Frequentie werkdagen]]," ",Ruimtestaat[[#This Row],[Vloer code]]))</f>
        <v>5-5w P</v>
      </c>
      <c r="AJ103" s="114" t="str">
        <f>_xlfn.IFNA(VLOOKUP($AI103,Programma!$F$3:$G$1101,2,0),"")</f>
        <v>_</v>
      </c>
      <c r="AK103" s="114" t="str">
        <f>_xlfn.IFNA(VLOOKUP($AI103,Programma!$F$3:$H$1101,3,0),"")</f>
        <v>_</v>
      </c>
      <c r="AL103" s="114" t="str">
        <f>_xlfn.IFNA(VLOOKUP($AI103,Programma!$F$3:$I$1101,4,0),"")</f>
        <v>_</v>
      </c>
      <c r="AM103" s="114" t="str">
        <f>_xlfn.IFNA(VLOOKUP($AI103,Programma!$F$3:$J$1101,5,0),"")</f>
        <v>4w</v>
      </c>
      <c r="AN103" s="114" t="str">
        <f>_xlfn.IFNA(VLOOKUP($AI103,Programma!$F$3:$K$1101,6,0),"")</f>
        <v>1w</v>
      </c>
      <c r="AO103" s="114" t="str">
        <f>_xlfn.IFNA(VLOOKUP($AI103,Programma!$F$3:$L$1101,7,0),"")</f>
        <v>_</v>
      </c>
      <c r="AP103" s="114" t="str">
        <f>_xlfn.IFNA(VLOOKUP($AI103,Programma!$F$3:$M$1101,8,0),"")</f>
        <v>_</v>
      </c>
      <c r="AQ103" s="114" t="str">
        <f>_xlfn.IFNA(VLOOKUP($AI103,Programma!$F$3:$N$1101,9,0),"")</f>
        <v>_</v>
      </c>
      <c r="AR103" s="114" t="str">
        <f>_xlfn.IFNA(VLOOKUP($AI103,Programma!$F$3:$O$1101,10,0),"")</f>
        <v>_</v>
      </c>
      <c r="AS103" s="114" t="str">
        <f>_xlfn.IFNA(VLOOKUP($AI103,Programma!$F$3:$P$1101,11,0),"")</f>
        <v>_</v>
      </c>
      <c r="AT103" s="114" t="str">
        <f>_xlfn.IFNA(VLOOKUP($AI103,Programma!$F$3:$Q$1101,12,0),"")</f>
        <v>_</v>
      </c>
      <c r="AU103" s="114" t="str">
        <f>_xlfn.IFNA(VLOOKUP($AI103,Programma!$F$3:$R$1101,13,0),"")</f>
        <v>_</v>
      </c>
      <c r="AV103" s="114" t="str">
        <f>_xlfn.IFNA(VLOOKUP($AI103,Programma!$F$3:$S$1101,14,0),"")</f>
        <v>_</v>
      </c>
      <c r="AW103" s="114" t="str">
        <f>_xlfn.IFNA(VLOOKUP($AI103,Programma!$F$3:$T$1101,15,0),"")</f>
        <v>_</v>
      </c>
      <c r="AX103" s="114" t="str">
        <f>_xlfn.IFNA(VLOOKUP($AI103,Programma!$F$3:$U$1101,16,0),"")</f>
        <v>_</v>
      </c>
      <c r="AY103" s="114" t="str">
        <f>_xlfn.IFNA(VLOOKUP($AI103,Programma!$F$3:$V$1101,17,0),"")</f>
        <v>_</v>
      </c>
      <c r="AZ103" s="114" t="str">
        <f>_xlfn.IFNA(VLOOKUP($AI103,Programma!$F$3:$W$1101,18,0),"")</f>
        <v>4w</v>
      </c>
      <c r="BA103" s="114" t="str">
        <f>_xlfn.IFNA(VLOOKUP($AI103,Programma!$F$3:$X$1101,19,0),"")</f>
        <v>1w</v>
      </c>
      <c r="BB103" s="114" t="str">
        <f>_xlfn.IFNA(VLOOKUP($AI103,Programma!$F$3:$Y$1101,20,0),"")</f>
        <v>_</v>
      </c>
      <c r="BC103" s="111"/>
      <c r="BD103" s="110" t="str">
        <f>IF(Ruimtestaat[[#This Row],[Frequentie weekend]]="","",_xlfn.CONCAT(Ruimtestaat[[#This Row],[Ruimte code]],"-",Ruimtestaat[[#This Row],[Frequentie weekend]]," ",Ruimtestaat[[#This Row],[Vloer code]]))</f>
        <v/>
      </c>
      <c r="BE103" s="114" t="str">
        <f>_xlfn.IFNA(VLOOKUP($BD103,Programma!$F$3:$G$1101,2,0),"")</f>
        <v/>
      </c>
      <c r="BF103" s="114" t="str">
        <f>_xlfn.IFNA(VLOOKUP($BD103,Programma!$F$3:$H$1101,3,0),"")</f>
        <v/>
      </c>
      <c r="BG103" s="114" t="str">
        <f>_xlfn.IFNA(VLOOKUP($BD103,Programma!$F$3:$I$1101,4,0),"")</f>
        <v/>
      </c>
      <c r="BH103" s="114" t="str">
        <f>_xlfn.IFNA(VLOOKUP($BD103,Programma!$F$3:$J$1101,5,0),"")</f>
        <v/>
      </c>
      <c r="BI103" s="114" t="str">
        <f>_xlfn.IFNA(VLOOKUP($BD103,Programma!$F$3:$K$1101,6,0),"")</f>
        <v/>
      </c>
      <c r="BJ103" s="114" t="str">
        <f>_xlfn.IFNA(VLOOKUP($BD103,Programma!$F$3:$L$1101,7,0),"")</f>
        <v/>
      </c>
      <c r="BK103" s="114" t="str">
        <f>_xlfn.IFNA(VLOOKUP($BD103,Programma!$F$3:$M$1101,8,0),"")</f>
        <v/>
      </c>
      <c r="BL103" s="114" t="str">
        <f>_xlfn.IFNA(VLOOKUP($BD103,Programma!$F$3:$N$1101,9,0),"")</f>
        <v/>
      </c>
      <c r="BM103" s="114" t="str">
        <f>_xlfn.IFNA(VLOOKUP($BD103,Programma!$F$3:$O$1101,10,0),"")</f>
        <v/>
      </c>
      <c r="BN103" s="114" t="str">
        <f>_xlfn.IFNA(VLOOKUP($BD103,Programma!$F$3:$P$1101,11,0),"")</f>
        <v/>
      </c>
      <c r="BO103" s="114" t="str">
        <f>_xlfn.IFNA(VLOOKUP($BD103,Programma!$F$3:$Q$1101,12,0),"")</f>
        <v/>
      </c>
      <c r="BP103" s="114" t="str">
        <f>_xlfn.IFNA(VLOOKUP($BD103,Programma!$F$3:$R$1101,13,0),"")</f>
        <v/>
      </c>
      <c r="BQ103" s="114" t="str">
        <f>_xlfn.IFNA(VLOOKUP($BD103,Programma!$F$3:$S$1101,14,0),"")</f>
        <v/>
      </c>
      <c r="BR103" s="114" t="str">
        <f>_xlfn.IFNA(VLOOKUP($BD103,Programma!$F$3:$T$1101,15,0),"")</f>
        <v/>
      </c>
      <c r="BS103" s="114" t="str">
        <f>_xlfn.IFNA(VLOOKUP($BD103,Programma!$F$3:$U$1101,16,0),"")</f>
        <v/>
      </c>
      <c r="BT103" s="114" t="str">
        <f>_xlfn.IFNA(VLOOKUP($BD103,Programma!$F$3:$V$1101,17,0),"")</f>
        <v/>
      </c>
      <c r="BU103" s="114" t="str">
        <f>_xlfn.IFNA(VLOOKUP($BD103,Programma!$F$3:$W$1101,18,0),"")</f>
        <v/>
      </c>
      <c r="BV103" s="114" t="str">
        <f>_xlfn.IFNA(VLOOKUP($BD103,Programma!$F$3:$X$1101,19,0),"")</f>
        <v/>
      </c>
      <c r="BW103" s="114" t="str">
        <f>_xlfn.IFNA(VLOOKUP($BD103,Programma!$F$3:$Y$1101,20,0),"")</f>
        <v/>
      </c>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28"/>
      <c r="GM103" s="28"/>
      <c r="GN103" s="28"/>
      <c r="GO103" s="28"/>
      <c r="GP103" s="28"/>
      <c r="GQ103" s="28"/>
      <c r="GR103" s="28"/>
      <c r="GS103" s="28"/>
      <c r="GT103" s="28"/>
      <c r="GU103" s="28"/>
      <c r="GV103" s="28"/>
      <c r="GW103" s="28"/>
      <c r="GX103" s="28"/>
      <c r="GY103" s="28"/>
      <c r="GZ103" s="28"/>
      <c r="HA103" s="28"/>
      <c r="HB103" s="28"/>
      <c r="HC103" s="28"/>
      <c r="HD103" s="28"/>
      <c r="HE103" s="28"/>
      <c r="HF103" s="28"/>
      <c r="HG103" s="28"/>
      <c r="HH103" s="28"/>
      <c r="HI103" s="28"/>
      <c r="HJ103" s="28"/>
      <c r="HK103" s="28"/>
      <c r="HL103" s="28"/>
    </row>
    <row r="104" spans="1:220" ht="15" customHeight="1">
      <c r="A104" s="31">
        <v>2</v>
      </c>
      <c r="B104" s="105" t="str">
        <f>VLOOKUP(Ruimtestaat[[#This Row],[Code]],Locaties[[Code]:[Locatie]],2,FALSE)</f>
        <v>IKC De Hoge Hoeve</v>
      </c>
      <c r="C104" s="105" t="str">
        <f>VLOOKUP(Ruimtestaat[[#This Row],[Code]],Locaties[[#All],[Code]:[Adres]],4,FALSE)</f>
        <v>De Hoge Hoeve 70</v>
      </c>
      <c r="D104" s="105" t="str">
        <f>VLOOKUP(Ruimtestaat[[#This Row],[Code]],Locaties[[#All],[Code]:[Postcode]],5,FALSE)</f>
        <v>6932 DJ</v>
      </c>
      <c r="E104" s="105" t="str">
        <f>VLOOKUP(Ruimtestaat[[#This Row],[Code]],Locaties[#All],6,FALSE)</f>
        <v>Westervoort</v>
      </c>
      <c r="F104" s="73" t="s">
        <v>1824</v>
      </c>
      <c r="G104" s="73" t="s">
        <v>1645</v>
      </c>
      <c r="H104" s="271" t="s">
        <v>1711</v>
      </c>
      <c r="I104" s="273" t="s">
        <v>1744</v>
      </c>
      <c r="J104" s="31">
        <v>8</v>
      </c>
      <c r="K104" s="113" t="str">
        <f>VLOOKUP(Ruimtestaat[[#This Row],[Ruimte code]],Ruimtegroepen[[#All],[Code]:[Ruimte omschrijving]],2,FALSE)</f>
        <v>Kinderopvang</v>
      </c>
      <c r="L104" s="73" t="s">
        <v>102</v>
      </c>
      <c r="M104" s="273" t="s">
        <v>120</v>
      </c>
      <c r="N104" s="106">
        <v>56</v>
      </c>
      <c r="O104" s="112"/>
      <c r="P104" s="112"/>
      <c r="Q104" s="107" t="str">
        <f>VLOOKUP(Ruimtestaat[[#This Row],[Ruimte code]],Ruimtegroepen[],4,FALSE)</f>
        <v>Le</v>
      </c>
      <c r="R104" s="73">
        <v>40</v>
      </c>
      <c r="S104" s="73" t="s">
        <v>2</v>
      </c>
      <c r="T104" s="73">
        <f>IF(R104&gt;0,IF(RIGHT(Ruimtestaat[[#This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4" s="73">
        <f>IF(T104&gt;0,VLOOKUP($J104,Ruimtegroepen[],3,FALSE)*VLOOKUP($L104,Vloersoorten[],3,FALSE)*VLOOKUP($S104,Frequenties[],3,FALSE)*VLOOKUP($A104,Locaties[],3,FALSE),0)</f>
        <v>0</v>
      </c>
      <c r="V104" s="73">
        <f>Ruimtestaat[[#This Row],[Uitvoeringen werkdagen]]*Ruimtestaat[[#This Row],[Oppervlak (netto)]]</f>
        <v>11200</v>
      </c>
      <c r="W104" s="108">
        <f>IF(U104&gt;0,Ruimtestaat[[#This Row],[Prest. (m2 /jaar) werkdagen]]/Ruimtestaat[[#This Row],[Norm (m2/uur) werkdagen]],0)</f>
        <v>0</v>
      </c>
      <c r="X104" s="109">
        <f>Ruimtestaat[[#This Row],[uren / jaar werkdagen]]*Tariefsopbouw!$E$35</f>
        <v>0</v>
      </c>
      <c r="Y104" s="73"/>
      <c r="Z104" s="73">
        <f>IF(Ruimtestaat[[#This Row],[Frequentie weekend]]&gt;0,VALUE(LEFT(Y104,1))*R104,0)</f>
        <v>0</v>
      </c>
      <c r="AA104" s="72">
        <f>IF($Z104&gt;0,VLOOKUP($J104,Ruimtegroepen[],3,FALSE)*VLOOKUP($L104,Vloersoorten[],3,FALSE)*VLOOKUP($Y104,Frequenties[],3,FALSE)*VLOOKUP(Ruimtestaat[[#This Row],[Code]],Locaties[],3,FALSE),0)</f>
        <v>0</v>
      </c>
      <c r="AB104" s="72">
        <f>Ruimtestaat[[#This Row],[Uitvoeringen weekend]]*Ruimtestaat[[#This Row],[Oppervlak (netto)]]</f>
        <v>0</v>
      </c>
      <c r="AC104" s="72">
        <f>IF(AA104&gt;0,Ruimtestaat[[#This Row],[Prest. (m2 /jaar) weekend]]/Ruimtestaat[[#This Row],[Norm (m2/uur) weekend]],0)</f>
        <v>0</v>
      </c>
      <c r="AD104" s="109">
        <f>Ruimtestaat[[#This Row],[uren / jaar weekend]]*Tariefsopbouw!$D$40</f>
        <v>0</v>
      </c>
      <c r="AE104" s="108">
        <f>Ruimtestaat[[#This Row],[Prest. (m2 /jaar) weekend]]+Ruimtestaat[[#This Row],[Prest. (m2 /jaar) werkdagen]]</f>
        <v>11200</v>
      </c>
      <c r="AF104" s="108">
        <f>Ruimtestaat[[#This Row],[uren / jaar weekend]]+Ruimtestaat[[#This Row],[uren / jaar werkdagen]]</f>
        <v>0</v>
      </c>
      <c r="AG104" s="103">
        <f>Ruimtestaat[[#This Row],[kosten / jaar weekend]]+Ruimtestaat[[#This Row],[kosten / jaar werkdagen]]</f>
        <v>0</v>
      </c>
      <c r="AH104" s="103"/>
      <c r="AI104" s="110" t="str">
        <f>IF(Ruimtestaat[[#This Row],[Frequentie werkdagen]]="","",_xlfn.CONCAT(Ruimtestaat[[#This Row],[Ruimte code]],"-",Ruimtestaat[[#This Row],[Frequentie werkdagen]]," ",Ruimtestaat[[#This Row],[Vloer code]]))</f>
        <v>8-5w P</v>
      </c>
      <c r="AJ104" s="114" t="str">
        <f>_xlfn.IFNA(VLOOKUP($AI104,Programma!$F$3:$G$1101,2,0),"")</f>
        <v>_</v>
      </c>
      <c r="AK104" s="114" t="str">
        <f>_xlfn.IFNA(VLOOKUP($AI104,Programma!$F$3:$H$1101,3,0),"")</f>
        <v>_</v>
      </c>
      <c r="AL104" s="114" t="str">
        <f>_xlfn.IFNA(VLOOKUP($AI104,Programma!$F$3:$I$1101,4,0),"")</f>
        <v>5w</v>
      </c>
      <c r="AM104" s="114" t="str">
        <f>_xlfn.IFNA(VLOOKUP($AI104,Programma!$F$3:$J$1101,5,0),"")</f>
        <v>_</v>
      </c>
      <c r="AN104" s="114" t="str">
        <f>_xlfn.IFNA(VLOOKUP($AI104,Programma!$F$3:$K$1101,6,0),"")</f>
        <v>4j</v>
      </c>
      <c r="AO104" s="114" t="str">
        <f>_xlfn.IFNA(VLOOKUP($AI104,Programma!$F$3:$L$1101,7,0),"")</f>
        <v>_</v>
      </c>
      <c r="AP104" s="114" t="str">
        <f>_xlfn.IFNA(VLOOKUP($AI104,Programma!$F$3:$M$1101,8,0),"")</f>
        <v>_</v>
      </c>
      <c r="AQ104" s="114" t="str">
        <f>_xlfn.IFNA(VLOOKUP($AI104,Programma!$F$3:$N$1101,9,0),"")</f>
        <v>_</v>
      </c>
      <c r="AR104" s="114" t="str">
        <f>_xlfn.IFNA(VLOOKUP($AI104,Programma!$F$3:$O$1101,10,0),"")</f>
        <v>5w</v>
      </c>
      <c r="AS104" s="114" t="str">
        <f>_xlfn.IFNA(VLOOKUP($AI104,Programma!$F$3:$P$1101,11,0),"")</f>
        <v>5w</v>
      </c>
      <c r="AT104" s="114" t="str">
        <f>_xlfn.IFNA(VLOOKUP($AI104,Programma!$F$3:$Q$1101,12,0),"")</f>
        <v>1w</v>
      </c>
      <c r="AU104" s="114" t="str">
        <f>_xlfn.IFNA(VLOOKUP($AI104,Programma!$F$3:$R$1101,13,0),"")</f>
        <v>1w</v>
      </c>
      <c r="AV104" s="114" t="str">
        <f>_xlfn.IFNA(VLOOKUP($AI104,Programma!$F$3:$S$1101,14,0),"")</f>
        <v>1m</v>
      </c>
      <c r="AW104" s="114" t="str">
        <f>_xlfn.IFNA(VLOOKUP($AI104,Programma!$F$3:$T$1101,15,0),"")</f>
        <v>2j</v>
      </c>
      <c r="AX104" s="114" t="str">
        <f>_xlfn.IFNA(VLOOKUP($AI104,Programma!$F$3:$U$1101,16,0),"")</f>
        <v>1j</v>
      </c>
      <c r="AY104" s="114" t="str">
        <f>_xlfn.IFNA(VLOOKUP($AI104,Programma!$F$3:$V$1101,17,0),"")</f>
        <v>_</v>
      </c>
      <c r="AZ104" s="114" t="str">
        <f>_xlfn.IFNA(VLOOKUP($AI104,Programma!$F$3:$W$1101,18,0),"")</f>
        <v>_</v>
      </c>
      <c r="BA104" s="114" t="str">
        <f>_xlfn.IFNA(VLOOKUP($AI104,Programma!$F$3:$X$1101,19,0),"")</f>
        <v>_</v>
      </c>
      <c r="BB104" s="114" t="str">
        <f>_xlfn.IFNA(VLOOKUP($AI104,Programma!$F$3:$Y$1101,20,0),"")</f>
        <v>_</v>
      </c>
      <c r="BC104" s="111"/>
      <c r="BD104" s="110" t="str">
        <f>IF(Ruimtestaat[[#This Row],[Frequentie weekend]]="","",_xlfn.CONCAT(Ruimtestaat[[#This Row],[Ruimte code]],"-",Ruimtestaat[[#This Row],[Frequentie weekend]]," ",Ruimtestaat[[#This Row],[Vloer code]]))</f>
        <v/>
      </c>
      <c r="BE104" s="114" t="str">
        <f>_xlfn.IFNA(VLOOKUP($BD104,Programma!$F$3:$G$1101,2,0),"")</f>
        <v/>
      </c>
      <c r="BF104" s="114" t="str">
        <f>_xlfn.IFNA(VLOOKUP($BD104,Programma!$F$3:$H$1101,3,0),"")</f>
        <v/>
      </c>
      <c r="BG104" s="114" t="str">
        <f>_xlfn.IFNA(VLOOKUP($BD104,Programma!$F$3:$I$1101,4,0),"")</f>
        <v/>
      </c>
      <c r="BH104" s="114" t="str">
        <f>_xlfn.IFNA(VLOOKUP($BD104,Programma!$F$3:$J$1101,5,0),"")</f>
        <v/>
      </c>
      <c r="BI104" s="114" t="str">
        <f>_xlfn.IFNA(VLOOKUP($BD104,Programma!$F$3:$K$1101,6,0),"")</f>
        <v/>
      </c>
      <c r="BJ104" s="114" t="str">
        <f>_xlfn.IFNA(VLOOKUP($BD104,Programma!$F$3:$L$1101,7,0),"")</f>
        <v/>
      </c>
      <c r="BK104" s="114" t="str">
        <f>_xlfn.IFNA(VLOOKUP($BD104,Programma!$F$3:$M$1101,8,0),"")</f>
        <v/>
      </c>
      <c r="BL104" s="114" t="str">
        <f>_xlfn.IFNA(VLOOKUP($BD104,Programma!$F$3:$N$1101,9,0),"")</f>
        <v/>
      </c>
      <c r="BM104" s="114" t="str">
        <f>_xlfn.IFNA(VLOOKUP($BD104,Programma!$F$3:$O$1101,10,0),"")</f>
        <v/>
      </c>
      <c r="BN104" s="114" t="str">
        <f>_xlfn.IFNA(VLOOKUP($BD104,Programma!$F$3:$P$1101,11,0),"")</f>
        <v/>
      </c>
      <c r="BO104" s="114" t="str">
        <f>_xlfn.IFNA(VLOOKUP($BD104,Programma!$F$3:$Q$1101,12,0),"")</f>
        <v/>
      </c>
      <c r="BP104" s="114" t="str">
        <f>_xlfn.IFNA(VLOOKUP($BD104,Programma!$F$3:$R$1101,13,0),"")</f>
        <v/>
      </c>
      <c r="BQ104" s="114" t="str">
        <f>_xlfn.IFNA(VLOOKUP($BD104,Programma!$F$3:$S$1101,14,0),"")</f>
        <v/>
      </c>
      <c r="BR104" s="114" t="str">
        <f>_xlfn.IFNA(VLOOKUP($BD104,Programma!$F$3:$T$1101,15,0),"")</f>
        <v/>
      </c>
      <c r="BS104" s="114" t="str">
        <f>_xlfn.IFNA(VLOOKUP($BD104,Programma!$F$3:$U$1101,16,0),"")</f>
        <v/>
      </c>
      <c r="BT104" s="114" t="str">
        <f>_xlfn.IFNA(VLOOKUP($BD104,Programma!$F$3:$V$1101,17,0),"")</f>
        <v/>
      </c>
      <c r="BU104" s="114" t="str">
        <f>_xlfn.IFNA(VLOOKUP($BD104,Programma!$F$3:$W$1101,18,0),"")</f>
        <v/>
      </c>
      <c r="BV104" s="114" t="str">
        <f>_xlfn.IFNA(VLOOKUP($BD104,Programma!$F$3:$X$1101,19,0),"")</f>
        <v/>
      </c>
      <c r="BW104" s="114" t="str">
        <f>_xlfn.IFNA(VLOOKUP($BD104,Programma!$F$3:$Y$1101,20,0),"")</f>
        <v/>
      </c>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c r="HL104" s="28"/>
    </row>
    <row r="105" spans="1:220" ht="15" customHeight="1">
      <c r="A105" s="31">
        <v>2</v>
      </c>
      <c r="B105" s="105" t="str">
        <f>VLOOKUP(Ruimtestaat[[#This Row],[Code]],Locaties[[Code]:[Locatie]],2,FALSE)</f>
        <v>IKC De Hoge Hoeve</v>
      </c>
      <c r="C105" s="105" t="str">
        <f>VLOOKUP(Ruimtestaat[[#This Row],[Code]],Locaties[[#All],[Code]:[Adres]],4,FALSE)</f>
        <v>De Hoge Hoeve 70</v>
      </c>
      <c r="D105" s="105" t="str">
        <f>VLOOKUP(Ruimtestaat[[#This Row],[Code]],Locaties[[#All],[Code]:[Postcode]],5,FALSE)</f>
        <v>6932 DJ</v>
      </c>
      <c r="E105" s="105" t="str">
        <f>VLOOKUP(Ruimtestaat[[#This Row],[Code]],Locaties[#All],6,FALSE)</f>
        <v>Westervoort</v>
      </c>
      <c r="F105" s="73" t="s">
        <v>1824</v>
      </c>
      <c r="G105" s="73" t="s">
        <v>1645</v>
      </c>
      <c r="H105" s="271" t="s">
        <v>1712</v>
      </c>
      <c r="I105" s="273" t="s">
        <v>1739</v>
      </c>
      <c r="J105" s="31">
        <v>6</v>
      </c>
      <c r="K105" s="113" t="str">
        <f>VLOOKUP(Ruimtestaat[[#This Row],[Ruimte code]],Ruimtegroepen[[#All],[Code]:[Ruimte omschrijving]],2,FALSE)</f>
        <v>Gangen/hallen</v>
      </c>
      <c r="L105" s="73" t="s">
        <v>102</v>
      </c>
      <c r="M105" s="273" t="s">
        <v>120</v>
      </c>
      <c r="N105" s="106">
        <v>14</v>
      </c>
      <c r="O105" s="112"/>
      <c r="P105" s="73"/>
      <c r="Q105" s="107" t="str">
        <f>VLOOKUP(Ruimtestaat[[#This Row],[Ruimte code]],Ruimtegroepen[],4,FALSE)</f>
        <v>Ve</v>
      </c>
      <c r="R105" s="73">
        <v>40</v>
      </c>
      <c r="S105" s="73" t="s">
        <v>2</v>
      </c>
      <c r="T105" s="73">
        <f>IF(R105&gt;0,IF(RIGHT(Ruimtestaat[[#This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5" s="73">
        <f>IF(T105&gt;0,VLOOKUP($J105,Ruimtegroepen[],3,FALSE)*VLOOKUP($L105,Vloersoorten[],3,FALSE)*VLOOKUP($S105,Frequenties[],3,FALSE)*VLOOKUP($A105,Locaties[],3,FALSE),0)</f>
        <v>0</v>
      </c>
      <c r="V105" s="73">
        <f>Ruimtestaat[[#This Row],[Uitvoeringen werkdagen]]*Ruimtestaat[[#This Row],[Oppervlak (netto)]]</f>
        <v>2800</v>
      </c>
      <c r="W105" s="108">
        <f>IF(U105&gt;0,Ruimtestaat[[#This Row],[Prest. (m2 /jaar) werkdagen]]/Ruimtestaat[[#This Row],[Norm (m2/uur) werkdagen]],0)</f>
        <v>0</v>
      </c>
      <c r="X105" s="109">
        <f>Ruimtestaat[[#This Row],[uren / jaar werkdagen]]*Tariefsopbouw!$E$35</f>
        <v>0</v>
      </c>
      <c r="Y105" s="73"/>
      <c r="Z105" s="73">
        <f>IF(Ruimtestaat[[#This Row],[Frequentie weekend]]&gt;0,VALUE(LEFT(Y105,1))*R105,0)</f>
        <v>0</v>
      </c>
      <c r="AA105" s="72">
        <f>IF($Z105&gt;0,VLOOKUP($J105,Ruimtegroepen[],3,FALSE)*VLOOKUP($L105,Vloersoorten[],3,FALSE)*VLOOKUP($Y105,Frequenties[],3,FALSE)*VLOOKUP(Ruimtestaat[[#This Row],[Code]],Locaties[],3,FALSE),0)</f>
        <v>0</v>
      </c>
      <c r="AB105" s="72">
        <f>Ruimtestaat[[#This Row],[Uitvoeringen weekend]]*Ruimtestaat[[#This Row],[Oppervlak (netto)]]</f>
        <v>0</v>
      </c>
      <c r="AC105" s="72">
        <f>IF(AA105&gt;0,Ruimtestaat[[#This Row],[Prest. (m2 /jaar) weekend]]/Ruimtestaat[[#This Row],[Norm (m2/uur) weekend]],0)</f>
        <v>0</v>
      </c>
      <c r="AD105" s="109">
        <f>Ruimtestaat[[#This Row],[uren / jaar weekend]]*Tariefsopbouw!$D$40</f>
        <v>0</v>
      </c>
      <c r="AE105" s="108">
        <f>Ruimtestaat[[#This Row],[Prest. (m2 /jaar) weekend]]+Ruimtestaat[[#This Row],[Prest. (m2 /jaar) werkdagen]]</f>
        <v>2800</v>
      </c>
      <c r="AF105" s="108">
        <f>Ruimtestaat[[#This Row],[uren / jaar weekend]]+Ruimtestaat[[#This Row],[uren / jaar werkdagen]]</f>
        <v>0</v>
      </c>
      <c r="AG105" s="103">
        <f>Ruimtestaat[[#This Row],[kosten / jaar weekend]]+Ruimtestaat[[#This Row],[kosten / jaar werkdagen]]</f>
        <v>0</v>
      </c>
      <c r="AH105" s="103"/>
      <c r="AI105" s="110" t="str">
        <f>IF(Ruimtestaat[[#This Row],[Frequentie werkdagen]]="","",_xlfn.CONCAT(Ruimtestaat[[#This Row],[Ruimte code]],"-",Ruimtestaat[[#This Row],[Frequentie werkdagen]]," ",Ruimtestaat[[#This Row],[Vloer code]]))</f>
        <v>6-5w P</v>
      </c>
      <c r="AJ105" s="114" t="str">
        <f>_xlfn.IFNA(VLOOKUP($AI105,Programma!$F$3:$G$1101,2,0),"")</f>
        <v>_</v>
      </c>
      <c r="AK105" s="114" t="str">
        <f>_xlfn.IFNA(VLOOKUP($AI105,Programma!$F$3:$H$1101,3,0),"")</f>
        <v>_</v>
      </c>
      <c r="AL105" s="114" t="str">
        <f>_xlfn.IFNA(VLOOKUP($AI105,Programma!$F$3:$I$1101,4,0),"")</f>
        <v>5w</v>
      </c>
      <c r="AM105" s="114" t="str">
        <f>_xlfn.IFNA(VLOOKUP($AI105,Programma!$F$3:$J$1101,5,0),"")</f>
        <v>_</v>
      </c>
      <c r="AN105" s="114" t="str">
        <f>_xlfn.IFNA(VLOOKUP($AI105,Programma!$F$3:$K$1101,6,0),"")</f>
        <v>5w</v>
      </c>
      <c r="AO105" s="114" t="str">
        <f>_xlfn.IFNA(VLOOKUP($AI105,Programma!$F$3:$L$1101,7,0),"")</f>
        <v>_</v>
      </c>
      <c r="AP105" s="114" t="str">
        <f>_xlfn.IFNA(VLOOKUP($AI105,Programma!$F$3:$M$1101,8,0),"")</f>
        <v>_</v>
      </c>
      <c r="AQ105" s="114" t="str">
        <f>_xlfn.IFNA(VLOOKUP($AI105,Programma!$F$3:$N$1101,9,0),"")</f>
        <v>_</v>
      </c>
      <c r="AR105" s="114" t="str">
        <f>_xlfn.IFNA(VLOOKUP($AI105,Programma!$F$3:$O$1101,10,0),"")</f>
        <v>5w</v>
      </c>
      <c r="AS105" s="114" t="str">
        <f>_xlfn.IFNA(VLOOKUP($AI105,Programma!$F$3:$P$1101,11,0),"")</f>
        <v>5w</v>
      </c>
      <c r="AT105" s="114" t="str">
        <f>_xlfn.IFNA(VLOOKUP($AI105,Programma!$F$3:$Q$1101,12,0),"")</f>
        <v>1w</v>
      </c>
      <c r="AU105" s="114" t="str">
        <f>_xlfn.IFNA(VLOOKUP($AI105,Programma!$F$3:$R$1101,13,0),"")</f>
        <v>1w</v>
      </c>
      <c r="AV105" s="114" t="str">
        <f>_xlfn.IFNA(VLOOKUP($AI105,Programma!$F$3:$S$1101,14,0),"")</f>
        <v>1m</v>
      </c>
      <c r="AW105" s="114" t="str">
        <f>_xlfn.IFNA(VLOOKUP($AI105,Programma!$F$3:$T$1101,15,0),"")</f>
        <v>2j</v>
      </c>
      <c r="AX105" s="114" t="str">
        <f>_xlfn.IFNA(VLOOKUP($AI105,Programma!$F$3:$U$1101,16,0),"")</f>
        <v>1j</v>
      </c>
      <c r="AY105" s="114" t="str">
        <f>_xlfn.IFNA(VLOOKUP($AI105,Programma!$F$3:$V$1101,17,0),"")</f>
        <v>_</v>
      </c>
      <c r="AZ105" s="114" t="str">
        <f>_xlfn.IFNA(VLOOKUP($AI105,Programma!$F$3:$W$1101,18,0),"")</f>
        <v>_</v>
      </c>
      <c r="BA105" s="114" t="str">
        <f>_xlfn.IFNA(VLOOKUP($AI105,Programma!$F$3:$X$1101,19,0),"")</f>
        <v>_</v>
      </c>
      <c r="BB105" s="114" t="str">
        <f>_xlfn.IFNA(VLOOKUP($AI105,Programma!$F$3:$Y$1101,20,0),"")</f>
        <v>_</v>
      </c>
      <c r="BC105" s="111"/>
      <c r="BD105" s="110" t="str">
        <f>IF(Ruimtestaat[[#This Row],[Frequentie weekend]]="","",_xlfn.CONCAT(Ruimtestaat[[#This Row],[Ruimte code]],"-",Ruimtestaat[[#This Row],[Frequentie weekend]]," ",Ruimtestaat[[#This Row],[Vloer code]]))</f>
        <v/>
      </c>
      <c r="BE105" s="114" t="str">
        <f>_xlfn.IFNA(VLOOKUP($BD105,Programma!$F$3:$G$1101,2,0),"")</f>
        <v/>
      </c>
      <c r="BF105" s="114" t="str">
        <f>_xlfn.IFNA(VLOOKUP($BD105,Programma!$F$3:$H$1101,3,0),"")</f>
        <v/>
      </c>
      <c r="BG105" s="114" t="str">
        <f>_xlfn.IFNA(VLOOKUP($BD105,Programma!$F$3:$I$1101,4,0),"")</f>
        <v/>
      </c>
      <c r="BH105" s="114" t="str">
        <f>_xlfn.IFNA(VLOOKUP($BD105,Programma!$F$3:$J$1101,5,0),"")</f>
        <v/>
      </c>
      <c r="BI105" s="114" t="str">
        <f>_xlfn.IFNA(VLOOKUP($BD105,Programma!$F$3:$K$1101,6,0),"")</f>
        <v/>
      </c>
      <c r="BJ105" s="114" t="str">
        <f>_xlfn.IFNA(VLOOKUP($BD105,Programma!$F$3:$L$1101,7,0),"")</f>
        <v/>
      </c>
      <c r="BK105" s="114" t="str">
        <f>_xlfn.IFNA(VLOOKUP($BD105,Programma!$F$3:$M$1101,8,0),"")</f>
        <v/>
      </c>
      <c r="BL105" s="114" t="str">
        <f>_xlfn.IFNA(VLOOKUP($BD105,Programma!$F$3:$N$1101,9,0),"")</f>
        <v/>
      </c>
      <c r="BM105" s="114" t="str">
        <f>_xlfn.IFNA(VLOOKUP($BD105,Programma!$F$3:$O$1101,10,0),"")</f>
        <v/>
      </c>
      <c r="BN105" s="114" t="str">
        <f>_xlfn.IFNA(VLOOKUP($BD105,Programma!$F$3:$P$1101,11,0),"")</f>
        <v/>
      </c>
      <c r="BO105" s="114" t="str">
        <f>_xlfn.IFNA(VLOOKUP($BD105,Programma!$F$3:$Q$1101,12,0),"")</f>
        <v/>
      </c>
      <c r="BP105" s="114" t="str">
        <f>_xlfn.IFNA(VLOOKUP($BD105,Programma!$F$3:$R$1101,13,0),"")</f>
        <v/>
      </c>
      <c r="BQ105" s="114" t="str">
        <f>_xlfn.IFNA(VLOOKUP($BD105,Programma!$F$3:$S$1101,14,0),"")</f>
        <v/>
      </c>
      <c r="BR105" s="114" t="str">
        <f>_xlfn.IFNA(VLOOKUP($BD105,Programma!$F$3:$T$1101,15,0),"")</f>
        <v/>
      </c>
      <c r="BS105" s="114" t="str">
        <f>_xlfn.IFNA(VLOOKUP($BD105,Programma!$F$3:$U$1101,16,0),"")</f>
        <v/>
      </c>
      <c r="BT105" s="114" t="str">
        <f>_xlfn.IFNA(VLOOKUP($BD105,Programma!$F$3:$V$1101,17,0),"")</f>
        <v/>
      </c>
      <c r="BU105" s="114" t="str">
        <f>_xlfn.IFNA(VLOOKUP($BD105,Programma!$F$3:$W$1101,18,0),"")</f>
        <v/>
      </c>
      <c r="BV105" s="114" t="str">
        <f>_xlfn.IFNA(VLOOKUP($BD105,Programma!$F$3:$X$1101,19,0),"")</f>
        <v/>
      </c>
      <c r="BW105" s="114" t="str">
        <f>_xlfn.IFNA(VLOOKUP($BD105,Programma!$F$3:$Y$1101,20,0),"")</f>
        <v/>
      </c>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c r="HL105" s="28"/>
    </row>
    <row r="106" spans="1:220" ht="15" customHeight="1">
      <c r="A106" s="31">
        <v>2</v>
      </c>
      <c r="B106" s="105" t="str">
        <f>VLOOKUP(Ruimtestaat[[#This Row],[Code]],Locaties[[Code]:[Locatie]],2,FALSE)</f>
        <v>IKC De Hoge Hoeve</v>
      </c>
      <c r="C106" s="105" t="str">
        <f>VLOOKUP(Ruimtestaat[[#This Row],[Code]],Locaties[[#All],[Code]:[Adres]],4,FALSE)</f>
        <v>De Hoge Hoeve 70</v>
      </c>
      <c r="D106" s="105" t="str">
        <f>VLOOKUP(Ruimtestaat[[#This Row],[Code]],Locaties[[#All],[Code]:[Postcode]],5,FALSE)</f>
        <v>6932 DJ</v>
      </c>
      <c r="E106" s="105" t="str">
        <f>VLOOKUP(Ruimtestaat[[#This Row],[Code]],Locaties[#All],6,FALSE)</f>
        <v>Westervoort</v>
      </c>
      <c r="F106" s="73" t="s">
        <v>1824</v>
      </c>
      <c r="G106" s="73" t="s">
        <v>1645</v>
      </c>
      <c r="H106" s="271" t="s">
        <v>1713</v>
      </c>
      <c r="I106" s="273" t="s">
        <v>1745</v>
      </c>
      <c r="J106" s="31">
        <v>8</v>
      </c>
      <c r="K106" s="113" t="str">
        <f>VLOOKUP(Ruimtestaat[[#This Row],[Ruimte code]],Ruimtegroepen[[#All],[Code]:[Ruimte omschrijving]],2,FALSE)</f>
        <v>Kinderopvang</v>
      </c>
      <c r="L106" s="73" t="s">
        <v>102</v>
      </c>
      <c r="M106" s="273" t="s">
        <v>120</v>
      </c>
      <c r="N106" s="106">
        <v>56</v>
      </c>
      <c r="O106" s="112"/>
      <c r="P106" s="112"/>
      <c r="Q106" s="107" t="str">
        <f>VLOOKUP(Ruimtestaat[[#This Row],[Ruimte code]],Ruimtegroepen[],4,FALSE)</f>
        <v>Le</v>
      </c>
      <c r="R106" s="73">
        <v>40</v>
      </c>
      <c r="S106" s="73" t="s">
        <v>2</v>
      </c>
      <c r="T106" s="73">
        <f>IF(R106&gt;0,IF(RIGHT(Ruimtestaat[[#This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6" s="73">
        <f>IF(T106&gt;0,VLOOKUP($J106,Ruimtegroepen[],3,FALSE)*VLOOKUP($L106,Vloersoorten[],3,FALSE)*VLOOKUP($S106,Frequenties[],3,FALSE)*VLOOKUP($A106,Locaties[],3,FALSE),0)</f>
        <v>0</v>
      </c>
      <c r="V106" s="73">
        <f>Ruimtestaat[[#This Row],[Uitvoeringen werkdagen]]*Ruimtestaat[[#This Row],[Oppervlak (netto)]]</f>
        <v>11200</v>
      </c>
      <c r="W106" s="108">
        <f>IF(U106&gt;0,Ruimtestaat[[#This Row],[Prest. (m2 /jaar) werkdagen]]/Ruimtestaat[[#This Row],[Norm (m2/uur) werkdagen]],0)</f>
        <v>0</v>
      </c>
      <c r="X106" s="109">
        <f>Ruimtestaat[[#This Row],[uren / jaar werkdagen]]*Tariefsopbouw!$E$35</f>
        <v>0</v>
      </c>
      <c r="Y106" s="73"/>
      <c r="Z106" s="73">
        <f>IF(Ruimtestaat[[#This Row],[Frequentie weekend]]&gt;0,VALUE(LEFT(Y106,1))*R106,0)</f>
        <v>0</v>
      </c>
      <c r="AA106" s="72">
        <f>IF($Z106&gt;0,VLOOKUP($J106,Ruimtegroepen[],3,FALSE)*VLOOKUP($L106,Vloersoorten[],3,FALSE)*VLOOKUP($Y106,Frequenties[],3,FALSE)*VLOOKUP(Ruimtestaat[[#This Row],[Code]],Locaties[],3,FALSE),0)</f>
        <v>0</v>
      </c>
      <c r="AB106" s="72">
        <f>Ruimtestaat[[#This Row],[Uitvoeringen weekend]]*Ruimtestaat[[#This Row],[Oppervlak (netto)]]</f>
        <v>0</v>
      </c>
      <c r="AC106" s="72">
        <f>IF(AA106&gt;0,Ruimtestaat[[#This Row],[Prest. (m2 /jaar) weekend]]/Ruimtestaat[[#This Row],[Norm (m2/uur) weekend]],0)</f>
        <v>0</v>
      </c>
      <c r="AD106" s="109">
        <f>Ruimtestaat[[#This Row],[uren / jaar weekend]]*Tariefsopbouw!$D$40</f>
        <v>0</v>
      </c>
      <c r="AE106" s="108">
        <f>Ruimtestaat[[#This Row],[Prest. (m2 /jaar) weekend]]+Ruimtestaat[[#This Row],[Prest. (m2 /jaar) werkdagen]]</f>
        <v>11200</v>
      </c>
      <c r="AF106" s="108">
        <f>Ruimtestaat[[#This Row],[uren / jaar weekend]]+Ruimtestaat[[#This Row],[uren / jaar werkdagen]]</f>
        <v>0</v>
      </c>
      <c r="AG106" s="103">
        <f>Ruimtestaat[[#This Row],[kosten / jaar weekend]]+Ruimtestaat[[#This Row],[kosten / jaar werkdagen]]</f>
        <v>0</v>
      </c>
      <c r="AH106" s="103"/>
      <c r="AI106" s="110" t="str">
        <f>IF(Ruimtestaat[[#This Row],[Frequentie werkdagen]]="","",_xlfn.CONCAT(Ruimtestaat[[#This Row],[Ruimte code]],"-",Ruimtestaat[[#This Row],[Frequentie werkdagen]]," ",Ruimtestaat[[#This Row],[Vloer code]]))</f>
        <v>8-5w P</v>
      </c>
      <c r="AJ106" s="114" t="str">
        <f>_xlfn.IFNA(VLOOKUP($AI106,Programma!$F$3:$G$1101,2,0),"")</f>
        <v>_</v>
      </c>
      <c r="AK106" s="114" t="str">
        <f>_xlfn.IFNA(VLOOKUP($AI106,Programma!$F$3:$H$1101,3,0),"")</f>
        <v>_</v>
      </c>
      <c r="AL106" s="114" t="str">
        <f>_xlfn.IFNA(VLOOKUP($AI106,Programma!$F$3:$I$1101,4,0),"")</f>
        <v>5w</v>
      </c>
      <c r="AM106" s="114" t="str">
        <f>_xlfn.IFNA(VLOOKUP($AI106,Programma!$F$3:$J$1101,5,0),"")</f>
        <v>_</v>
      </c>
      <c r="AN106" s="114" t="str">
        <f>_xlfn.IFNA(VLOOKUP($AI106,Programma!$F$3:$K$1101,6,0),"")</f>
        <v>4j</v>
      </c>
      <c r="AO106" s="114" t="str">
        <f>_xlfn.IFNA(VLOOKUP($AI106,Programma!$F$3:$L$1101,7,0),"")</f>
        <v>_</v>
      </c>
      <c r="AP106" s="114" t="str">
        <f>_xlfn.IFNA(VLOOKUP($AI106,Programma!$F$3:$M$1101,8,0),"")</f>
        <v>_</v>
      </c>
      <c r="AQ106" s="114" t="str">
        <f>_xlfn.IFNA(VLOOKUP($AI106,Programma!$F$3:$N$1101,9,0),"")</f>
        <v>_</v>
      </c>
      <c r="AR106" s="114" t="str">
        <f>_xlfn.IFNA(VLOOKUP($AI106,Programma!$F$3:$O$1101,10,0),"")</f>
        <v>5w</v>
      </c>
      <c r="AS106" s="114" t="str">
        <f>_xlfn.IFNA(VLOOKUP($AI106,Programma!$F$3:$P$1101,11,0),"")</f>
        <v>5w</v>
      </c>
      <c r="AT106" s="114" t="str">
        <f>_xlfn.IFNA(VLOOKUP($AI106,Programma!$F$3:$Q$1101,12,0),"")</f>
        <v>1w</v>
      </c>
      <c r="AU106" s="114" t="str">
        <f>_xlfn.IFNA(VLOOKUP($AI106,Programma!$F$3:$R$1101,13,0),"")</f>
        <v>1w</v>
      </c>
      <c r="AV106" s="114" t="str">
        <f>_xlfn.IFNA(VLOOKUP($AI106,Programma!$F$3:$S$1101,14,0),"")</f>
        <v>1m</v>
      </c>
      <c r="AW106" s="114" t="str">
        <f>_xlfn.IFNA(VLOOKUP($AI106,Programma!$F$3:$T$1101,15,0),"")</f>
        <v>2j</v>
      </c>
      <c r="AX106" s="114" t="str">
        <f>_xlfn.IFNA(VLOOKUP($AI106,Programma!$F$3:$U$1101,16,0),"")</f>
        <v>1j</v>
      </c>
      <c r="AY106" s="114" t="str">
        <f>_xlfn.IFNA(VLOOKUP($AI106,Programma!$F$3:$V$1101,17,0),"")</f>
        <v>_</v>
      </c>
      <c r="AZ106" s="114" t="str">
        <f>_xlfn.IFNA(VLOOKUP($AI106,Programma!$F$3:$W$1101,18,0),"")</f>
        <v>_</v>
      </c>
      <c r="BA106" s="114" t="str">
        <f>_xlfn.IFNA(VLOOKUP($AI106,Programma!$F$3:$X$1101,19,0),"")</f>
        <v>_</v>
      </c>
      <c r="BB106" s="114" t="str">
        <f>_xlfn.IFNA(VLOOKUP($AI106,Programma!$F$3:$Y$1101,20,0),"")</f>
        <v>_</v>
      </c>
      <c r="BC106" s="111"/>
      <c r="BD106" s="110" t="str">
        <f>IF(Ruimtestaat[[#This Row],[Frequentie weekend]]="","",_xlfn.CONCAT(Ruimtestaat[[#This Row],[Ruimte code]],"-",Ruimtestaat[[#This Row],[Frequentie weekend]]," ",Ruimtestaat[[#This Row],[Vloer code]]))</f>
        <v/>
      </c>
      <c r="BE106" s="114" t="str">
        <f>_xlfn.IFNA(VLOOKUP($BD106,Programma!$F$3:$G$1101,2,0),"")</f>
        <v/>
      </c>
      <c r="BF106" s="114" t="str">
        <f>_xlfn.IFNA(VLOOKUP($BD106,Programma!$F$3:$H$1101,3,0),"")</f>
        <v/>
      </c>
      <c r="BG106" s="114" t="str">
        <f>_xlfn.IFNA(VLOOKUP($BD106,Programma!$F$3:$I$1101,4,0),"")</f>
        <v/>
      </c>
      <c r="BH106" s="114" t="str">
        <f>_xlfn.IFNA(VLOOKUP($BD106,Programma!$F$3:$J$1101,5,0),"")</f>
        <v/>
      </c>
      <c r="BI106" s="114" t="str">
        <f>_xlfn.IFNA(VLOOKUP($BD106,Programma!$F$3:$K$1101,6,0),"")</f>
        <v/>
      </c>
      <c r="BJ106" s="114" t="str">
        <f>_xlfn.IFNA(VLOOKUP($BD106,Programma!$F$3:$L$1101,7,0),"")</f>
        <v/>
      </c>
      <c r="BK106" s="114" t="str">
        <f>_xlfn.IFNA(VLOOKUP($BD106,Programma!$F$3:$M$1101,8,0),"")</f>
        <v/>
      </c>
      <c r="BL106" s="114" t="str">
        <f>_xlfn.IFNA(VLOOKUP($BD106,Programma!$F$3:$N$1101,9,0),"")</f>
        <v/>
      </c>
      <c r="BM106" s="114" t="str">
        <f>_xlfn.IFNA(VLOOKUP($BD106,Programma!$F$3:$O$1101,10,0),"")</f>
        <v/>
      </c>
      <c r="BN106" s="114" t="str">
        <f>_xlfn.IFNA(VLOOKUP($BD106,Programma!$F$3:$P$1101,11,0),"")</f>
        <v/>
      </c>
      <c r="BO106" s="114" t="str">
        <f>_xlfn.IFNA(VLOOKUP($BD106,Programma!$F$3:$Q$1101,12,0),"")</f>
        <v/>
      </c>
      <c r="BP106" s="114" t="str">
        <f>_xlfn.IFNA(VLOOKUP($BD106,Programma!$F$3:$R$1101,13,0),"")</f>
        <v/>
      </c>
      <c r="BQ106" s="114" t="str">
        <f>_xlfn.IFNA(VLOOKUP($BD106,Programma!$F$3:$S$1101,14,0),"")</f>
        <v/>
      </c>
      <c r="BR106" s="114" t="str">
        <f>_xlfn.IFNA(VLOOKUP($BD106,Programma!$F$3:$T$1101,15,0),"")</f>
        <v/>
      </c>
      <c r="BS106" s="114" t="str">
        <f>_xlfn.IFNA(VLOOKUP($BD106,Programma!$F$3:$U$1101,16,0),"")</f>
        <v/>
      </c>
      <c r="BT106" s="114" t="str">
        <f>_xlfn.IFNA(VLOOKUP($BD106,Programma!$F$3:$V$1101,17,0),"")</f>
        <v/>
      </c>
      <c r="BU106" s="114" t="str">
        <f>_xlfn.IFNA(VLOOKUP($BD106,Programma!$F$3:$W$1101,18,0),"")</f>
        <v/>
      </c>
      <c r="BV106" s="114" t="str">
        <f>_xlfn.IFNA(VLOOKUP($BD106,Programma!$F$3:$X$1101,19,0),"")</f>
        <v/>
      </c>
      <c r="BW106" s="114" t="str">
        <f>_xlfn.IFNA(VLOOKUP($BD106,Programma!$F$3:$Y$1101,20,0),"")</f>
        <v/>
      </c>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c r="GC106" s="28"/>
      <c r="GD106" s="28"/>
      <c r="GE106" s="28"/>
      <c r="GF106" s="28"/>
      <c r="GG106" s="28"/>
      <c r="GH106" s="28"/>
      <c r="GI106" s="28"/>
      <c r="GJ106" s="28"/>
      <c r="GK106" s="28"/>
      <c r="GL106" s="28"/>
      <c r="GM106" s="28"/>
      <c r="GN106" s="28"/>
      <c r="GO106" s="28"/>
      <c r="GP106" s="28"/>
      <c r="GQ106" s="28"/>
      <c r="GR106" s="28"/>
      <c r="GS106" s="28"/>
      <c r="GT106" s="28"/>
      <c r="GU106" s="28"/>
      <c r="GV106" s="28"/>
      <c r="GW106" s="28"/>
      <c r="GX106" s="28"/>
      <c r="GY106" s="28"/>
      <c r="GZ106" s="28"/>
      <c r="HA106" s="28"/>
      <c r="HB106" s="28"/>
      <c r="HC106" s="28"/>
      <c r="HD106" s="28"/>
      <c r="HE106" s="28"/>
      <c r="HF106" s="28"/>
      <c r="HG106" s="28"/>
      <c r="HH106" s="28"/>
      <c r="HI106" s="28"/>
      <c r="HJ106" s="28"/>
      <c r="HK106" s="28"/>
      <c r="HL106" s="28"/>
    </row>
    <row r="107" spans="1:220" ht="15" customHeight="1">
      <c r="A107" s="31">
        <v>2</v>
      </c>
      <c r="B107" s="105" t="str">
        <f>VLOOKUP(Ruimtestaat[[#This Row],[Code]],Locaties[[Code]:[Locatie]],2,FALSE)</f>
        <v>IKC De Hoge Hoeve</v>
      </c>
      <c r="C107" s="105" t="str">
        <f>VLOOKUP(Ruimtestaat[[#This Row],[Code]],Locaties[[#All],[Code]:[Adres]],4,FALSE)</f>
        <v>De Hoge Hoeve 70</v>
      </c>
      <c r="D107" s="105" t="str">
        <f>VLOOKUP(Ruimtestaat[[#This Row],[Code]],Locaties[[#All],[Code]:[Postcode]],5,FALSE)</f>
        <v>6932 DJ</v>
      </c>
      <c r="E107" s="105" t="str">
        <f>VLOOKUP(Ruimtestaat[[#This Row],[Code]],Locaties[#All],6,FALSE)</f>
        <v>Westervoort</v>
      </c>
      <c r="F107" s="73" t="s">
        <v>1824</v>
      </c>
      <c r="G107" s="73" t="s">
        <v>1645</v>
      </c>
      <c r="H107" s="271" t="s">
        <v>1714</v>
      </c>
      <c r="I107" s="273" t="s">
        <v>1723</v>
      </c>
      <c r="J107" s="73">
        <v>5</v>
      </c>
      <c r="K107" s="113" t="str">
        <f>VLOOKUP(Ruimtestaat[[#This Row],[Ruimte code]],Ruimtegroepen[[#All],[Code]:[Ruimte omschrijving]],2,FALSE)</f>
        <v>Sanitair</v>
      </c>
      <c r="L107" s="73" t="s">
        <v>102</v>
      </c>
      <c r="M107" s="273" t="s">
        <v>120</v>
      </c>
      <c r="N107" s="106">
        <v>9</v>
      </c>
      <c r="O107" s="112"/>
      <c r="P107" s="112"/>
      <c r="Q107" s="107" t="str">
        <f>VLOOKUP(Ruimtestaat[[#This Row],[Ruimte code]],Ruimtegroepen[],4,FALSE)</f>
        <v>Sa</v>
      </c>
      <c r="R107" s="73">
        <v>40</v>
      </c>
      <c r="S107" s="73" t="s">
        <v>2</v>
      </c>
      <c r="T107" s="73">
        <f>IF(R107&gt;0,IF(RIGHT(Ruimtestaat[[#This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7" s="73">
        <f>IF(T107&gt;0,VLOOKUP($J107,Ruimtegroepen[],3,FALSE)*VLOOKUP($L107,Vloersoorten[],3,FALSE)*VLOOKUP($S107,Frequenties[],3,FALSE)*VLOOKUP($A107,Locaties[],3,FALSE),0)</f>
        <v>0</v>
      </c>
      <c r="V107" s="73">
        <f>Ruimtestaat[[#This Row],[Uitvoeringen werkdagen]]*Ruimtestaat[[#This Row],[Oppervlak (netto)]]</f>
        <v>1800</v>
      </c>
      <c r="W107" s="108">
        <f>IF(U107&gt;0,Ruimtestaat[[#This Row],[Prest. (m2 /jaar) werkdagen]]/Ruimtestaat[[#This Row],[Norm (m2/uur) werkdagen]],0)</f>
        <v>0</v>
      </c>
      <c r="X107" s="109">
        <f>Ruimtestaat[[#This Row],[uren / jaar werkdagen]]*Tariefsopbouw!$E$35</f>
        <v>0</v>
      </c>
      <c r="Y107" s="73"/>
      <c r="Z107" s="73">
        <f>IF(Ruimtestaat[[#This Row],[Frequentie weekend]]&gt;0,VALUE(LEFT(Y107,1))*R107,0)</f>
        <v>0</v>
      </c>
      <c r="AA107" s="72">
        <f>IF($Z107&gt;0,VLOOKUP($J107,Ruimtegroepen[],3,FALSE)*VLOOKUP($L107,Vloersoorten[],3,FALSE)*VLOOKUP($Y107,Frequenties[],3,FALSE)*VLOOKUP(Ruimtestaat[[#This Row],[Code]],Locaties[],3,FALSE),0)</f>
        <v>0</v>
      </c>
      <c r="AB107" s="72">
        <f>Ruimtestaat[[#This Row],[Uitvoeringen weekend]]*Ruimtestaat[[#This Row],[Oppervlak (netto)]]</f>
        <v>0</v>
      </c>
      <c r="AC107" s="72">
        <f>IF(AA107&gt;0,Ruimtestaat[[#This Row],[Prest. (m2 /jaar) weekend]]/Ruimtestaat[[#This Row],[Norm (m2/uur) weekend]],0)</f>
        <v>0</v>
      </c>
      <c r="AD107" s="109">
        <f>Ruimtestaat[[#This Row],[uren / jaar weekend]]*Tariefsopbouw!$D$40</f>
        <v>0</v>
      </c>
      <c r="AE107" s="108">
        <f>Ruimtestaat[[#This Row],[Prest. (m2 /jaar) weekend]]+Ruimtestaat[[#This Row],[Prest. (m2 /jaar) werkdagen]]</f>
        <v>1800</v>
      </c>
      <c r="AF107" s="108">
        <f>Ruimtestaat[[#This Row],[uren / jaar weekend]]+Ruimtestaat[[#This Row],[uren / jaar werkdagen]]</f>
        <v>0</v>
      </c>
      <c r="AG107" s="103">
        <f>Ruimtestaat[[#This Row],[kosten / jaar weekend]]+Ruimtestaat[[#This Row],[kosten / jaar werkdagen]]</f>
        <v>0</v>
      </c>
      <c r="AH107" s="103"/>
      <c r="AI107" s="110" t="str">
        <f>IF(Ruimtestaat[[#This Row],[Frequentie werkdagen]]="","",_xlfn.CONCAT(Ruimtestaat[[#This Row],[Ruimte code]],"-",Ruimtestaat[[#This Row],[Frequentie werkdagen]]," ",Ruimtestaat[[#This Row],[Vloer code]]))</f>
        <v>5-5w P</v>
      </c>
      <c r="AJ107" s="114" t="str">
        <f>_xlfn.IFNA(VLOOKUP($AI107,Programma!$F$3:$G$1101,2,0),"")</f>
        <v>_</v>
      </c>
      <c r="AK107" s="114" t="str">
        <f>_xlfn.IFNA(VLOOKUP($AI107,Programma!$F$3:$H$1101,3,0),"")</f>
        <v>_</v>
      </c>
      <c r="AL107" s="114" t="str">
        <f>_xlfn.IFNA(VLOOKUP($AI107,Programma!$F$3:$I$1101,4,0),"")</f>
        <v>_</v>
      </c>
      <c r="AM107" s="114" t="str">
        <f>_xlfn.IFNA(VLOOKUP($AI107,Programma!$F$3:$J$1101,5,0),"")</f>
        <v>4w</v>
      </c>
      <c r="AN107" s="114" t="str">
        <f>_xlfn.IFNA(VLOOKUP($AI107,Programma!$F$3:$K$1101,6,0),"")</f>
        <v>1w</v>
      </c>
      <c r="AO107" s="114" t="str">
        <f>_xlfn.IFNA(VLOOKUP($AI107,Programma!$F$3:$L$1101,7,0),"")</f>
        <v>_</v>
      </c>
      <c r="AP107" s="114" t="str">
        <f>_xlfn.IFNA(VLOOKUP($AI107,Programma!$F$3:$M$1101,8,0),"")</f>
        <v>_</v>
      </c>
      <c r="AQ107" s="114" t="str">
        <f>_xlfn.IFNA(VLOOKUP($AI107,Programma!$F$3:$N$1101,9,0),"")</f>
        <v>_</v>
      </c>
      <c r="AR107" s="114" t="str">
        <f>_xlfn.IFNA(VLOOKUP($AI107,Programma!$F$3:$O$1101,10,0),"")</f>
        <v>_</v>
      </c>
      <c r="AS107" s="114" t="str">
        <f>_xlfn.IFNA(VLOOKUP($AI107,Programma!$F$3:$P$1101,11,0),"")</f>
        <v>_</v>
      </c>
      <c r="AT107" s="114" t="str">
        <f>_xlfn.IFNA(VLOOKUP($AI107,Programma!$F$3:$Q$1101,12,0),"")</f>
        <v>_</v>
      </c>
      <c r="AU107" s="114" t="str">
        <f>_xlfn.IFNA(VLOOKUP($AI107,Programma!$F$3:$R$1101,13,0),"")</f>
        <v>_</v>
      </c>
      <c r="AV107" s="114" t="str">
        <f>_xlfn.IFNA(VLOOKUP($AI107,Programma!$F$3:$S$1101,14,0),"")</f>
        <v>_</v>
      </c>
      <c r="AW107" s="114" t="str">
        <f>_xlfn.IFNA(VLOOKUP($AI107,Programma!$F$3:$T$1101,15,0),"")</f>
        <v>_</v>
      </c>
      <c r="AX107" s="114" t="str">
        <f>_xlfn.IFNA(VLOOKUP($AI107,Programma!$F$3:$U$1101,16,0),"")</f>
        <v>_</v>
      </c>
      <c r="AY107" s="114" t="str">
        <f>_xlfn.IFNA(VLOOKUP($AI107,Programma!$F$3:$V$1101,17,0),"")</f>
        <v>_</v>
      </c>
      <c r="AZ107" s="114" t="str">
        <f>_xlfn.IFNA(VLOOKUP($AI107,Programma!$F$3:$W$1101,18,0),"")</f>
        <v>4w</v>
      </c>
      <c r="BA107" s="114" t="str">
        <f>_xlfn.IFNA(VLOOKUP($AI107,Programma!$F$3:$X$1101,19,0),"")</f>
        <v>1w</v>
      </c>
      <c r="BB107" s="114" t="str">
        <f>_xlfn.IFNA(VLOOKUP($AI107,Programma!$F$3:$Y$1101,20,0),"")</f>
        <v>_</v>
      </c>
      <c r="BC107" s="111"/>
      <c r="BD107" s="110" t="str">
        <f>IF(Ruimtestaat[[#This Row],[Frequentie weekend]]="","",_xlfn.CONCAT(Ruimtestaat[[#This Row],[Ruimte code]],"-",Ruimtestaat[[#This Row],[Frequentie weekend]]," ",Ruimtestaat[[#This Row],[Vloer code]]))</f>
        <v/>
      </c>
      <c r="BE107" s="114" t="str">
        <f>_xlfn.IFNA(VLOOKUP($BD107,Programma!$F$3:$G$1101,2,0),"")</f>
        <v/>
      </c>
      <c r="BF107" s="114" t="str">
        <f>_xlfn.IFNA(VLOOKUP($BD107,Programma!$F$3:$H$1101,3,0),"")</f>
        <v/>
      </c>
      <c r="BG107" s="114" t="str">
        <f>_xlfn.IFNA(VLOOKUP($BD107,Programma!$F$3:$I$1101,4,0),"")</f>
        <v/>
      </c>
      <c r="BH107" s="114" t="str">
        <f>_xlfn.IFNA(VLOOKUP($BD107,Programma!$F$3:$J$1101,5,0),"")</f>
        <v/>
      </c>
      <c r="BI107" s="114" t="str">
        <f>_xlfn.IFNA(VLOOKUP($BD107,Programma!$F$3:$K$1101,6,0),"")</f>
        <v/>
      </c>
      <c r="BJ107" s="114" t="str">
        <f>_xlfn.IFNA(VLOOKUP($BD107,Programma!$F$3:$L$1101,7,0),"")</f>
        <v/>
      </c>
      <c r="BK107" s="114" t="str">
        <f>_xlfn.IFNA(VLOOKUP($BD107,Programma!$F$3:$M$1101,8,0),"")</f>
        <v/>
      </c>
      <c r="BL107" s="114" t="str">
        <f>_xlfn.IFNA(VLOOKUP($BD107,Programma!$F$3:$N$1101,9,0),"")</f>
        <v/>
      </c>
      <c r="BM107" s="114" t="str">
        <f>_xlfn.IFNA(VLOOKUP($BD107,Programma!$F$3:$O$1101,10,0),"")</f>
        <v/>
      </c>
      <c r="BN107" s="114" t="str">
        <f>_xlfn.IFNA(VLOOKUP($BD107,Programma!$F$3:$P$1101,11,0),"")</f>
        <v/>
      </c>
      <c r="BO107" s="114" t="str">
        <f>_xlfn.IFNA(VLOOKUP($BD107,Programma!$F$3:$Q$1101,12,0),"")</f>
        <v/>
      </c>
      <c r="BP107" s="114" t="str">
        <f>_xlfn.IFNA(VLOOKUP($BD107,Programma!$F$3:$R$1101,13,0),"")</f>
        <v/>
      </c>
      <c r="BQ107" s="114" t="str">
        <f>_xlfn.IFNA(VLOOKUP($BD107,Programma!$F$3:$S$1101,14,0),"")</f>
        <v/>
      </c>
      <c r="BR107" s="114" t="str">
        <f>_xlfn.IFNA(VLOOKUP($BD107,Programma!$F$3:$T$1101,15,0),"")</f>
        <v/>
      </c>
      <c r="BS107" s="114" t="str">
        <f>_xlfn.IFNA(VLOOKUP($BD107,Programma!$F$3:$U$1101,16,0),"")</f>
        <v/>
      </c>
      <c r="BT107" s="114" t="str">
        <f>_xlfn.IFNA(VLOOKUP($BD107,Programma!$F$3:$V$1101,17,0),"")</f>
        <v/>
      </c>
      <c r="BU107" s="114" t="str">
        <f>_xlfn.IFNA(VLOOKUP($BD107,Programma!$F$3:$W$1101,18,0),"")</f>
        <v/>
      </c>
      <c r="BV107" s="114" t="str">
        <f>_xlfn.IFNA(VLOOKUP($BD107,Programma!$F$3:$X$1101,19,0),"")</f>
        <v/>
      </c>
      <c r="BW107" s="114" t="str">
        <f>_xlfn.IFNA(VLOOKUP($BD107,Programma!$F$3:$Y$1101,20,0),"")</f>
        <v/>
      </c>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c r="GF107" s="28"/>
      <c r="GG107" s="28"/>
      <c r="GH107" s="28"/>
      <c r="GI107" s="28"/>
      <c r="GJ107" s="28"/>
      <c r="GK107" s="28"/>
      <c r="GL107" s="28"/>
      <c r="GM107" s="28"/>
      <c r="GN107" s="28"/>
      <c r="GO107" s="28"/>
      <c r="GP107" s="28"/>
      <c r="GQ107" s="28"/>
      <c r="GR107" s="28"/>
      <c r="GS107" s="28"/>
      <c r="GT107" s="28"/>
      <c r="GU107" s="28"/>
      <c r="GV107" s="28"/>
      <c r="GW107" s="28"/>
      <c r="GX107" s="28"/>
      <c r="GY107" s="28"/>
      <c r="GZ107" s="28"/>
      <c r="HA107" s="28"/>
      <c r="HB107" s="28"/>
      <c r="HC107" s="28"/>
      <c r="HD107" s="28"/>
      <c r="HE107" s="28"/>
      <c r="HF107" s="28"/>
      <c r="HG107" s="28"/>
      <c r="HH107" s="28"/>
      <c r="HI107" s="28"/>
      <c r="HJ107" s="28"/>
      <c r="HK107" s="28"/>
      <c r="HL107" s="28"/>
    </row>
    <row r="108" spans="1:220" ht="15" customHeight="1">
      <c r="A108" s="31">
        <v>2</v>
      </c>
      <c r="B108" s="105" t="str">
        <f>VLOOKUP(Ruimtestaat[[#This Row],[Code]],Locaties[[Code]:[Locatie]],2,FALSE)</f>
        <v>IKC De Hoge Hoeve</v>
      </c>
      <c r="C108" s="105" t="str">
        <f>VLOOKUP(Ruimtestaat[[#This Row],[Code]],Locaties[[#All],[Code]:[Adres]],4,FALSE)</f>
        <v>De Hoge Hoeve 70</v>
      </c>
      <c r="D108" s="105" t="str">
        <f>VLOOKUP(Ruimtestaat[[#This Row],[Code]],Locaties[[#All],[Code]:[Postcode]],5,FALSE)</f>
        <v>6932 DJ</v>
      </c>
      <c r="E108" s="105" t="str">
        <f>VLOOKUP(Ruimtestaat[[#This Row],[Code]],Locaties[#All],6,FALSE)</f>
        <v>Westervoort</v>
      </c>
      <c r="F108" s="73"/>
      <c r="G108" s="73" t="s">
        <v>1645</v>
      </c>
      <c r="H108" s="271" t="s">
        <v>1715</v>
      </c>
      <c r="I108" s="273" t="s">
        <v>1652</v>
      </c>
      <c r="J108" s="31">
        <v>20</v>
      </c>
      <c r="K108" s="113" t="str">
        <f>VLOOKUP(Ruimtestaat[[#This Row],[Ruimte code]],Ruimtegroepen[[#All],[Code]:[Ruimte omschrijving]],2,FALSE)</f>
        <v>Niet in Onderhoud</v>
      </c>
      <c r="L108" s="73" t="s">
        <v>102</v>
      </c>
      <c r="M108" s="273" t="s">
        <v>120</v>
      </c>
      <c r="N108" s="106"/>
      <c r="O108" s="112">
        <v>2</v>
      </c>
      <c r="P108" s="73"/>
      <c r="Q108" s="107">
        <f>VLOOKUP(Ruimtestaat[[#This Row],[Ruimte code]],Ruimtegroepen[],4,FALSE)</f>
        <v>0</v>
      </c>
      <c r="R108" s="73"/>
      <c r="S108" s="73"/>
      <c r="T108" s="73">
        <f>IF(R108&gt;0,IF(RIGHT(Ruimtestaat[[#This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8" s="73">
        <f>IF(T108&gt;0,VLOOKUP($J108,Ruimtegroepen[],3,FALSE)*VLOOKUP($L108,Vloersoorten[],3,FALSE)*VLOOKUP($S108,Frequenties[],3,FALSE)*VLOOKUP($A108,Locaties[],3,FALSE),0)</f>
        <v>0</v>
      </c>
      <c r="V108" s="73">
        <f>Ruimtestaat[[#This Row],[Uitvoeringen werkdagen]]*Ruimtestaat[[#This Row],[Oppervlak (netto)]]</f>
        <v>0</v>
      </c>
      <c r="W108" s="108">
        <f>IF(U108&gt;0,Ruimtestaat[[#This Row],[Prest. (m2 /jaar) werkdagen]]/Ruimtestaat[[#This Row],[Norm (m2/uur) werkdagen]],0)</f>
        <v>0</v>
      </c>
      <c r="X108" s="109">
        <f>Ruimtestaat[[#This Row],[uren / jaar werkdagen]]*Tariefsopbouw!$E$35</f>
        <v>0</v>
      </c>
      <c r="Y108" s="73"/>
      <c r="Z108" s="73">
        <f>IF(Ruimtestaat[[#This Row],[Frequentie weekend]]&gt;0,VALUE(LEFT(Y108,1))*R108,0)</f>
        <v>0</v>
      </c>
      <c r="AA108" s="72">
        <f>IF($Z108&gt;0,VLOOKUP($J108,Ruimtegroepen[],3,FALSE)*VLOOKUP($L108,Vloersoorten[],3,FALSE)*VLOOKUP($Y108,Frequenties[],3,FALSE)*VLOOKUP(Ruimtestaat[[#This Row],[Code]],Locaties[],3,FALSE),0)</f>
        <v>0</v>
      </c>
      <c r="AB108" s="72">
        <f>Ruimtestaat[[#This Row],[Uitvoeringen weekend]]*Ruimtestaat[[#This Row],[Oppervlak (netto)]]</f>
        <v>0</v>
      </c>
      <c r="AC108" s="72">
        <f>IF(AA108&gt;0,Ruimtestaat[[#This Row],[Prest. (m2 /jaar) weekend]]/Ruimtestaat[[#This Row],[Norm (m2/uur) weekend]],0)</f>
        <v>0</v>
      </c>
      <c r="AD108" s="109">
        <f>Ruimtestaat[[#This Row],[uren / jaar weekend]]*Tariefsopbouw!$D$40</f>
        <v>0</v>
      </c>
      <c r="AE108" s="108">
        <f>Ruimtestaat[[#This Row],[Prest. (m2 /jaar) weekend]]+Ruimtestaat[[#This Row],[Prest. (m2 /jaar) werkdagen]]</f>
        <v>0</v>
      </c>
      <c r="AF108" s="108">
        <f>Ruimtestaat[[#This Row],[uren / jaar weekend]]+Ruimtestaat[[#This Row],[uren / jaar werkdagen]]</f>
        <v>0</v>
      </c>
      <c r="AG108" s="103">
        <f>Ruimtestaat[[#This Row],[kosten / jaar weekend]]+Ruimtestaat[[#This Row],[kosten / jaar werkdagen]]</f>
        <v>0</v>
      </c>
      <c r="AH108" s="103"/>
      <c r="AI108" s="110" t="str">
        <f>IF(Ruimtestaat[[#This Row],[Frequentie werkdagen]]="","",_xlfn.CONCAT(Ruimtestaat[[#This Row],[Ruimte code]],"-",Ruimtestaat[[#This Row],[Frequentie werkdagen]]," ",Ruimtestaat[[#This Row],[Vloer code]]))</f>
        <v/>
      </c>
      <c r="AJ108" s="114" t="str">
        <f>_xlfn.IFNA(VLOOKUP($AI108,Programma!$F$3:$G$1101,2,0),"")</f>
        <v/>
      </c>
      <c r="AK108" s="114" t="str">
        <f>_xlfn.IFNA(VLOOKUP($AI108,Programma!$F$3:$H$1101,3,0),"")</f>
        <v/>
      </c>
      <c r="AL108" s="114" t="str">
        <f>_xlfn.IFNA(VLOOKUP($AI108,Programma!$F$3:$I$1101,4,0),"")</f>
        <v/>
      </c>
      <c r="AM108" s="114" t="str">
        <f>_xlfn.IFNA(VLOOKUP($AI108,Programma!$F$3:$J$1101,5,0),"")</f>
        <v/>
      </c>
      <c r="AN108" s="114" t="str">
        <f>_xlfn.IFNA(VLOOKUP($AI108,Programma!$F$3:$K$1101,6,0),"")</f>
        <v/>
      </c>
      <c r="AO108" s="114" t="str">
        <f>_xlfn.IFNA(VLOOKUP($AI108,Programma!$F$3:$L$1101,7,0),"")</f>
        <v/>
      </c>
      <c r="AP108" s="114" t="str">
        <f>_xlfn.IFNA(VLOOKUP($AI108,Programma!$F$3:$M$1101,8,0),"")</f>
        <v/>
      </c>
      <c r="AQ108" s="114" t="str">
        <f>_xlfn.IFNA(VLOOKUP($AI108,Programma!$F$3:$N$1101,9,0),"")</f>
        <v/>
      </c>
      <c r="AR108" s="114" t="str">
        <f>_xlfn.IFNA(VLOOKUP($AI108,Programma!$F$3:$O$1101,10,0),"")</f>
        <v/>
      </c>
      <c r="AS108" s="114" t="str">
        <f>_xlfn.IFNA(VLOOKUP($AI108,Programma!$F$3:$P$1101,11,0),"")</f>
        <v/>
      </c>
      <c r="AT108" s="114" t="str">
        <f>_xlfn.IFNA(VLOOKUP($AI108,Programma!$F$3:$Q$1101,12,0),"")</f>
        <v/>
      </c>
      <c r="AU108" s="114" t="str">
        <f>_xlfn.IFNA(VLOOKUP($AI108,Programma!$F$3:$R$1101,13,0),"")</f>
        <v/>
      </c>
      <c r="AV108" s="114" t="str">
        <f>_xlfn.IFNA(VLOOKUP($AI108,Programma!$F$3:$S$1101,14,0),"")</f>
        <v/>
      </c>
      <c r="AW108" s="114" t="str">
        <f>_xlfn.IFNA(VLOOKUP($AI108,Programma!$F$3:$T$1101,15,0),"")</f>
        <v/>
      </c>
      <c r="AX108" s="114" t="str">
        <f>_xlfn.IFNA(VLOOKUP($AI108,Programma!$F$3:$U$1101,16,0),"")</f>
        <v/>
      </c>
      <c r="AY108" s="114" t="str">
        <f>_xlfn.IFNA(VLOOKUP($AI108,Programma!$F$3:$V$1101,17,0),"")</f>
        <v/>
      </c>
      <c r="AZ108" s="114" t="str">
        <f>_xlfn.IFNA(VLOOKUP($AI108,Programma!$F$3:$W$1101,18,0),"")</f>
        <v/>
      </c>
      <c r="BA108" s="114" t="str">
        <f>_xlfn.IFNA(VLOOKUP($AI108,Programma!$F$3:$X$1101,19,0),"")</f>
        <v/>
      </c>
      <c r="BB108" s="114" t="str">
        <f>_xlfn.IFNA(VLOOKUP($AI108,Programma!$F$3:$Y$1101,20,0),"")</f>
        <v/>
      </c>
      <c r="BC108" s="111"/>
      <c r="BD108" s="110" t="str">
        <f>IF(Ruimtestaat[[#This Row],[Frequentie weekend]]="","",_xlfn.CONCAT(Ruimtestaat[[#This Row],[Ruimte code]],"-",Ruimtestaat[[#This Row],[Frequentie weekend]]," ",Ruimtestaat[[#This Row],[Vloer code]]))</f>
        <v/>
      </c>
      <c r="BE108" s="114" t="str">
        <f>_xlfn.IFNA(VLOOKUP($BD108,Programma!$F$3:$G$1101,2,0),"")</f>
        <v/>
      </c>
      <c r="BF108" s="114" t="str">
        <f>_xlfn.IFNA(VLOOKUP($BD108,Programma!$F$3:$H$1101,3,0),"")</f>
        <v/>
      </c>
      <c r="BG108" s="114" t="str">
        <f>_xlfn.IFNA(VLOOKUP($BD108,Programma!$F$3:$I$1101,4,0),"")</f>
        <v/>
      </c>
      <c r="BH108" s="114" t="str">
        <f>_xlfn.IFNA(VLOOKUP($BD108,Programma!$F$3:$J$1101,5,0),"")</f>
        <v/>
      </c>
      <c r="BI108" s="114" t="str">
        <f>_xlfn.IFNA(VLOOKUP($BD108,Programma!$F$3:$K$1101,6,0),"")</f>
        <v/>
      </c>
      <c r="BJ108" s="114" t="str">
        <f>_xlfn.IFNA(VLOOKUP($BD108,Programma!$F$3:$L$1101,7,0),"")</f>
        <v/>
      </c>
      <c r="BK108" s="114" t="str">
        <f>_xlfn.IFNA(VLOOKUP($BD108,Programma!$F$3:$M$1101,8,0),"")</f>
        <v/>
      </c>
      <c r="BL108" s="114" t="str">
        <f>_xlfn.IFNA(VLOOKUP($BD108,Programma!$F$3:$N$1101,9,0),"")</f>
        <v/>
      </c>
      <c r="BM108" s="114" t="str">
        <f>_xlfn.IFNA(VLOOKUP($BD108,Programma!$F$3:$O$1101,10,0),"")</f>
        <v/>
      </c>
      <c r="BN108" s="114" t="str">
        <f>_xlfn.IFNA(VLOOKUP($BD108,Programma!$F$3:$P$1101,11,0),"")</f>
        <v/>
      </c>
      <c r="BO108" s="114" t="str">
        <f>_xlfn.IFNA(VLOOKUP($BD108,Programma!$F$3:$Q$1101,12,0),"")</f>
        <v/>
      </c>
      <c r="BP108" s="114" t="str">
        <f>_xlfn.IFNA(VLOOKUP($BD108,Programma!$F$3:$R$1101,13,0),"")</f>
        <v/>
      </c>
      <c r="BQ108" s="114" t="str">
        <f>_xlfn.IFNA(VLOOKUP($BD108,Programma!$F$3:$S$1101,14,0),"")</f>
        <v/>
      </c>
      <c r="BR108" s="114" t="str">
        <f>_xlfn.IFNA(VLOOKUP($BD108,Programma!$F$3:$T$1101,15,0),"")</f>
        <v/>
      </c>
      <c r="BS108" s="114" t="str">
        <f>_xlfn.IFNA(VLOOKUP($BD108,Programma!$F$3:$U$1101,16,0),"")</f>
        <v/>
      </c>
      <c r="BT108" s="114" t="str">
        <f>_xlfn.IFNA(VLOOKUP($BD108,Programma!$F$3:$V$1101,17,0),"")</f>
        <v/>
      </c>
      <c r="BU108" s="114" t="str">
        <f>_xlfn.IFNA(VLOOKUP($BD108,Programma!$F$3:$W$1101,18,0),"")</f>
        <v/>
      </c>
      <c r="BV108" s="114" t="str">
        <f>_xlfn.IFNA(VLOOKUP($BD108,Programma!$F$3:$X$1101,19,0),"")</f>
        <v/>
      </c>
      <c r="BW108" s="114" t="str">
        <f>_xlfn.IFNA(VLOOKUP($BD108,Programma!$F$3:$Y$1101,20,0),"")</f>
        <v/>
      </c>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c r="HL108" s="28"/>
    </row>
    <row r="109" spans="1:220" ht="15" customHeight="1">
      <c r="A109" s="31">
        <v>2</v>
      </c>
      <c r="B109" s="105" t="str">
        <f>VLOOKUP(Ruimtestaat[[#This Row],[Code]],Locaties[[Code]:[Locatie]],2,FALSE)</f>
        <v>IKC De Hoge Hoeve</v>
      </c>
      <c r="C109" s="105" t="str">
        <f>VLOOKUP(Ruimtestaat[[#This Row],[Code]],Locaties[[#All],[Code]:[Adres]],4,FALSE)</f>
        <v>De Hoge Hoeve 70</v>
      </c>
      <c r="D109" s="105" t="str">
        <f>VLOOKUP(Ruimtestaat[[#This Row],[Code]],Locaties[[#All],[Code]:[Postcode]],5,FALSE)</f>
        <v>6932 DJ</v>
      </c>
      <c r="E109" s="105" t="str">
        <f>VLOOKUP(Ruimtestaat[[#This Row],[Code]],Locaties[#All],6,FALSE)</f>
        <v>Westervoort</v>
      </c>
      <c r="F109" s="73"/>
      <c r="G109" s="73" t="s">
        <v>1645</v>
      </c>
      <c r="H109" s="271" t="s">
        <v>1716</v>
      </c>
      <c r="I109" s="273" t="s">
        <v>1746</v>
      </c>
      <c r="J109" s="31">
        <v>16</v>
      </c>
      <c r="K109" s="113" t="str">
        <f>VLOOKUP(Ruimtestaat[[#This Row],[Ruimte code]],Ruimtegroepen[[#All],[Code]:[Ruimte omschrijving]],2,FALSE)</f>
        <v>Leslokalen</v>
      </c>
      <c r="L109" s="73" t="s">
        <v>102</v>
      </c>
      <c r="M109" s="273" t="s">
        <v>120</v>
      </c>
      <c r="N109" s="106">
        <v>56</v>
      </c>
      <c r="O109" s="112"/>
      <c r="P109" s="112"/>
      <c r="Q109" s="107" t="str">
        <f>VLOOKUP(Ruimtestaat[[#This Row],[Ruimte code]],Ruimtegroepen[],4,FALSE)</f>
        <v>Le</v>
      </c>
      <c r="R109" s="73">
        <v>40</v>
      </c>
      <c r="S109" s="73" t="s">
        <v>2</v>
      </c>
      <c r="T109" s="73">
        <f>IF(R109&gt;0,IF(RIGHT(Ruimtestaat[[#This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9" s="73">
        <f>IF(T109&gt;0,VLOOKUP($J109,Ruimtegroepen[],3,FALSE)*VLOOKUP($L109,Vloersoorten[],3,FALSE)*VLOOKUP($S109,Frequenties[],3,FALSE)*VLOOKUP($A109,Locaties[],3,FALSE),0)</f>
        <v>0</v>
      </c>
      <c r="V109" s="73">
        <f>Ruimtestaat[[#This Row],[Uitvoeringen werkdagen]]*Ruimtestaat[[#This Row],[Oppervlak (netto)]]</f>
        <v>11200</v>
      </c>
      <c r="W109" s="108">
        <f>IF(U109&gt;0,Ruimtestaat[[#This Row],[Prest. (m2 /jaar) werkdagen]]/Ruimtestaat[[#This Row],[Norm (m2/uur) werkdagen]],0)</f>
        <v>0</v>
      </c>
      <c r="X109" s="109">
        <f>Ruimtestaat[[#This Row],[uren / jaar werkdagen]]*Tariefsopbouw!$E$35</f>
        <v>0</v>
      </c>
      <c r="Y109" s="73"/>
      <c r="Z109" s="73">
        <f>IF(Ruimtestaat[[#This Row],[Frequentie weekend]]&gt;0,VALUE(LEFT(Y109,1))*R109,0)</f>
        <v>0</v>
      </c>
      <c r="AA109" s="72">
        <f>IF($Z109&gt;0,VLOOKUP($J109,Ruimtegroepen[],3,FALSE)*VLOOKUP($L109,Vloersoorten[],3,FALSE)*VLOOKUP($Y109,Frequenties[],3,FALSE)*VLOOKUP(Ruimtestaat[[#This Row],[Code]],Locaties[],3,FALSE),0)</f>
        <v>0</v>
      </c>
      <c r="AB109" s="72">
        <f>Ruimtestaat[[#This Row],[Uitvoeringen weekend]]*Ruimtestaat[[#This Row],[Oppervlak (netto)]]</f>
        <v>0</v>
      </c>
      <c r="AC109" s="72">
        <f>IF(AA109&gt;0,Ruimtestaat[[#This Row],[Prest. (m2 /jaar) weekend]]/Ruimtestaat[[#This Row],[Norm (m2/uur) weekend]],0)</f>
        <v>0</v>
      </c>
      <c r="AD109" s="109">
        <f>Ruimtestaat[[#This Row],[uren / jaar weekend]]*Tariefsopbouw!$D$40</f>
        <v>0</v>
      </c>
      <c r="AE109" s="108">
        <f>Ruimtestaat[[#This Row],[Prest. (m2 /jaar) weekend]]+Ruimtestaat[[#This Row],[Prest. (m2 /jaar) werkdagen]]</f>
        <v>11200</v>
      </c>
      <c r="AF109" s="108">
        <f>Ruimtestaat[[#This Row],[uren / jaar weekend]]+Ruimtestaat[[#This Row],[uren / jaar werkdagen]]</f>
        <v>0</v>
      </c>
      <c r="AG109" s="103">
        <f>Ruimtestaat[[#This Row],[kosten / jaar weekend]]+Ruimtestaat[[#This Row],[kosten / jaar werkdagen]]</f>
        <v>0</v>
      </c>
      <c r="AH109" s="103"/>
      <c r="AI109" s="110" t="str">
        <f>IF(Ruimtestaat[[#This Row],[Frequentie werkdagen]]="","",_xlfn.CONCAT(Ruimtestaat[[#This Row],[Ruimte code]],"-",Ruimtestaat[[#This Row],[Frequentie werkdagen]]," ",Ruimtestaat[[#This Row],[Vloer code]]))</f>
        <v>16-5w P</v>
      </c>
      <c r="AJ109" s="114" t="str">
        <f>_xlfn.IFNA(VLOOKUP($AI109,Programma!$F$3:$G$1101,2,0),"")</f>
        <v>_</v>
      </c>
      <c r="AK109" s="114" t="str">
        <f>_xlfn.IFNA(VLOOKUP($AI109,Programma!$F$3:$H$1101,3,0),"")</f>
        <v>_</v>
      </c>
      <c r="AL109" s="114" t="str">
        <f>_xlfn.IFNA(VLOOKUP($AI109,Programma!$F$3:$I$1101,4,0),"")</f>
        <v>4w</v>
      </c>
      <c r="AM109" s="114" t="str">
        <f>_xlfn.IFNA(VLOOKUP($AI109,Programma!$F$3:$J$1101,5,0),"")</f>
        <v>1w</v>
      </c>
      <c r="AN109" s="114" t="str">
        <f>_xlfn.IFNA(VLOOKUP($AI109,Programma!$F$3:$K$1101,6,0),"")</f>
        <v>1m</v>
      </c>
      <c r="AO109" s="114" t="str">
        <f>_xlfn.IFNA(VLOOKUP($AI109,Programma!$F$3:$L$1101,7,0),"")</f>
        <v>_</v>
      </c>
      <c r="AP109" s="114" t="str">
        <f>_xlfn.IFNA(VLOOKUP($AI109,Programma!$F$3:$M$1101,8,0),"")</f>
        <v>_</v>
      </c>
      <c r="AQ109" s="114" t="str">
        <f>_xlfn.IFNA(VLOOKUP($AI109,Programma!$F$3:$N$1101,9,0),"")</f>
        <v>_</v>
      </c>
      <c r="AR109" s="114" t="str">
        <f>_xlfn.IFNA(VLOOKUP($AI109,Programma!$F$3:$O$1101,10,0),"")</f>
        <v>5w</v>
      </c>
      <c r="AS109" s="114" t="str">
        <f>_xlfn.IFNA(VLOOKUP($AI109,Programma!$F$3:$P$1101,11,0),"")</f>
        <v>5w</v>
      </c>
      <c r="AT109" s="114" t="str">
        <f>_xlfn.IFNA(VLOOKUP($AI109,Programma!$F$3:$Q$1101,12,0),"")</f>
        <v>1w</v>
      </c>
      <c r="AU109" s="114" t="str">
        <f>_xlfn.IFNA(VLOOKUP($AI109,Programma!$F$3:$R$1101,13,0),"")</f>
        <v>1w</v>
      </c>
      <c r="AV109" s="114" t="str">
        <f>_xlfn.IFNA(VLOOKUP($AI109,Programma!$F$3:$S$1101,14,0),"")</f>
        <v>1m</v>
      </c>
      <c r="AW109" s="114" t="str">
        <f>_xlfn.IFNA(VLOOKUP($AI109,Programma!$F$3:$T$1101,15,0),"")</f>
        <v>2j</v>
      </c>
      <c r="AX109" s="114" t="str">
        <f>_xlfn.IFNA(VLOOKUP($AI109,Programma!$F$3:$U$1101,16,0),"")</f>
        <v>1j</v>
      </c>
      <c r="AY109" s="114" t="str">
        <f>_xlfn.IFNA(VLOOKUP($AI109,Programma!$F$3:$V$1101,17,0),"")</f>
        <v>_</v>
      </c>
      <c r="AZ109" s="114" t="str">
        <f>_xlfn.IFNA(VLOOKUP($AI109,Programma!$F$3:$W$1101,18,0),"")</f>
        <v>_</v>
      </c>
      <c r="BA109" s="114" t="str">
        <f>_xlfn.IFNA(VLOOKUP($AI109,Programma!$F$3:$X$1101,19,0),"")</f>
        <v>_</v>
      </c>
      <c r="BB109" s="114" t="str">
        <f>_xlfn.IFNA(VLOOKUP($AI109,Programma!$F$3:$Y$1101,20,0),"")</f>
        <v>_</v>
      </c>
      <c r="BC109" s="111"/>
      <c r="BD109" s="110" t="str">
        <f>IF(Ruimtestaat[[#This Row],[Frequentie weekend]]="","",_xlfn.CONCAT(Ruimtestaat[[#This Row],[Ruimte code]],"-",Ruimtestaat[[#This Row],[Frequentie weekend]]," ",Ruimtestaat[[#This Row],[Vloer code]]))</f>
        <v/>
      </c>
      <c r="BE109" s="114" t="str">
        <f>_xlfn.IFNA(VLOOKUP($BD109,Programma!$F$3:$G$1101,2,0),"")</f>
        <v/>
      </c>
      <c r="BF109" s="114" t="str">
        <f>_xlfn.IFNA(VLOOKUP($BD109,Programma!$F$3:$H$1101,3,0),"")</f>
        <v/>
      </c>
      <c r="BG109" s="114" t="str">
        <f>_xlfn.IFNA(VLOOKUP($BD109,Programma!$F$3:$I$1101,4,0),"")</f>
        <v/>
      </c>
      <c r="BH109" s="114" t="str">
        <f>_xlfn.IFNA(VLOOKUP($BD109,Programma!$F$3:$J$1101,5,0),"")</f>
        <v/>
      </c>
      <c r="BI109" s="114" t="str">
        <f>_xlfn.IFNA(VLOOKUP($BD109,Programma!$F$3:$K$1101,6,0),"")</f>
        <v/>
      </c>
      <c r="BJ109" s="114" t="str">
        <f>_xlfn.IFNA(VLOOKUP($BD109,Programma!$F$3:$L$1101,7,0),"")</f>
        <v/>
      </c>
      <c r="BK109" s="114" t="str">
        <f>_xlfn.IFNA(VLOOKUP($BD109,Programma!$F$3:$M$1101,8,0),"")</f>
        <v/>
      </c>
      <c r="BL109" s="114" t="str">
        <f>_xlfn.IFNA(VLOOKUP($BD109,Programma!$F$3:$N$1101,9,0),"")</f>
        <v/>
      </c>
      <c r="BM109" s="114" t="str">
        <f>_xlfn.IFNA(VLOOKUP($BD109,Programma!$F$3:$O$1101,10,0),"")</f>
        <v/>
      </c>
      <c r="BN109" s="114" t="str">
        <f>_xlfn.IFNA(VLOOKUP($BD109,Programma!$F$3:$P$1101,11,0),"")</f>
        <v/>
      </c>
      <c r="BO109" s="114" t="str">
        <f>_xlfn.IFNA(VLOOKUP($BD109,Programma!$F$3:$Q$1101,12,0),"")</f>
        <v/>
      </c>
      <c r="BP109" s="114" t="str">
        <f>_xlfn.IFNA(VLOOKUP($BD109,Programma!$F$3:$R$1101,13,0),"")</f>
        <v/>
      </c>
      <c r="BQ109" s="114" t="str">
        <f>_xlfn.IFNA(VLOOKUP($BD109,Programma!$F$3:$S$1101,14,0),"")</f>
        <v/>
      </c>
      <c r="BR109" s="114" t="str">
        <f>_xlfn.IFNA(VLOOKUP($BD109,Programma!$F$3:$T$1101,15,0),"")</f>
        <v/>
      </c>
      <c r="BS109" s="114" t="str">
        <f>_xlfn.IFNA(VLOOKUP($BD109,Programma!$F$3:$U$1101,16,0),"")</f>
        <v/>
      </c>
      <c r="BT109" s="114" t="str">
        <f>_xlfn.IFNA(VLOOKUP($BD109,Programma!$F$3:$V$1101,17,0),"")</f>
        <v/>
      </c>
      <c r="BU109" s="114" t="str">
        <f>_xlfn.IFNA(VLOOKUP($BD109,Programma!$F$3:$W$1101,18,0),"")</f>
        <v/>
      </c>
      <c r="BV109" s="114" t="str">
        <f>_xlfn.IFNA(VLOOKUP($BD109,Programma!$F$3:$X$1101,19,0),"")</f>
        <v/>
      </c>
      <c r="BW109" s="114" t="str">
        <f>_xlfn.IFNA(VLOOKUP($BD109,Programma!$F$3:$Y$1101,20,0),"")</f>
        <v/>
      </c>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row>
    <row r="110" spans="1:220" ht="15" customHeight="1">
      <c r="A110" s="31">
        <v>2</v>
      </c>
      <c r="B110" s="105" t="str">
        <f>VLOOKUP(Ruimtestaat[[#This Row],[Code]],Locaties[[Code]:[Locatie]],2,FALSE)</f>
        <v>IKC De Hoge Hoeve</v>
      </c>
      <c r="C110" s="105" t="str">
        <f>VLOOKUP(Ruimtestaat[[#This Row],[Code]],Locaties[[#All],[Code]:[Adres]],4,FALSE)</f>
        <v>De Hoge Hoeve 70</v>
      </c>
      <c r="D110" s="105" t="str">
        <f>VLOOKUP(Ruimtestaat[[#This Row],[Code]],Locaties[[#All],[Code]:[Postcode]],5,FALSE)</f>
        <v>6932 DJ</v>
      </c>
      <c r="E110" s="105" t="str">
        <f>VLOOKUP(Ruimtestaat[[#This Row],[Code]],Locaties[#All],6,FALSE)</f>
        <v>Westervoort</v>
      </c>
      <c r="F110" s="73"/>
      <c r="G110" s="73" t="s">
        <v>1645</v>
      </c>
      <c r="H110" s="271" t="s">
        <v>1717</v>
      </c>
      <c r="I110" s="273" t="s">
        <v>1747</v>
      </c>
      <c r="J110" s="31">
        <v>6</v>
      </c>
      <c r="K110" s="113" t="str">
        <f>VLOOKUP(Ruimtestaat[[#This Row],[Ruimte code]],Ruimtegroepen[[#All],[Code]:[Ruimte omschrijving]],2,FALSE)</f>
        <v>Gangen/hallen</v>
      </c>
      <c r="L110" s="73" t="s">
        <v>102</v>
      </c>
      <c r="M110" s="273" t="s">
        <v>120</v>
      </c>
      <c r="N110" s="106">
        <v>145</v>
      </c>
      <c r="O110" s="112"/>
      <c r="P110" s="112"/>
      <c r="Q110" s="107" t="str">
        <f>VLOOKUP(Ruimtestaat[[#This Row],[Ruimte code]],Ruimtegroepen[],4,FALSE)</f>
        <v>Ve</v>
      </c>
      <c r="R110" s="73">
        <v>40</v>
      </c>
      <c r="S110" s="73" t="s">
        <v>2</v>
      </c>
      <c r="T110" s="73">
        <f>IF(R110&gt;0,IF(RIGHT(Ruimtestaat[[#This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0" s="73">
        <f>IF(T110&gt;0,VLOOKUP($J110,Ruimtegroepen[],3,FALSE)*VLOOKUP($L110,Vloersoorten[],3,FALSE)*VLOOKUP($S110,Frequenties[],3,FALSE)*VLOOKUP($A110,Locaties[],3,FALSE),0)</f>
        <v>0</v>
      </c>
      <c r="V110" s="73">
        <f>Ruimtestaat[[#This Row],[Uitvoeringen werkdagen]]*Ruimtestaat[[#This Row],[Oppervlak (netto)]]</f>
        <v>29000</v>
      </c>
      <c r="W110" s="108">
        <f>IF(U110&gt;0,Ruimtestaat[[#This Row],[Prest. (m2 /jaar) werkdagen]]/Ruimtestaat[[#This Row],[Norm (m2/uur) werkdagen]],0)</f>
        <v>0</v>
      </c>
      <c r="X110" s="109">
        <f>Ruimtestaat[[#This Row],[uren / jaar werkdagen]]*Tariefsopbouw!$E$35</f>
        <v>0</v>
      </c>
      <c r="Y110" s="73"/>
      <c r="Z110" s="73">
        <f>IF(Ruimtestaat[[#This Row],[Frequentie weekend]]&gt;0,VALUE(LEFT(Y110,1))*R110,0)</f>
        <v>0</v>
      </c>
      <c r="AA110" s="72">
        <f>IF($Z110&gt;0,VLOOKUP($J110,Ruimtegroepen[],3,FALSE)*VLOOKUP($L110,Vloersoorten[],3,FALSE)*VLOOKUP($Y110,Frequenties[],3,FALSE)*VLOOKUP(Ruimtestaat[[#This Row],[Code]],Locaties[],3,FALSE),0)</f>
        <v>0</v>
      </c>
      <c r="AB110" s="72">
        <f>Ruimtestaat[[#This Row],[Uitvoeringen weekend]]*Ruimtestaat[[#This Row],[Oppervlak (netto)]]</f>
        <v>0</v>
      </c>
      <c r="AC110" s="72">
        <f>IF(AA110&gt;0,Ruimtestaat[[#This Row],[Prest. (m2 /jaar) weekend]]/Ruimtestaat[[#This Row],[Norm (m2/uur) weekend]],0)</f>
        <v>0</v>
      </c>
      <c r="AD110" s="109">
        <f>Ruimtestaat[[#This Row],[uren / jaar weekend]]*Tariefsopbouw!$D$40</f>
        <v>0</v>
      </c>
      <c r="AE110" s="108">
        <f>Ruimtestaat[[#This Row],[Prest. (m2 /jaar) weekend]]+Ruimtestaat[[#This Row],[Prest. (m2 /jaar) werkdagen]]</f>
        <v>29000</v>
      </c>
      <c r="AF110" s="108">
        <f>Ruimtestaat[[#This Row],[uren / jaar weekend]]+Ruimtestaat[[#This Row],[uren / jaar werkdagen]]</f>
        <v>0</v>
      </c>
      <c r="AG110" s="103">
        <f>Ruimtestaat[[#This Row],[kosten / jaar weekend]]+Ruimtestaat[[#This Row],[kosten / jaar werkdagen]]</f>
        <v>0</v>
      </c>
      <c r="AH110" s="103"/>
      <c r="AI110" s="110" t="str">
        <f>IF(Ruimtestaat[[#This Row],[Frequentie werkdagen]]="","",_xlfn.CONCAT(Ruimtestaat[[#This Row],[Ruimte code]],"-",Ruimtestaat[[#This Row],[Frequentie werkdagen]]," ",Ruimtestaat[[#This Row],[Vloer code]]))</f>
        <v>6-5w P</v>
      </c>
      <c r="AJ110" s="114" t="str">
        <f>_xlfn.IFNA(VLOOKUP($AI110,Programma!$F$3:$G$1101,2,0),"")</f>
        <v>_</v>
      </c>
      <c r="AK110" s="114" t="str">
        <f>_xlfn.IFNA(VLOOKUP($AI110,Programma!$F$3:$H$1101,3,0),"")</f>
        <v>_</v>
      </c>
      <c r="AL110" s="114" t="str">
        <f>_xlfn.IFNA(VLOOKUP($AI110,Programma!$F$3:$I$1101,4,0),"")</f>
        <v>5w</v>
      </c>
      <c r="AM110" s="114" t="str">
        <f>_xlfn.IFNA(VLOOKUP($AI110,Programma!$F$3:$J$1101,5,0),"")</f>
        <v>_</v>
      </c>
      <c r="AN110" s="114" t="str">
        <f>_xlfn.IFNA(VLOOKUP($AI110,Programma!$F$3:$K$1101,6,0),"")</f>
        <v>5w</v>
      </c>
      <c r="AO110" s="114" t="str">
        <f>_xlfn.IFNA(VLOOKUP($AI110,Programma!$F$3:$L$1101,7,0),"")</f>
        <v>_</v>
      </c>
      <c r="AP110" s="114" t="str">
        <f>_xlfn.IFNA(VLOOKUP($AI110,Programma!$F$3:$M$1101,8,0),"")</f>
        <v>_</v>
      </c>
      <c r="AQ110" s="114" t="str">
        <f>_xlfn.IFNA(VLOOKUP($AI110,Programma!$F$3:$N$1101,9,0),"")</f>
        <v>_</v>
      </c>
      <c r="AR110" s="114" t="str">
        <f>_xlfn.IFNA(VLOOKUP($AI110,Programma!$F$3:$O$1101,10,0),"")</f>
        <v>5w</v>
      </c>
      <c r="AS110" s="114" t="str">
        <f>_xlfn.IFNA(VLOOKUP($AI110,Programma!$F$3:$P$1101,11,0),"")</f>
        <v>5w</v>
      </c>
      <c r="AT110" s="114" t="str">
        <f>_xlfn.IFNA(VLOOKUP($AI110,Programma!$F$3:$Q$1101,12,0),"")</f>
        <v>1w</v>
      </c>
      <c r="AU110" s="114" t="str">
        <f>_xlfn.IFNA(VLOOKUP($AI110,Programma!$F$3:$R$1101,13,0),"")</f>
        <v>1w</v>
      </c>
      <c r="AV110" s="114" t="str">
        <f>_xlfn.IFNA(VLOOKUP($AI110,Programma!$F$3:$S$1101,14,0),"")</f>
        <v>1m</v>
      </c>
      <c r="AW110" s="114" t="str">
        <f>_xlfn.IFNA(VLOOKUP($AI110,Programma!$F$3:$T$1101,15,0),"")</f>
        <v>2j</v>
      </c>
      <c r="AX110" s="114" t="str">
        <f>_xlfn.IFNA(VLOOKUP($AI110,Programma!$F$3:$U$1101,16,0),"")</f>
        <v>1j</v>
      </c>
      <c r="AY110" s="114" t="str">
        <f>_xlfn.IFNA(VLOOKUP($AI110,Programma!$F$3:$V$1101,17,0),"")</f>
        <v>_</v>
      </c>
      <c r="AZ110" s="114" t="str">
        <f>_xlfn.IFNA(VLOOKUP($AI110,Programma!$F$3:$W$1101,18,0),"")</f>
        <v>_</v>
      </c>
      <c r="BA110" s="114" t="str">
        <f>_xlfn.IFNA(VLOOKUP($AI110,Programma!$F$3:$X$1101,19,0),"")</f>
        <v>_</v>
      </c>
      <c r="BB110" s="114" t="str">
        <f>_xlfn.IFNA(VLOOKUP($AI110,Programma!$F$3:$Y$1101,20,0),"")</f>
        <v>_</v>
      </c>
      <c r="BC110" s="111"/>
      <c r="BD110" s="110" t="str">
        <f>IF(Ruimtestaat[[#This Row],[Frequentie weekend]]="","",_xlfn.CONCAT(Ruimtestaat[[#This Row],[Ruimte code]],"-",Ruimtestaat[[#This Row],[Frequentie weekend]]," ",Ruimtestaat[[#This Row],[Vloer code]]))</f>
        <v/>
      </c>
      <c r="BE110" s="114" t="str">
        <f>_xlfn.IFNA(VLOOKUP($BD110,Programma!$F$3:$G$1101,2,0),"")</f>
        <v/>
      </c>
      <c r="BF110" s="114" t="str">
        <f>_xlfn.IFNA(VLOOKUP($BD110,Programma!$F$3:$H$1101,3,0),"")</f>
        <v/>
      </c>
      <c r="BG110" s="114" t="str">
        <f>_xlfn.IFNA(VLOOKUP($BD110,Programma!$F$3:$I$1101,4,0),"")</f>
        <v/>
      </c>
      <c r="BH110" s="114" t="str">
        <f>_xlfn.IFNA(VLOOKUP($BD110,Programma!$F$3:$J$1101,5,0),"")</f>
        <v/>
      </c>
      <c r="BI110" s="114" t="str">
        <f>_xlfn.IFNA(VLOOKUP($BD110,Programma!$F$3:$K$1101,6,0),"")</f>
        <v/>
      </c>
      <c r="BJ110" s="114" t="str">
        <f>_xlfn.IFNA(VLOOKUP($BD110,Programma!$F$3:$L$1101,7,0),"")</f>
        <v/>
      </c>
      <c r="BK110" s="114" t="str">
        <f>_xlfn.IFNA(VLOOKUP($BD110,Programma!$F$3:$M$1101,8,0),"")</f>
        <v/>
      </c>
      <c r="BL110" s="114" t="str">
        <f>_xlfn.IFNA(VLOOKUP($BD110,Programma!$F$3:$N$1101,9,0),"")</f>
        <v/>
      </c>
      <c r="BM110" s="114" t="str">
        <f>_xlfn.IFNA(VLOOKUP($BD110,Programma!$F$3:$O$1101,10,0),"")</f>
        <v/>
      </c>
      <c r="BN110" s="114" t="str">
        <f>_xlfn.IFNA(VLOOKUP($BD110,Programma!$F$3:$P$1101,11,0),"")</f>
        <v/>
      </c>
      <c r="BO110" s="114" t="str">
        <f>_xlfn.IFNA(VLOOKUP($BD110,Programma!$F$3:$Q$1101,12,0),"")</f>
        <v/>
      </c>
      <c r="BP110" s="114" t="str">
        <f>_xlfn.IFNA(VLOOKUP($BD110,Programma!$F$3:$R$1101,13,0),"")</f>
        <v/>
      </c>
      <c r="BQ110" s="114" t="str">
        <f>_xlfn.IFNA(VLOOKUP($BD110,Programma!$F$3:$S$1101,14,0),"")</f>
        <v/>
      </c>
      <c r="BR110" s="114" t="str">
        <f>_xlfn.IFNA(VLOOKUP($BD110,Programma!$F$3:$T$1101,15,0),"")</f>
        <v/>
      </c>
      <c r="BS110" s="114" t="str">
        <f>_xlfn.IFNA(VLOOKUP($BD110,Programma!$F$3:$U$1101,16,0),"")</f>
        <v/>
      </c>
      <c r="BT110" s="114" t="str">
        <f>_xlfn.IFNA(VLOOKUP($BD110,Programma!$F$3:$V$1101,17,0),"")</f>
        <v/>
      </c>
      <c r="BU110" s="114" t="str">
        <f>_xlfn.IFNA(VLOOKUP($BD110,Programma!$F$3:$W$1101,18,0),"")</f>
        <v/>
      </c>
      <c r="BV110" s="114" t="str">
        <f>_xlfn.IFNA(VLOOKUP($BD110,Programma!$F$3:$X$1101,19,0),"")</f>
        <v/>
      </c>
      <c r="BW110" s="114" t="str">
        <f>_xlfn.IFNA(VLOOKUP($BD110,Programma!$F$3:$Y$1101,20,0),"")</f>
        <v/>
      </c>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c r="FP110" s="28"/>
      <c r="FQ110" s="28"/>
      <c r="FR110" s="28"/>
      <c r="FS110" s="28"/>
      <c r="FT110" s="28"/>
      <c r="FU110" s="28"/>
      <c r="FV110" s="28"/>
      <c r="FW110" s="28"/>
      <c r="FX110" s="28"/>
      <c r="FY110" s="28"/>
      <c r="FZ110" s="28"/>
      <c r="GA110" s="28"/>
      <c r="GB110" s="28"/>
      <c r="GC110" s="28"/>
      <c r="GD110" s="28"/>
      <c r="GE110" s="28"/>
      <c r="GF110" s="28"/>
      <c r="GG110" s="28"/>
      <c r="GH110" s="28"/>
      <c r="GI110" s="28"/>
      <c r="GJ110" s="28"/>
      <c r="GK110" s="28"/>
      <c r="GL110" s="28"/>
      <c r="GM110" s="28"/>
      <c r="GN110" s="28"/>
      <c r="GO110" s="28"/>
      <c r="GP110" s="28"/>
      <c r="GQ110" s="28"/>
      <c r="GR110" s="28"/>
      <c r="GS110" s="28"/>
      <c r="GT110" s="28"/>
      <c r="GU110" s="28"/>
      <c r="GV110" s="28"/>
      <c r="GW110" s="28"/>
      <c r="GX110" s="28"/>
      <c r="GY110" s="28"/>
      <c r="GZ110" s="28"/>
      <c r="HA110" s="28"/>
      <c r="HB110" s="28"/>
      <c r="HC110" s="28"/>
      <c r="HD110" s="28"/>
      <c r="HE110" s="28"/>
      <c r="HF110" s="28"/>
      <c r="HG110" s="28"/>
      <c r="HH110" s="28"/>
      <c r="HI110" s="28"/>
      <c r="HJ110" s="28"/>
      <c r="HK110" s="28"/>
      <c r="HL110" s="28"/>
    </row>
    <row r="111" spans="1:220" ht="15" customHeight="1">
      <c r="A111" s="31">
        <v>2</v>
      </c>
      <c r="B111" s="105" t="str">
        <f>VLOOKUP(Ruimtestaat[[#This Row],[Code]],Locaties[[Code]:[Locatie]],2,FALSE)</f>
        <v>IKC De Hoge Hoeve</v>
      </c>
      <c r="C111" s="105" t="str">
        <f>VLOOKUP(Ruimtestaat[[#This Row],[Code]],Locaties[[#All],[Code]:[Adres]],4,FALSE)</f>
        <v>De Hoge Hoeve 70</v>
      </c>
      <c r="D111" s="105" t="str">
        <f>VLOOKUP(Ruimtestaat[[#This Row],[Code]],Locaties[[#All],[Code]:[Postcode]],5,FALSE)</f>
        <v>6932 DJ</v>
      </c>
      <c r="E111" s="105" t="str">
        <f>VLOOKUP(Ruimtestaat[[#This Row],[Code]],Locaties[#All],6,FALSE)</f>
        <v>Westervoort</v>
      </c>
      <c r="F111" s="73"/>
      <c r="G111" s="73" t="s">
        <v>1645</v>
      </c>
      <c r="H111" s="271" t="s">
        <v>1718</v>
      </c>
      <c r="I111" s="273" t="s">
        <v>1748</v>
      </c>
      <c r="J111" s="31">
        <v>15</v>
      </c>
      <c r="K111" s="113" t="str">
        <f>VLOOKUP(Ruimtestaat[[#This Row],[Ruimte code]],Ruimtegroepen[[#All],[Code]:[Ruimte omschrijving]],2,FALSE)</f>
        <v>Keuken/pantry</v>
      </c>
      <c r="L111" s="73" t="s">
        <v>102</v>
      </c>
      <c r="M111" s="273" t="s">
        <v>120</v>
      </c>
      <c r="N111" s="106">
        <v>10</v>
      </c>
      <c r="O111" s="112"/>
      <c r="P111" s="73"/>
      <c r="Q111" s="107" t="str">
        <f>VLOOKUP(Ruimtestaat[[#This Row],[Ruimte code]],Ruimtegroepen[],4,FALSE)</f>
        <v>Ve</v>
      </c>
      <c r="R111" s="73">
        <v>40</v>
      </c>
      <c r="S111" s="73" t="s">
        <v>2</v>
      </c>
      <c r="T111" s="73">
        <f>IF(R111&gt;0,IF(RIGHT(Ruimtestaat[[#This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1" s="73">
        <f>IF(T111&gt;0,VLOOKUP($J111,Ruimtegroepen[],3,FALSE)*VLOOKUP($L111,Vloersoorten[],3,FALSE)*VLOOKUP($S111,Frequenties[],3,FALSE)*VLOOKUP($A111,Locaties[],3,FALSE),0)</f>
        <v>0</v>
      </c>
      <c r="V111" s="73">
        <f>Ruimtestaat[[#This Row],[Uitvoeringen werkdagen]]*Ruimtestaat[[#This Row],[Oppervlak (netto)]]</f>
        <v>2000</v>
      </c>
      <c r="W111" s="108">
        <f>IF(U111&gt;0,Ruimtestaat[[#This Row],[Prest. (m2 /jaar) werkdagen]]/Ruimtestaat[[#This Row],[Norm (m2/uur) werkdagen]],0)</f>
        <v>0</v>
      </c>
      <c r="X111" s="109">
        <f>Ruimtestaat[[#This Row],[uren / jaar werkdagen]]*Tariefsopbouw!$E$35</f>
        <v>0</v>
      </c>
      <c r="Y111" s="73"/>
      <c r="Z111" s="73">
        <f>IF(Ruimtestaat[[#This Row],[Frequentie weekend]]&gt;0,VALUE(LEFT(Y111,1))*R111,0)</f>
        <v>0</v>
      </c>
      <c r="AA111" s="72">
        <f>IF($Z111&gt;0,VLOOKUP($J111,Ruimtegroepen[],3,FALSE)*VLOOKUP($L111,Vloersoorten[],3,FALSE)*VLOOKUP($Y111,Frequenties[],3,FALSE)*VLOOKUP(Ruimtestaat[[#This Row],[Code]],Locaties[],3,FALSE),0)</f>
        <v>0</v>
      </c>
      <c r="AB111" s="72">
        <f>Ruimtestaat[[#This Row],[Uitvoeringen weekend]]*Ruimtestaat[[#This Row],[Oppervlak (netto)]]</f>
        <v>0</v>
      </c>
      <c r="AC111" s="72">
        <f>IF(AA111&gt;0,Ruimtestaat[[#This Row],[Prest. (m2 /jaar) weekend]]/Ruimtestaat[[#This Row],[Norm (m2/uur) weekend]],0)</f>
        <v>0</v>
      </c>
      <c r="AD111" s="109">
        <f>Ruimtestaat[[#This Row],[uren / jaar weekend]]*Tariefsopbouw!$D$40</f>
        <v>0</v>
      </c>
      <c r="AE111" s="108">
        <f>Ruimtestaat[[#This Row],[Prest. (m2 /jaar) weekend]]+Ruimtestaat[[#This Row],[Prest. (m2 /jaar) werkdagen]]</f>
        <v>2000</v>
      </c>
      <c r="AF111" s="108">
        <f>Ruimtestaat[[#This Row],[uren / jaar weekend]]+Ruimtestaat[[#This Row],[uren / jaar werkdagen]]</f>
        <v>0</v>
      </c>
      <c r="AG111" s="103">
        <f>Ruimtestaat[[#This Row],[kosten / jaar weekend]]+Ruimtestaat[[#This Row],[kosten / jaar werkdagen]]</f>
        <v>0</v>
      </c>
      <c r="AH111" s="103"/>
      <c r="AI111" s="110" t="str">
        <f>IF(Ruimtestaat[[#This Row],[Frequentie werkdagen]]="","",_xlfn.CONCAT(Ruimtestaat[[#This Row],[Ruimte code]],"-",Ruimtestaat[[#This Row],[Frequentie werkdagen]]," ",Ruimtestaat[[#This Row],[Vloer code]]))</f>
        <v>15-5w P</v>
      </c>
      <c r="AJ111" s="114" t="str">
        <f>_xlfn.IFNA(VLOOKUP($AI111,Programma!$F$3:$G$1101,2,0),"")</f>
        <v>_</v>
      </c>
      <c r="AK111" s="114" t="str">
        <f>_xlfn.IFNA(VLOOKUP($AI111,Programma!$F$3:$H$1101,3,0),"")</f>
        <v>_</v>
      </c>
      <c r="AL111" s="114" t="str">
        <f>_xlfn.IFNA(VLOOKUP($AI111,Programma!$F$3:$I$1101,4,0),"")</f>
        <v>5w</v>
      </c>
      <c r="AM111" s="114" t="str">
        <f>_xlfn.IFNA(VLOOKUP($AI111,Programma!$F$3:$J$1101,5,0),"")</f>
        <v>_</v>
      </c>
      <c r="AN111" s="114" t="str">
        <f>_xlfn.IFNA(VLOOKUP($AI111,Programma!$F$3:$K$1101,6,0),"")</f>
        <v>5w</v>
      </c>
      <c r="AO111" s="114" t="str">
        <f>_xlfn.IFNA(VLOOKUP($AI111,Programma!$F$3:$L$1101,7,0),"")</f>
        <v>_</v>
      </c>
      <c r="AP111" s="114" t="str">
        <f>_xlfn.IFNA(VLOOKUP($AI111,Programma!$F$3:$M$1101,8,0),"")</f>
        <v>_</v>
      </c>
      <c r="AQ111" s="114" t="str">
        <f>_xlfn.IFNA(VLOOKUP($AI111,Programma!$F$3:$N$1101,9,0),"")</f>
        <v>_</v>
      </c>
      <c r="AR111" s="114" t="str">
        <f>_xlfn.IFNA(VLOOKUP($AI111,Programma!$F$3:$O$1101,10,0),"")</f>
        <v>5w</v>
      </c>
      <c r="AS111" s="114" t="str">
        <f>_xlfn.IFNA(VLOOKUP($AI111,Programma!$F$3:$P$1101,11,0),"")</f>
        <v>5w</v>
      </c>
      <c r="AT111" s="114" t="str">
        <f>_xlfn.IFNA(VLOOKUP($AI111,Programma!$F$3:$Q$1101,12,0),"")</f>
        <v>1w</v>
      </c>
      <c r="AU111" s="114" t="str">
        <f>_xlfn.IFNA(VLOOKUP($AI111,Programma!$F$3:$R$1101,13,0),"")</f>
        <v>1w</v>
      </c>
      <c r="AV111" s="114" t="str">
        <f>_xlfn.IFNA(VLOOKUP($AI111,Programma!$F$3:$S$1101,14,0),"")</f>
        <v>1m</v>
      </c>
      <c r="AW111" s="114" t="str">
        <f>_xlfn.IFNA(VLOOKUP($AI111,Programma!$F$3:$T$1101,15,0),"")</f>
        <v>2j</v>
      </c>
      <c r="AX111" s="114" t="str">
        <f>_xlfn.IFNA(VLOOKUP($AI111,Programma!$F$3:$U$1101,16,0),"")</f>
        <v>1j</v>
      </c>
      <c r="AY111" s="114" t="str">
        <f>_xlfn.IFNA(VLOOKUP($AI111,Programma!$F$3:$V$1101,17,0),"")</f>
        <v>_</v>
      </c>
      <c r="AZ111" s="114" t="str">
        <f>_xlfn.IFNA(VLOOKUP($AI111,Programma!$F$3:$W$1101,18,0),"")</f>
        <v>_</v>
      </c>
      <c r="BA111" s="114" t="str">
        <f>_xlfn.IFNA(VLOOKUP($AI111,Programma!$F$3:$X$1101,19,0),"")</f>
        <v>_</v>
      </c>
      <c r="BB111" s="114" t="str">
        <f>_xlfn.IFNA(VLOOKUP($AI111,Programma!$F$3:$Y$1101,20,0),"")</f>
        <v>_</v>
      </c>
      <c r="BC111" s="111"/>
      <c r="BD111" s="110" t="str">
        <f>IF(Ruimtestaat[[#This Row],[Frequentie weekend]]="","",_xlfn.CONCAT(Ruimtestaat[[#This Row],[Ruimte code]],"-",Ruimtestaat[[#This Row],[Frequentie weekend]]," ",Ruimtestaat[[#This Row],[Vloer code]]))</f>
        <v/>
      </c>
      <c r="BE111" s="114" t="str">
        <f>_xlfn.IFNA(VLOOKUP($BD111,Programma!$F$3:$G$1101,2,0),"")</f>
        <v/>
      </c>
      <c r="BF111" s="114" t="str">
        <f>_xlfn.IFNA(VLOOKUP($BD111,Programma!$F$3:$H$1101,3,0),"")</f>
        <v/>
      </c>
      <c r="BG111" s="114" t="str">
        <f>_xlfn.IFNA(VLOOKUP($BD111,Programma!$F$3:$I$1101,4,0),"")</f>
        <v/>
      </c>
      <c r="BH111" s="114" t="str">
        <f>_xlfn.IFNA(VLOOKUP($BD111,Programma!$F$3:$J$1101,5,0),"")</f>
        <v/>
      </c>
      <c r="BI111" s="114" t="str">
        <f>_xlfn.IFNA(VLOOKUP($BD111,Programma!$F$3:$K$1101,6,0),"")</f>
        <v/>
      </c>
      <c r="BJ111" s="114" t="str">
        <f>_xlfn.IFNA(VLOOKUP($BD111,Programma!$F$3:$L$1101,7,0),"")</f>
        <v/>
      </c>
      <c r="BK111" s="114" t="str">
        <f>_xlfn.IFNA(VLOOKUP($BD111,Programma!$F$3:$M$1101,8,0),"")</f>
        <v/>
      </c>
      <c r="BL111" s="114" t="str">
        <f>_xlfn.IFNA(VLOOKUP($BD111,Programma!$F$3:$N$1101,9,0),"")</f>
        <v/>
      </c>
      <c r="BM111" s="114" t="str">
        <f>_xlfn.IFNA(VLOOKUP($BD111,Programma!$F$3:$O$1101,10,0),"")</f>
        <v/>
      </c>
      <c r="BN111" s="114" t="str">
        <f>_xlfn.IFNA(VLOOKUP($BD111,Programma!$F$3:$P$1101,11,0),"")</f>
        <v/>
      </c>
      <c r="BO111" s="114" t="str">
        <f>_xlfn.IFNA(VLOOKUP($BD111,Programma!$F$3:$Q$1101,12,0),"")</f>
        <v/>
      </c>
      <c r="BP111" s="114" t="str">
        <f>_xlfn.IFNA(VLOOKUP($BD111,Programma!$F$3:$R$1101,13,0),"")</f>
        <v/>
      </c>
      <c r="BQ111" s="114" t="str">
        <f>_xlfn.IFNA(VLOOKUP($BD111,Programma!$F$3:$S$1101,14,0),"")</f>
        <v/>
      </c>
      <c r="BR111" s="114" t="str">
        <f>_xlfn.IFNA(VLOOKUP($BD111,Programma!$F$3:$T$1101,15,0),"")</f>
        <v/>
      </c>
      <c r="BS111" s="114" t="str">
        <f>_xlfn.IFNA(VLOOKUP($BD111,Programma!$F$3:$U$1101,16,0),"")</f>
        <v/>
      </c>
      <c r="BT111" s="114" t="str">
        <f>_xlfn.IFNA(VLOOKUP($BD111,Programma!$F$3:$V$1101,17,0),"")</f>
        <v/>
      </c>
      <c r="BU111" s="114" t="str">
        <f>_xlfn.IFNA(VLOOKUP($BD111,Programma!$F$3:$W$1101,18,0),"")</f>
        <v/>
      </c>
      <c r="BV111" s="114" t="str">
        <f>_xlfn.IFNA(VLOOKUP($BD111,Programma!$F$3:$X$1101,19,0),"")</f>
        <v/>
      </c>
      <c r="BW111" s="114" t="str">
        <f>_xlfn.IFNA(VLOOKUP($BD111,Programma!$F$3:$Y$1101,20,0),"")</f>
        <v/>
      </c>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c r="GF111" s="28"/>
      <c r="GG111" s="28"/>
      <c r="GH111" s="28"/>
      <c r="GI111" s="28"/>
      <c r="GJ111" s="28"/>
      <c r="GK111" s="28"/>
      <c r="GL111" s="28"/>
      <c r="GM111" s="28"/>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c r="HL111" s="28"/>
    </row>
    <row r="112" spans="1:220" ht="15" customHeight="1">
      <c r="A112" s="31">
        <v>2</v>
      </c>
      <c r="B112" s="105" t="str">
        <f>VLOOKUP(Ruimtestaat[[#This Row],[Code]],Locaties[[Code]:[Locatie]],2,FALSE)</f>
        <v>IKC De Hoge Hoeve</v>
      </c>
      <c r="C112" s="105" t="str">
        <f>VLOOKUP(Ruimtestaat[[#This Row],[Code]],Locaties[[#All],[Code]:[Adres]],4,FALSE)</f>
        <v>De Hoge Hoeve 70</v>
      </c>
      <c r="D112" s="105" t="str">
        <f>VLOOKUP(Ruimtestaat[[#This Row],[Code]],Locaties[[#All],[Code]:[Postcode]],5,FALSE)</f>
        <v>6932 DJ</v>
      </c>
      <c r="E112" s="105" t="str">
        <f>VLOOKUP(Ruimtestaat[[#This Row],[Code]],Locaties[#All],6,FALSE)</f>
        <v>Westervoort</v>
      </c>
      <c r="F112" s="73"/>
      <c r="G112" s="73" t="s">
        <v>1645</v>
      </c>
      <c r="H112" s="271" t="s">
        <v>1719</v>
      </c>
      <c r="I112" s="273" t="s">
        <v>1749</v>
      </c>
      <c r="J112" s="31">
        <v>20</v>
      </c>
      <c r="K112" s="113" t="str">
        <f>VLOOKUP(Ruimtestaat[[#This Row],[Ruimte code]],Ruimtegroepen[[#All],[Code]:[Ruimte omschrijving]],2,FALSE)</f>
        <v>Niet in Onderhoud</v>
      </c>
      <c r="L112" s="73"/>
      <c r="M112" s="273"/>
      <c r="N112" s="106"/>
      <c r="O112" s="112">
        <v>116</v>
      </c>
      <c r="P112" s="112"/>
      <c r="Q112" s="107">
        <f>VLOOKUP(Ruimtestaat[[#This Row],[Ruimte code]],Ruimtegroepen[],4,FALSE)</f>
        <v>0</v>
      </c>
      <c r="R112" s="73"/>
      <c r="S112" s="73"/>
      <c r="T112" s="73">
        <f>IF(R112&gt;0,IF(RIGHT(Ruimtestaat[[#This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2" s="73">
        <f>IF(T112&gt;0,VLOOKUP($J112,Ruimtegroepen[],3,FALSE)*VLOOKUP($L112,Vloersoorten[],3,FALSE)*VLOOKUP($S112,Frequenties[],3,FALSE)*VLOOKUP($A112,Locaties[],3,FALSE),0)</f>
        <v>0</v>
      </c>
      <c r="V112" s="73">
        <f>Ruimtestaat[[#This Row],[Uitvoeringen werkdagen]]*Ruimtestaat[[#This Row],[Oppervlak (netto)]]</f>
        <v>0</v>
      </c>
      <c r="W112" s="108">
        <f>IF(U112&gt;0,Ruimtestaat[[#This Row],[Prest. (m2 /jaar) werkdagen]]/Ruimtestaat[[#This Row],[Norm (m2/uur) werkdagen]],0)</f>
        <v>0</v>
      </c>
      <c r="X112" s="109">
        <f>Ruimtestaat[[#This Row],[uren / jaar werkdagen]]*Tariefsopbouw!$E$35</f>
        <v>0</v>
      </c>
      <c r="Y112" s="73"/>
      <c r="Z112" s="73">
        <f>IF(Ruimtestaat[[#This Row],[Frequentie weekend]]&gt;0,VALUE(LEFT(Y112,1))*R112,0)</f>
        <v>0</v>
      </c>
      <c r="AA112" s="72">
        <f>IF($Z112&gt;0,VLOOKUP($J112,Ruimtegroepen[],3,FALSE)*VLOOKUP($L112,Vloersoorten[],3,FALSE)*VLOOKUP($Y112,Frequenties[],3,FALSE)*VLOOKUP(Ruimtestaat[[#This Row],[Code]],Locaties[],3,FALSE),0)</f>
        <v>0</v>
      </c>
      <c r="AB112" s="72">
        <f>Ruimtestaat[[#This Row],[Uitvoeringen weekend]]*Ruimtestaat[[#This Row],[Oppervlak (netto)]]</f>
        <v>0</v>
      </c>
      <c r="AC112" s="72">
        <f>IF(AA112&gt;0,Ruimtestaat[[#This Row],[Prest. (m2 /jaar) weekend]]/Ruimtestaat[[#This Row],[Norm (m2/uur) weekend]],0)</f>
        <v>0</v>
      </c>
      <c r="AD112" s="109">
        <f>Ruimtestaat[[#This Row],[uren / jaar weekend]]*Tariefsopbouw!$D$40</f>
        <v>0</v>
      </c>
      <c r="AE112" s="108">
        <f>Ruimtestaat[[#This Row],[Prest. (m2 /jaar) weekend]]+Ruimtestaat[[#This Row],[Prest. (m2 /jaar) werkdagen]]</f>
        <v>0</v>
      </c>
      <c r="AF112" s="108">
        <f>Ruimtestaat[[#This Row],[uren / jaar weekend]]+Ruimtestaat[[#This Row],[uren / jaar werkdagen]]</f>
        <v>0</v>
      </c>
      <c r="AG112" s="103">
        <f>Ruimtestaat[[#This Row],[kosten / jaar weekend]]+Ruimtestaat[[#This Row],[kosten / jaar werkdagen]]</f>
        <v>0</v>
      </c>
      <c r="AH112" s="103"/>
      <c r="AI112" s="110" t="str">
        <f>IF(Ruimtestaat[[#This Row],[Frequentie werkdagen]]="","",_xlfn.CONCAT(Ruimtestaat[[#This Row],[Ruimte code]],"-",Ruimtestaat[[#This Row],[Frequentie werkdagen]]," ",Ruimtestaat[[#This Row],[Vloer code]]))</f>
        <v/>
      </c>
      <c r="AJ112" s="114" t="str">
        <f>_xlfn.IFNA(VLOOKUP($AI112,Programma!$F$3:$G$1101,2,0),"")</f>
        <v/>
      </c>
      <c r="AK112" s="114" t="str">
        <f>_xlfn.IFNA(VLOOKUP($AI112,Programma!$F$3:$H$1101,3,0),"")</f>
        <v/>
      </c>
      <c r="AL112" s="114" t="str">
        <f>_xlfn.IFNA(VLOOKUP($AI112,Programma!$F$3:$I$1101,4,0),"")</f>
        <v/>
      </c>
      <c r="AM112" s="114" t="str">
        <f>_xlfn.IFNA(VLOOKUP($AI112,Programma!$F$3:$J$1101,5,0),"")</f>
        <v/>
      </c>
      <c r="AN112" s="114" t="str">
        <f>_xlfn.IFNA(VLOOKUP($AI112,Programma!$F$3:$K$1101,6,0),"")</f>
        <v/>
      </c>
      <c r="AO112" s="114" t="str">
        <f>_xlfn.IFNA(VLOOKUP($AI112,Programma!$F$3:$L$1101,7,0),"")</f>
        <v/>
      </c>
      <c r="AP112" s="114" t="str">
        <f>_xlfn.IFNA(VLOOKUP($AI112,Programma!$F$3:$M$1101,8,0),"")</f>
        <v/>
      </c>
      <c r="AQ112" s="114" t="str">
        <f>_xlfn.IFNA(VLOOKUP($AI112,Programma!$F$3:$N$1101,9,0),"")</f>
        <v/>
      </c>
      <c r="AR112" s="114" t="str">
        <f>_xlfn.IFNA(VLOOKUP($AI112,Programma!$F$3:$O$1101,10,0),"")</f>
        <v/>
      </c>
      <c r="AS112" s="114" t="str">
        <f>_xlfn.IFNA(VLOOKUP($AI112,Programma!$F$3:$P$1101,11,0),"")</f>
        <v/>
      </c>
      <c r="AT112" s="114" t="str">
        <f>_xlfn.IFNA(VLOOKUP($AI112,Programma!$F$3:$Q$1101,12,0),"")</f>
        <v/>
      </c>
      <c r="AU112" s="114" t="str">
        <f>_xlfn.IFNA(VLOOKUP($AI112,Programma!$F$3:$R$1101,13,0),"")</f>
        <v/>
      </c>
      <c r="AV112" s="114" t="str">
        <f>_xlfn.IFNA(VLOOKUP($AI112,Programma!$F$3:$S$1101,14,0),"")</f>
        <v/>
      </c>
      <c r="AW112" s="114" t="str">
        <f>_xlfn.IFNA(VLOOKUP($AI112,Programma!$F$3:$T$1101,15,0),"")</f>
        <v/>
      </c>
      <c r="AX112" s="114" t="str">
        <f>_xlfn.IFNA(VLOOKUP($AI112,Programma!$F$3:$U$1101,16,0),"")</f>
        <v/>
      </c>
      <c r="AY112" s="114" t="str">
        <f>_xlfn.IFNA(VLOOKUP($AI112,Programma!$F$3:$V$1101,17,0),"")</f>
        <v/>
      </c>
      <c r="AZ112" s="114" t="str">
        <f>_xlfn.IFNA(VLOOKUP($AI112,Programma!$F$3:$W$1101,18,0),"")</f>
        <v/>
      </c>
      <c r="BA112" s="114" t="str">
        <f>_xlfn.IFNA(VLOOKUP($AI112,Programma!$F$3:$X$1101,19,0),"")</f>
        <v/>
      </c>
      <c r="BB112" s="114" t="str">
        <f>_xlfn.IFNA(VLOOKUP($AI112,Programma!$F$3:$Y$1101,20,0),"")</f>
        <v/>
      </c>
      <c r="BC112" s="111"/>
      <c r="BD112" s="110" t="str">
        <f>IF(Ruimtestaat[[#This Row],[Frequentie weekend]]="","",_xlfn.CONCAT(Ruimtestaat[[#This Row],[Ruimte code]],"-",Ruimtestaat[[#This Row],[Frequentie weekend]]," ",Ruimtestaat[[#This Row],[Vloer code]]))</f>
        <v/>
      </c>
      <c r="BE112" s="114" t="str">
        <f>_xlfn.IFNA(VLOOKUP($BD112,Programma!$F$3:$G$1101,2,0),"")</f>
        <v/>
      </c>
      <c r="BF112" s="114" t="str">
        <f>_xlfn.IFNA(VLOOKUP($BD112,Programma!$F$3:$H$1101,3,0),"")</f>
        <v/>
      </c>
      <c r="BG112" s="114" t="str">
        <f>_xlfn.IFNA(VLOOKUP($BD112,Programma!$F$3:$I$1101,4,0),"")</f>
        <v/>
      </c>
      <c r="BH112" s="114" t="str">
        <f>_xlfn.IFNA(VLOOKUP($BD112,Programma!$F$3:$J$1101,5,0),"")</f>
        <v/>
      </c>
      <c r="BI112" s="114" t="str">
        <f>_xlfn.IFNA(VLOOKUP($BD112,Programma!$F$3:$K$1101,6,0),"")</f>
        <v/>
      </c>
      <c r="BJ112" s="114" t="str">
        <f>_xlfn.IFNA(VLOOKUP($BD112,Programma!$F$3:$L$1101,7,0),"")</f>
        <v/>
      </c>
      <c r="BK112" s="114" t="str">
        <f>_xlfn.IFNA(VLOOKUP($BD112,Programma!$F$3:$M$1101,8,0),"")</f>
        <v/>
      </c>
      <c r="BL112" s="114" t="str">
        <f>_xlfn.IFNA(VLOOKUP($BD112,Programma!$F$3:$N$1101,9,0),"")</f>
        <v/>
      </c>
      <c r="BM112" s="114" t="str">
        <f>_xlfn.IFNA(VLOOKUP($BD112,Programma!$F$3:$O$1101,10,0),"")</f>
        <v/>
      </c>
      <c r="BN112" s="114" t="str">
        <f>_xlfn.IFNA(VLOOKUP($BD112,Programma!$F$3:$P$1101,11,0),"")</f>
        <v/>
      </c>
      <c r="BO112" s="114" t="str">
        <f>_xlfn.IFNA(VLOOKUP($BD112,Programma!$F$3:$Q$1101,12,0),"")</f>
        <v/>
      </c>
      <c r="BP112" s="114" t="str">
        <f>_xlfn.IFNA(VLOOKUP($BD112,Programma!$F$3:$R$1101,13,0),"")</f>
        <v/>
      </c>
      <c r="BQ112" s="114" t="str">
        <f>_xlfn.IFNA(VLOOKUP($BD112,Programma!$F$3:$S$1101,14,0),"")</f>
        <v/>
      </c>
      <c r="BR112" s="114" t="str">
        <f>_xlfn.IFNA(VLOOKUP($BD112,Programma!$F$3:$T$1101,15,0),"")</f>
        <v/>
      </c>
      <c r="BS112" s="114" t="str">
        <f>_xlfn.IFNA(VLOOKUP($BD112,Programma!$F$3:$U$1101,16,0),"")</f>
        <v/>
      </c>
      <c r="BT112" s="114" t="str">
        <f>_xlfn.IFNA(VLOOKUP($BD112,Programma!$F$3:$V$1101,17,0),"")</f>
        <v/>
      </c>
      <c r="BU112" s="114" t="str">
        <f>_xlfn.IFNA(VLOOKUP($BD112,Programma!$F$3:$W$1101,18,0),"")</f>
        <v/>
      </c>
      <c r="BV112" s="114" t="str">
        <f>_xlfn.IFNA(VLOOKUP($BD112,Programma!$F$3:$X$1101,19,0),"")</f>
        <v/>
      </c>
      <c r="BW112" s="114" t="str">
        <f>_xlfn.IFNA(VLOOKUP($BD112,Programma!$F$3:$Y$1101,20,0),"")</f>
        <v/>
      </c>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c r="FJ112" s="28"/>
      <c r="FK112" s="28"/>
      <c r="FL112" s="28"/>
      <c r="FM112" s="28"/>
      <c r="FN112" s="28"/>
      <c r="FO112" s="28"/>
      <c r="FP112" s="28"/>
      <c r="FQ112" s="28"/>
      <c r="FR112" s="28"/>
      <c r="FS112" s="28"/>
      <c r="FT112" s="28"/>
      <c r="FU112" s="28"/>
      <c r="FV112" s="28"/>
      <c r="FW112" s="28"/>
      <c r="FX112" s="28"/>
      <c r="FY112" s="28"/>
      <c r="FZ112" s="28"/>
      <c r="GA112" s="28"/>
      <c r="GB112" s="28"/>
      <c r="GC112" s="28"/>
      <c r="GD112" s="28"/>
      <c r="GE112" s="28"/>
      <c r="GF112" s="28"/>
      <c r="GG112" s="28"/>
      <c r="GH112" s="28"/>
      <c r="GI112" s="28"/>
      <c r="GJ112" s="28"/>
      <c r="GK112" s="28"/>
      <c r="GL112" s="28"/>
      <c r="GM112" s="28"/>
      <c r="GN112" s="28"/>
      <c r="GO112" s="28"/>
      <c r="GP112" s="28"/>
      <c r="GQ112" s="28"/>
      <c r="GR112" s="28"/>
      <c r="GS112" s="28"/>
      <c r="GT112" s="28"/>
      <c r="GU112" s="28"/>
      <c r="GV112" s="28"/>
      <c r="GW112" s="28"/>
      <c r="GX112" s="28"/>
      <c r="GY112" s="28"/>
      <c r="GZ112" s="28"/>
      <c r="HA112" s="28"/>
      <c r="HB112" s="28"/>
      <c r="HC112" s="28"/>
      <c r="HD112" s="28"/>
      <c r="HE112" s="28"/>
      <c r="HF112" s="28"/>
      <c r="HG112" s="28"/>
      <c r="HH112" s="28"/>
      <c r="HI112" s="28"/>
      <c r="HJ112" s="28"/>
      <c r="HK112" s="28"/>
      <c r="HL112" s="28"/>
    </row>
    <row r="113" spans="1:220" ht="15" customHeight="1">
      <c r="A113" s="31">
        <v>2</v>
      </c>
      <c r="B113" s="105" t="str">
        <f>VLOOKUP(Ruimtestaat[[#This Row],[Code]],Locaties[[Code]:[Locatie]],2,FALSE)</f>
        <v>IKC De Hoge Hoeve</v>
      </c>
      <c r="C113" s="105" t="str">
        <f>VLOOKUP(Ruimtestaat[[#This Row],[Code]],Locaties[[#All],[Code]:[Adres]],4,FALSE)</f>
        <v>De Hoge Hoeve 70</v>
      </c>
      <c r="D113" s="105" t="str">
        <f>VLOOKUP(Ruimtestaat[[#This Row],[Code]],Locaties[[#All],[Code]:[Postcode]],5,FALSE)</f>
        <v>6932 DJ</v>
      </c>
      <c r="E113" s="105" t="str">
        <f>VLOOKUP(Ruimtestaat[[#This Row],[Code]],Locaties[#All],6,FALSE)</f>
        <v>Westervoort</v>
      </c>
      <c r="F113" s="73"/>
      <c r="G113" s="73" t="s">
        <v>1645</v>
      </c>
      <c r="H113" s="271" t="s">
        <v>1763</v>
      </c>
      <c r="I113" s="273" t="s">
        <v>1750</v>
      </c>
      <c r="J113" s="31">
        <v>7</v>
      </c>
      <c r="K113" s="113" t="str">
        <f>VLOOKUP(Ruimtestaat[[#This Row],[Ruimte code]],Ruimtegroepen[[#All],[Code]:[Ruimte omschrijving]],2,FALSE)</f>
        <v>Entree</v>
      </c>
      <c r="L113" s="73" t="s">
        <v>99</v>
      </c>
      <c r="M113" s="273" t="s">
        <v>1978</v>
      </c>
      <c r="N113" s="106">
        <v>4</v>
      </c>
      <c r="O113" s="112"/>
      <c r="P113" s="112"/>
      <c r="Q113" s="107" t="str">
        <f>VLOOKUP(Ruimtestaat[[#This Row],[Ruimte code]],Ruimtegroepen[],4,FALSE)</f>
        <v>Ve</v>
      </c>
      <c r="R113" s="73">
        <v>40</v>
      </c>
      <c r="S113" s="73" t="s">
        <v>2</v>
      </c>
      <c r="T113" s="73">
        <f>IF(R113&gt;0,IF(RIGHT(Ruimtestaat[[#This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3" s="73">
        <f>IF(T113&gt;0,VLOOKUP($J113,Ruimtegroepen[],3,FALSE)*VLOOKUP($L113,Vloersoorten[],3,FALSE)*VLOOKUP($S113,Frequenties[],3,FALSE)*VLOOKUP($A113,Locaties[],3,FALSE),0)</f>
        <v>0</v>
      </c>
      <c r="V113" s="73">
        <f>Ruimtestaat[[#This Row],[Uitvoeringen werkdagen]]*Ruimtestaat[[#This Row],[Oppervlak (netto)]]</f>
        <v>800</v>
      </c>
      <c r="W113" s="108">
        <f>IF(U113&gt;0,Ruimtestaat[[#This Row],[Prest. (m2 /jaar) werkdagen]]/Ruimtestaat[[#This Row],[Norm (m2/uur) werkdagen]],0)</f>
        <v>0</v>
      </c>
      <c r="X113" s="109">
        <f>Ruimtestaat[[#This Row],[uren / jaar werkdagen]]*Tariefsopbouw!$E$35</f>
        <v>0</v>
      </c>
      <c r="Y113" s="73"/>
      <c r="Z113" s="73">
        <f>IF(Ruimtestaat[[#This Row],[Frequentie weekend]]&gt;0,VALUE(LEFT(Y113,1))*R113,0)</f>
        <v>0</v>
      </c>
      <c r="AA113" s="72">
        <f>IF($Z113&gt;0,VLOOKUP($J113,Ruimtegroepen[],3,FALSE)*VLOOKUP($L113,Vloersoorten[],3,FALSE)*VLOOKUP($Y113,Frequenties[],3,FALSE)*VLOOKUP(Ruimtestaat[[#This Row],[Code]],Locaties[],3,FALSE),0)</f>
        <v>0</v>
      </c>
      <c r="AB113" s="72">
        <f>Ruimtestaat[[#This Row],[Uitvoeringen weekend]]*Ruimtestaat[[#This Row],[Oppervlak (netto)]]</f>
        <v>0</v>
      </c>
      <c r="AC113" s="72">
        <f>IF(AA113&gt;0,Ruimtestaat[[#This Row],[Prest. (m2 /jaar) weekend]]/Ruimtestaat[[#This Row],[Norm (m2/uur) weekend]],0)</f>
        <v>0</v>
      </c>
      <c r="AD113" s="109">
        <f>Ruimtestaat[[#This Row],[uren / jaar weekend]]*Tariefsopbouw!$D$40</f>
        <v>0</v>
      </c>
      <c r="AE113" s="108">
        <f>Ruimtestaat[[#This Row],[Prest. (m2 /jaar) weekend]]+Ruimtestaat[[#This Row],[Prest. (m2 /jaar) werkdagen]]</f>
        <v>800</v>
      </c>
      <c r="AF113" s="108">
        <f>Ruimtestaat[[#This Row],[uren / jaar weekend]]+Ruimtestaat[[#This Row],[uren / jaar werkdagen]]</f>
        <v>0</v>
      </c>
      <c r="AG113" s="103">
        <f>Ruimtestaat[[#This Row],[kosten / jaar weekend]]+Ruimtestaat[[#This Row],[kosten / jaar werkdagen]]</f>
        <v>0</v>
      </c>
      <c r="AH113" s="103"/>
      <c r="AI113" s="110" t="str">
        <f>IF(Ruimtestaat[[#This Row],[Frequentie werkdagen]]="","",_xlfn.CONCAT(Ruimtestaat[[#This Row],[Ruimte code]],"-",Ruimtestaat[[#This Row],[Frequentie werkdagen]]," ",Ruimtestaat[[#This Row],[Vloer code]]))</f>
        <v>7-5w T</v>
      </c>
      <c r="AJ113" s="114" t="str">
        <f>_xlfn.IFNA(VLOOKUP($AI113,Programma!$F$3:$G$1101,2,0),"")</f>
        <v>_</v>
      </c>
      <c r="AK113" s="114" t="str">
        <f>_xlfn.IFNA(VLOOKUP($AI113,Programma!$F$3:$H$1101,3,0),"")</f>
        <v>5w</v>
      </c>
      <c r="AL113" s="114" t="str">
        <f>_xlfn.IFNA(VLOOKUP($AI113,Programma!$F$3:$I$1101,4,0),"")</f>
        <v>_</v>
      </c>
      <c r="AM113" s="114" t="str">
        <f>_xlfn.IFNA(VLOOKUP($AI113,Programma!$F$3:$J$1101,5,0),"")</f>
        <v>_</v>
      </c>
      <c r="AN113" s="114" t="str">
        <f>_xlfn.IFNA(VLOOKUP($AI113,Programma!$F$3:$K$1101,6,0),"")</f>
        <v>_</v>
      </c>
      <c r="AO113" s="114" t="str">
        <f>_xlfn.IFNA(VLOOKUP($AI113,Programma!$F$3:$L$1101,7,0),"")</f>
        <v>_</v>
      </c>
      <c r="AP113" s="114" t="str">
        <f>_xlfn.IFNA(VLOOKUP($AI113,Programma!$F$3:$M$1101,8,0),"")</f>
        <v>_</v>
      </c>
      <c r="AQ113" s="114" t="str">
        <f>_xlfn.IFNA(VLOOKUP($AI113,Programma!$F$3:$N$1101,9,0),"")</f>
        <v>_</v>
      </c>
      <c r="AR113" s="114" t="str">
        <f>_xlfn.IFNA(VLOOKUP($AI113,Programma!$F$3:$O$1101,10,0),"")</f>
        <v>5w</v>
      </c>
      <c r="AS113" s="114" t="str">
        <f>_xlfn.IFNA(VLOOKUP($AI113,Programma!$F$3:$P$1101,11,0),"")</f>
        <v>5w</v>
      </c>
      <c r="AT113" s="114" t="str">
        <f>_xlfn.IFNA(VLOOKUP($AI113,Programma!$F$3:$Q$1101,12,0),"")</f>
        <v>1w</v>
      </c>
      <c r="AU113" s="114" t="str">
        <f>_xlfn.IFNA(VLOOKUP($AI113,Programma!$F$3:$R$1101,13,0),"")</f>
        <v>1w</v>
      </c>
      <c r="AV113" s="114" t="str">
        <f>_xlfn.IFNA(VLOOKUP($AI113,Programma!$F$3:$S$1101,14,0),"")</f>
        <v>1m</v>
      </c>
      <c r="AW113" s="114" t="str">
        <f>_xlfn.IFNA(VLOOKUP($AI113,Programma!$F$3:$T$1101,15,0),"")</f>
        <v>2j</v>
      </c>
      <c r="AX113" s="114" t="str">
        <f>_xlfn.IFNA(VLOOKUP($AI113,Programma!$F$3:$U$1101,16,0),"")</f>
        <v>1j</v>
      </c>
      <c r="AY113" s="114" t="str">
        <f>_xlfn.IFNA(VLOOKUP($AI113,Programma!$F$3:$V$1101,17,0),"")</f>
        <v>_</v>
      </c>
      <c r="AZ113" s="114" t="str">
        <f>_xlfn.IFNA(VLOOKUP($AI113,Programma!$F$3:$W$1101,18,0),"")</f>
        <v>_</v>
      </c>
      <c r="BA113" s="114" t="str">
        <f>_xlfn.IFNA(VLOOKUP($AI113,Programma!$F$3:$X$1101,19,0),"")</f>
        <v>_</v>
      </c>
      <c r="BB113" s="114" t="str">
        <f>_xlfn.IFNA(VLOOKUP($AI113,Programma!$F$3:$Y$1101,20,0),"")</f>
        <v>_</v>
      </c>
      <c r="BC113" s="111"/>
      <c r="BD113" s="110" t="str">
        <f>IF(Ruimtestaat[[#This Row],[Frequentie weekend]]="","",_xlfn.CONCAT(Ruimtestaat[[#This Row],[Ruimte code]],"-",Ruimtestaat[[#This Row],[Frequentie weekend]]," ",Ruimtestaat[[#This Row],[Vloer code]]))</f>
        <v/>
      </c>
      <c r="BE113" s="114" t="str">
        <f>_xlfn.IFNA(VLOOKUP($BD113,Programma!$F$3:$G$1101,2,0),"")</f>
        <v/>
      </c>
      <c r="BF113" s="114" t="str">
        <f>_xlfn.IFNA(VLOOKUP($BD113,Programma!$F$3:$H$1101,3,0),"")</f>
        <v/>
      </c>
      <c r="BG113" s="114" t="str">
        <f>_xlfn.IFNA(VLOOKUP($BD113,Programma!$F$3:$I$1101,4,0),"")</f>
        <v/>
      </c>
      <c r="BH113" s="114" t="str">
        <f>_xlfn.IFNA(VLOOKUP($BD113,Programma!$F$3:$J$1101,5,0),"")</f>
        <v/>
      </c>
      <c r="BI113" s="114" t="str">
        <f>_xlfn.IFNA(VLOOKUP($BD113,Programma!$F$3:$K$1101,6,0),"")</f>
        <v/>
      </c>
      <c r="BJ113" s="114" t="str">
        <f>_xlfn.IFNA(VLOOKUP($BD113,Programma!$F$3:$L$1101,7,0),"")</f>
        <v/>
      </c>
      <c r="BK113" s="114" t="str">
        <f>_xlfn.IFNA(VLOOKUP($BD113,Programma!$F$3:$M$1101,8,0),"")</f>
        <v/>
      </c>
      <c r="BL113" s="114" t="str">
        <f>_xlfn.IFNA(VLOOKUP($BD113,Programma!$F$3:$N$1101,9,0),"")</f>
        <v/>
      </c>
      <c r="BM113" s="114" t="str">
        <f>_xlfn.IFNA(VLOOKUP($BD113,Programma!$F$3:$O$1101,10,0),"")</f>
        <v/>
      </c>
      <c r="BN113" s="114" t="str">
        <f>_xlfn.IFNA(VLOOKUP($BD113,Programma!$F$3:$P$1101,11,0),"")</f>
        <v/>
      </c>
      <c r="BO113" s="114" t="str">
        <f>_xlfn.IFNA(VLOOKUP($BD113,Programma!$F$3:$Q$1101,12,0),"")</f>
        <v/>
      </c>
      <c r="BP113" s="114" t="str">
        <f>_xlfn.IFNA(VLOOKUP($BD113,Programma!$F$3:$R$1101,13,0),"")</f>
        <v/>
      </c>
      <c r="BQ113" s="114" t="str">
        <f>_xlfn.IFNA(VLOOKUP($BD113,Programma!$F$3:$S$1101,14,0),"")</f>
        <v/>
      </c>
      <c r="BR113" s="114" t="str">
        <f>_xlfn.IFNA(VLOOKUP($BD113,Programma!$F$3:$T$1101,15,0),"")</f>
        <v/>
      </c>
      <c r="BS113" s="114" t="str">
        <f>_xlfn.IFNA(VLOOKUP($BD113,Programma!$F$3:$U$1101,16,0),"")</f>
        <v/>
      </c>
      <c r="BT113" s="114" t="str">
        <f>_xlfn.IFNA(VLOOKUP($BD113,Programma!$F$3:$V$1101,17,0),"")</f>
        <v/>
      </c>
      <c r="BU113" s="114" t="str">
        <f>_xlfn.IFNA(VLOOKUP($BD113,Programma!$F$3:$W$1101,18,0),"")</f>
        <v/>
      </c>
      <c r="BV113" s="114" t="str">
        <f>_xlfn.IFNA(VLOOKUP($BD113,Programma!$F$3:$X$1101,19,0),"")</f>
        <v/>
      </c>
      <c r="BW113" s="114" t="str">
        <f>_xlfn.IFNA(VLOOKUP($BD113,Programma!$F$3:$Y$1101,20,0),"")</f>
        <v/>
      </c>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c r="FJ113" s="28"/>
      <c r="FK113" s="28"/>
      <c r="FL113" s="28"/>
      <c r="FM113" s="28"/>
      <c r="FN113" s="28"/>
      <c r="FO113" s="28"/>
      <c r="FP113" s="28"/>
      <c r="FQ113" s="28"/>
      <c r="FR113" s="28"/>
      <c r="FS113" s="28"/>
      <c r="FT113" s="28"/>
      <c r="FU113" s="28"/>
      <c r="FV113" s="28"/>
      <c r="FW113" s="28"/>
      <c r="FX113" s="28"/>
      <c r="FY113" s="28"/>
      <c r="FZ113" s="28"/>
      <c r="GA113" s="28"/>
      <c r="GB113" s="28"/>
      <c r="GC113" s="28"/>
      <c r="GD113" s="28"/>
      <c r="GE113" s="28"/>
      <c r="GF113" s="28"/>
      <c r="GG113" s="28"/>
      <c r="GH113" s="28"/>
      <c r="GI113" s="28"/>
      <c r="GJ113" s="28"/>
      <c r="GK113" s="28"/>
      <c r="GL113" s="28"/>
      <c r="GM113" s="28"/>
      <c r="GN113" s="28"/>
      <c r="GO113" s="28"/>
      <c r="GP113" s="28"/>
      <c r="GQ113" s="28"/>
      <c r="GR113" s="28"/>
      <c r="GS113" s="28"/>
      <c r="GT113" s="28"/>
      <c r="GU113" s="28"/>
      <c r="GV113" s="28"/>
      <c r="GW113" s="28"/>
      <c r="GX113" s="28"/>
      <c r="GY113" s="28"/>
      <c r="GZ113" s="28"/>
      <c r="HA113" s="28"/>
      <c r="HB113" s="28"/>
      <c r="HC113" s="28"/>
      <c r="HD113" s="28"/>
      <c r="HE113" s="28"/>
      <c r="HF113" s="28"/>
      <c r="HG113" s="28"/>
      <c r="HH113" s="28"/>
      <c r="HI113" s="28"/>
      <c r="HJ113" s="28"/>
      <c r="HK113" s="28"/>
      <c r="HL113" s="28"/>
    </row>
    <row r="114" spans="1:220" ht="15" customHeight="1">
      <c r="A114" s="31">
        <v>2</v>
      </c>
      <c r="B114" s="105" t="str">
        <f>VLOOKUP(Ruimtestaat[[#This Row],[Code]],Locaties[[Code]:[Locatie]],2,FALSE)</f>
        <v>IKC De Hoge Hoeve</v>
      </c>
      <c r="C114" s="105" t="str">
        <f>VLOOKUP(Ruimtestaat[[#This Row],[Code]],Locaties[[#All],[Code]:[Adres]],4,FALSE)</f>
        <v>De Hoge Hoeve 70</v>
      </c>
      <c r="D114" s="105" t="str">
        <f>VLOOKUP(Ruimtestaat[[#This Row],[Code]],Locaties[[#All],[Code]:[Postcode]],5,FALSE)</f>
        <v>6932 DJ</v>
      </c>
      <c r="E114" s="105" t="str">
        <f>VLOOKUP(Ruimtestaat[[#This Row],[Code]],Locaties[#All],6,FALSE)</f>
        <v>Westervoort</v>
      </c>
      <c r="F114" s="73"/>
      <c r="G114" s="73" t="s">
        <v>1645</v>
      </c>
      <c r="H114" s="271" t="s">
        <v>1764</v>
      </c>
      <c r="I114" s="273" t="s">
        <v>1730</v>
      </c>
      <c r="J114" s="31">
        <v>6</v>
      </c>
      <c r="K114" s="113" t="str">
        <f>VLOOKUP(Ruimtestaat[[#This Row],[Ruimte code]],Ruimtegroepen[[#All],[Code]:[Ruimte omschrijving]],2,FALSE)</f>
        <v>Gangen/hallen</v>
      </c>
      <c r="L114" s="73" t="s">
        <v>102</v>
      </c>
      <c r="M114" s="273" t="s">
        <v>120</v>
      </c>
      <c r="N114" s="106">
        <v>84</v>
      </c>
      <c r="O114" s="112"/>
      <c r="P114" s="73"/>
      <c r="Q114" s="107" t="str">
        <f>VLOOKUP(Ruimtestaat[[#This Row],[Ruimte code]],Ruimtegroepen[],4,FALSE)</f>
        <v>Ve</v>
      </c>
      <c r="R114" s="73">
        <v>40</v>
      </c>
      <c r="S114" s="73" t="s">
        <v>2</v>
      </c>
      <c r="T114" s="73">
        <f>IF(R114&gt;0,IF(RIGHT(Ruimtestaat[[#This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4" s="73">
        <f>IF(T114&gt;0,VLOOKUP($J114,Ruimtegroepen[],3,FALSE)*VLOOKUP($L114,Vloersoorten[],3,FALSE)*VLOOKUP($S114,Frequenties[],3,FALSE)*VLOOKUP($A114,Locaties[],3,FALSE),0)</f>
        <v>0</v>
      </c>
      <c r="V114" s="73">
        <f>Ruimtestaat[[#This Row],[Uitvoeringen werkdagen]]*Ruimtestaat[[#This Row],[Oppervlak (netto)]]</f>
        <v>16800</v>
      </c>
      <c r="W114" s="108">
        <f>IF(U114&gt;0,Ruimtestaat[[#This Row],[Prest. (m2 /jaar) werkdagen]]/Ruimtestaat[[#This Row],[Norm (m2/uur) werkdagen]],0)</f>
        <v>0</v>
      </c>
      <c r="X114" s="109">
        <f>Ruimtestaat[[#This Row],[uren / jaar werkdagen]]*Tariefsopbouw!$E$35</f>
        <v>0</v>
      </c>
      <c r="Y114" s="73"/>
      <c r="Z114" s="73">
        <f>IF(Ruimtestaat[[#This Row],[Frequentie weekend]]&gt;0,VALUE(LEFT(Y114,1))*R114,0)</f>
        <v>0</v>
      </c>
      <c r="AA114" s="72">
        <f>IF($Z114&gt;0,VLOOKUP($J114,Ruimtegroepen[],3,FALSE)*VLOOKUP($L114,Vloersoorten[],3,FALSE)*VLOOKUP($Y114,Frequenties[],3,FALSE)*VLOOKUP(Ruimtestaat[[#This Row],[Code]],Locaties[],3,FALSE),0)</f>
        <v>0</v>
      </c>
      <c r="AB114" s="72">
        <f>Ruimtestaat[[#This Row],[Uitvoeringen weekend]]*Ruimtestaat[[#This Row],[Oppervlak (netto)]]</f>
        <v>0</v>
      </c>
      <c r="AC114" s="72">
        <f>IF(AA114&gt;0,Ruimtestaat[[#This Row],[Prest. (m2 /jaar) weekend]]/Ruimtestaat[[#This Row],[Norm (m2/uur) weekend]],0)</f>
        <v>0</v>
      </c>
      <c r="AD114" s="109">
        <f>Ruimtestaat[[#This Row],[uren / jaar weekend]]*Tariefsopbouw!$D$40</f>
        <v>0</v>
      </c>
      <c r="AE114" s="108">
        <f>Ruimtestaat[[#This Row],[Prest. (m2 /jaar) weekend]]+Ruimtestaat[[#This Row],[Prest. (m2 /jaar) werkdagen]]</f>
        <v>16800</v>
      </c>
      <c r="AF114" s="108">
        <f>Ruimtestaat[[#This Row],[uren / jaar weekend]]+Ruimtestaat[[#This Row],[uren / jaar werkdagen]]</f>
        <v>0</v>
      </c>
      <c r="AG114" s="103">
        <f>Ruimtestaat[[#This Row],[kosten / jaar weekend]]+Ruimtestaat[[#This Row],[kosten / jaar werkdagen]]</f>
        <v>0</v>
      </c>
      <c r="AH114" s="103"/>
      <c r="AI114" s="110" t="str">
        <f>IF(Ruimtestaat[[#This Row],[Frequentie werkdagen]]="","",_xlfn.CONCAT(Ruimtestaat[[#This Row],[Ruimte code]],"-",Ruimtestaat[[#This Row],[Frequentie werkdagen]]," ",Ruimtestaat[[#This Row],[Vloer code]]))</f>
        <v>6-5w P</v>
      </c>
      <c r="AJ114" s="114" t="str">
        <f>_xlfn.IFNA(VLOOKUP($AI114,Programma!$F$3:$G$1101,2,0),"")</f>
        <v>_</v>
      </c>
      <c r="AK114" s="114" t="str">
        <f>_xlfn.IFNA(VLOOKUP($AI114,Programma!$F$3:$H$1101,3,0),"")</f>
        <v>_</v>
      </c>
      <c r="AL114" s="114" t="str">
        <f>_xlfn.IFNA(VLOOKUP($AI114,Programma!$F$3:$I$1101,4,0),"")</f>
        <v>5w</v>
      </c>
      <c r="AM114" s="114" t="str">
        <f>_xlfn.IFNA(VLOOKUP($AI114,Programma!$F$3:$J$1101,5,0),"")</f>
        <v>_</v>
      </c>
      <c r="AN114" s="114" t="str">
        <f>_xlfn.IFNA(VLOOKUP($AI114,Programma!$F$3:$K$1101,6,0),"")</f>
        <v>5w</v>
      </c>
      <c r="AO114" s="114" t="str">
        <f>_xlfn.IFNA(VLOOKUP($AI114,Programma!$F$3:$L$1101,7,0),"")</f>
        <v>_</v>
      </c>
      <c r="AP114" s="114" t="str">
        <f>_xlfn.IFNA(VLOOKUP($AI114,Programma!$F$3:$M$1101,8,0),"")</f>
        <v>_</v>
      </c>
      <c r="AQ114" s="114" t="str">
        <f>_xlfn.IFNA(VLOOKUP($AI114,Programma!$F$3:$N$1101,9,0),"")</f>
        <v>_</v>
      </c>
      <c r="AR114" s="114" t="str">
        <f>_xlfn.IFNA(VLOOKUP($AI114,Programma!$F$3:$O$1101,10,0),"")</f>
        <v>5w</v>
      </c>
      <c r="AS114" s="114" t="str">
        <f>_xlfn.IFNA(VLOOKUP($AI114,Programma!$F$3:$P$1101,11,0),"")</f>
        <v>5w</v>
      </c>
      <c r="AT114" s="114" t="str">
        <f>_xlfn.IFNA(VLOOKUP($AI114,Programma!$F$3:$Q$1101,12,0),"")</f>
        <v>1w</v>
      </c>
      <c r="AU114" s="114" t="str">
        <f>_xlfn.IFNA(VLOOKUP($AI114,Programma!$F$3:$R$1101,13,0),"")</f>
        <v>1w</v>
      </c>
      <c r="AV114" s="114" t="str">
        <f>_xlfn.IFNA(VLOOKUP($AI114,Programma!$F$3:$S$1101,14,0),"")</f>
        <v>1m</v>
      </c>
      <c r="AW114" s="114" t="str">
        <f>_xlfn.IFNA(VLOOKUP($AI114,Programma!$F$3:$T$1101,15,0),"")</f>
        <v>2j</v>
      </c>
      <c r="AX114" s="114" t="str">
        <f>_xlfn.IFNA(VLOOKUP($AI114,Programma!$F$3:$U$1101,16,0),"")</f>
        <v>1j</v>
      </c>
      <c r="AY114" s="114" t="str">
        <f>_xlfn.IFNA(VLOOKUP($AI114,Programma!$F$3:$V$1101,17,0),"")</f>
        <v>_</v>
      </c>
      <c r="AZ114" s="114" t="str">
        <f>_xlfn.IFNA(VLOOKUP($AI114,Programma!$F$3:$W$1101,18,0),"")</f>
        <v>_</v>
      </c>
      <c r="BA114" s="114" t="str">
        <f>_xlfn.IFNA(VLOOKUP($AI114,Programma!$F$3:$X$1101,19,0),"")</f>
        <v>_</v>
      </c>
      <c r="BB114" s="114" t="str">
        <f>_xlfn.IFNA(VLOOKUP($AI114,Programma!$F$3:$Y$1101,20,0),"")</f>
        <v>_</v>
      </c>
      <c r="BC114" s="111"/>
      <c r="BD114" s="110" t="str">
        <f>IF(Ruimtestaat[[#This Row],[Frequentie weekend]]="","",_xlfn.CONCAT(Ruimtestaat[[#This Row],[Ruimte code]],"-",Ruimtestaat[[#This Row],[Frequentie weekend]]," ",Ruimtestaat[[#This Row],[Vloer code]]))</f>
        <v/>
      </c>
      <c r="BE114" s="114" t="str">
        <f>_xlfn.IFNA(VLOOKUP($BD114,Programma!$F$3:$G$1101,2,0),"")</f>
        <v/>
      </c>
      <c r="BF114" s="114" t="str">
        <f>_xlfn.IFNA(VLOOKUP($BD114,Programma!$F$3:$H$1101,3,0),"")</f>
        <v/>
      </c>
      <c r="BG114" s="114" t="str">
        <f>_xlfn.IFNA(VLOOKUP($BD114,Programma!$F$3:$I$1101,4,0),"")</f>
        <v/>
      </c>
      <c r="BH114" s="114" t="str">
        <f>_xlfn.IFNA(VLOOKUP($BD114,Programma!$F$3:$J$1101,5,0),"")</f>
        <v/>
      </c>
      <c r="BI114" s="114" t="str">
        <f>_xlfn.IFNA(VLOOKUP($BD114,Programma!$F$3:$K$1101,6,0),"")</f>
        <v/>
      </c>
      <c r="BJ114" s="114" t="str">
        <f>_xlfn.IFNA(VLOOKUP($BD114,Programma!$F$3:$L$1101,7,0),"")</f>
        <v/>
      </c>
      <c r="BK114" s="114" t="str">
        <f>_xlfn.IFNA(VLOOKUP($BD114,Programma!$F$3:$M$1101,8,0),"")</f>
        <v/>
      </c>
      <c r="BL114" s="114" t="str">
        <f>_xlfn.IFNA(VLOOKUP($BD114,Programma!$F$3:$N$1101,9,0),"")</f>
        <v/>
      </c>
      <c r="BM114" s="114" t="str">
        <f>_xlfn.IFNA(VLOOKUP($BD114,Programma!$F$3:$O$1101,10,0),"")</f>
        <v/>
      </c>
      <c r="BN114" s="114" t="str">
        <f>_xlfn.IFNA(VLOOKUP($BD114,Programma!$F$3:$P$1101,11,0),"")</f>
        <v/>
      </c>
      <c r="BO114" s="114" t="str">
        <f>_xlfn.IFNA(VLOOKUP($BD114,Programma!$F$3:$Q$1101,12,0),"")</f>
        <v/>
      </c>
      <c r="BP114" s="114" t="str">
        <f>_xlfn.IFNA(VLOOKUP($BD114,Programma!$F$3:$R$1101,13,0),"")</f>
        <v/>
      </c>
      <c r="BQ114" s="114" t="str">
        <f>_xlfn.IFNA(VLOOKUP($BD114,Programma!$F$3:$S$1101,14,0),"")</f>
        <v/>
      </c>
      <c r="BR114" s="114" t="str">
        <f>_xlfn.IFNA(VLOOKUP($BD114,Programma!$F$3:$T$1101,15,0),"")</f>
        <v/>
      </c>
      <c r="BS114" s="114" t="str">
        <f>_xlfn.IFNA(VLOOKUP($BD114,Programma!$F$3:$U$1101,16,0),"")</f>
        <v/>
      </c>
      <c r="BT114" s="114" t="str">
        <f>_xlfn.IFNA(VLOOKUP($BD114,Programma!$F$3:$V$1101,17,0),"")</f>
        <v/>
      </c>
      <c r="BU114" s="114" t="str">
        <f>_xlfn.IFNA(VLOOKUP($BD114,Programma!$F$3:$W$1101,18,0),"")</f>
        <v/>
      </c>
      <c r="BV114" s="114" t="str">
        <f>_xlfn.IFNA(VLOOKUP($BD114,Programma!$F$3:$X$1101,19,0),"")</f>
        <v/>
      </c>
      <c r="BW114" s="114" t="str">
        <f>_xlfn.IFNA(VLOOKUP($BD114,Programma!$F$3:$Y$1101,20,0),"")</f>
        <v/>
      </c>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row>
    <row r="115" spans="1:220" ht="15" customHeight="1">
      <c r="A115" s="31">
        <v>2</v>
      </c>
      <c r="B115" s="105" t="str">
        <f>VLOOKUP(Ruimtestaat[[#This Row],[Code]],Locaties[[Code]:[Locatie]],2,FALSE)</f>
        <v>IKC De Hoge Hoeve</v>
      </c>
      <c r="C115" s="105" t="str">
        <f>VLOOKUP(Ruimtestaat[[#This Row],[Code]],Locaties[[#All],[Code]:[Adres]],4,FALSE)</f>
        <v>De Hoge Hoeve 70</v>
      </c>
      <c r="D115" s="105" t="str">
        <f>VLOOKUP(Ruimtestaat[[#This Row],[Code]],Locaties[[#All],[Code]:[Postcode]],5,FALSE)</f>
        <v>6932 DJ</v>
      </c>
      <c r="E115" s="105" t="str">
        <f>VLOOKUP(Ruimtestaat[[#This Row],[Code]],Locaties[#All],6,FALSE)</f>
        <v>Westervoort</v>
      </c>
      <c r="F115" s="73"/>
      <c r="G115" s="73" t="s">
        <v>1645</v>
      </c>
      <c r="H115" s="271" t="s">
        <v>1765</v>
      </c>
      <c r="I115" s="273" t="s">
        <v>1751</v>
      </c>
      <c r="J115" s="31">
        <v>18</v>
      </c>
      <c r="K115" s="113" t="str">
        <f>VLOOKUP(Ruimtestaat[[#This Row],[Ruimte code]],Ruimtegroepen[[#All],[Code]:[Ruimte omschrijving]],2,FALSE)</f>
        <v>Gymzaal</v>
      </c>
      <c r="L115" s="73" t="s">
        <v>102</v>
      </c>
      <c r="M115" s="273" t="s">
        <v>1979</v>
      </c>
      <c r="N115" s="106">
        <v>95</v>
      </c>
      <c r="O115" s="112"/>
      <c r="P115" s="112"/>
      <c r="Q115" s="107" t="str">
        <f>VLOOKUP(Ruimtestaat[[#This Row],[Ruimte code]],Ruimtegroepen[],4,FALSE)</f>
        <v>Sp</v>
      </c>
      <c r="R115" s="73">
        <v>40</v>
      </c>
      <c r="S115" s="73" t="s">
        <v>18</v>
      </c>
      <c r="T115" s="73">
        <f>IF(R115&gt;0,IF(RIGHT(Ruimtestaat[[#This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15" s="73">
        <f>IF(T115&gt;0,VLOOKUP($J115,Ruimtegroepen[],3,FALSE)*VLOOKUP($L115,Vloersoorten[],3,FALSE)*VLOOKUP($S115,Frequenties[],3,FALSE)*VLOOKUP($A115,Locaties[],3,FALSE),0)</f>
        <v>0</v>
      </c>
      <c r="V115" s="73">
        <f>Ruimtestaat[[#This Row],[Uitvoeringen werkdagen]]*Ruimtestaat[[#This Row],[Oppervlak (netto)]]</f>
        <v>11400</v>
      </c>
      <c r="W115" s="108">
        <f>IF(U115&gt;0,Ruimtestaat[[#This Row],[Prest. (m2 /jaar) werkdagen]]/Ruimtestaat[[#This Row],[Norm (m2/uur) werkdagen]],0)</f>
        <v>0</v>
      </c>
      <c r="X115" s="109">
        <f>Ruimtestaat[[#This Row],[uren / jaar werkdagen]]*Tariefsopbouw!$E$35</f>
        <v>0</v>
      </c>
      <c r="Y115" s="73"/>
      <c r="Z115" s="73">
        <f>IF(Ruimtestaat[[#This Row],[Frequentie weekend]]&gt;0,VALUE(LEFT(Y115,1))*R115,0)</f>
        <v>0</v>
      </c>
      <c r="AA115" s="72">
        <f>IF($Z115&gt;0,VLOOKUP($J115,Ruimtegroepen[],3,FALSE)*VLOOKUP($L115,Vloersoorten[],3,FALSE)*VLOOKUP($Y115,Frequenties[],3,FALSE)*VLOOKUP(Ruimtestaat[[#This Row],[Code]],Locaties[],3,FALSE),0)</f>
        <v>0</v>
      </c>
      <c r="AB115" s="72">
        <f>Ruimtestaat[[#This Row],[Uitvoeringen weekend]]*Ruimtestaat[[#This Row],[Oppervlak (netto)]]</f>
        <v>0</v>
      </c>
      <c r="AC115" s="72">
        <f>IF(AA115&gt;0,Ruimtestaat[[#This Row],[Prest. (m2 /jaar) weekend]]/Ruimtestaat[[#This Row],[Norm (m2/uur) weekend]],0)</f>
        <v>0</v>
      </c>
      <c r="AD115" s="109">
        <f>Ruimtestaat[[#This Row],[uren / jaar weekend]]*Tariefsopbouw!$D$40</f>
        <v>0</v>
      </c>
      <c r="AE115" s="108">
        <f>Ruimtestaat[[#This Row],[Prest. (m2 /jaar) weekend]]+Ruimtestaat[[#This Row],[Prest. (m2 /jaar) werkdagen]]</f>
        <v>11400</v>
      </c>
      <c r="AF115" s="108">
        <f>Ruimtestaat[[#This Row],[uren / jaar weekend]]+Ruimtestaat[[#This Row],[uren / jaar werkdagen]]</f>
        <v>0</v>
      </c>
      <c r="AG115" s="103">
        <f>Ruimtestaat[[#This Row],[kosten / jaar weekend]]+Ruimtestaat[[#This Row],[kosten / jaar werkdagen]]</f>
        <v>0</v>
      </c>
      <c r="AH115" s="103"/>
      <c r="AI115" s="110" t="str">
        <f>IF(Ruimtestaat[[#This Row],[Frequentie werkdagen]]="","",_xlfn.CONCAT(Ruimtestaat[[#This Row],[Ruimte code]],"-",Ruimtestaat[[#This Row],[Frequentie werkdagen]]," ",Ruimtestaat[[#This Row],[Vloer code]]))</f>
        <v>18-3w P</v>
      </c>
      <c r="AJ115" s="114" t="str">
        <f>_xlfn.IFNA(VLOOKUP($AI115,Programma!$F$3:$G$1101,2,0),"")</f>
        <v>_</v>
      </c>
      <c r="AK115" s="114" t="str">
        <f>_xlfn.IFNA(VLOOKUP($AI115,Programma!$F$3:$H$1101,3,0),"")</f>
        <v>_</v>
      </c>
      <c r="AL115" s="114" t="str">
        <f>_xlfn.IFNA(VLOOKUP($AI115,Programma!$F$3:$I$1101,4,0),"")</f>
        <v>2w</v>
      </c>
      <c r="AM115" s="114" t="str">
        <f>_xlfn.IFNA(VLOOKUP($AI115,Programma!$F$3:$J$1101,5,0),"")</f>
        <v>1w</v>
      </c>
      <c r="AN115" s="114" t="str">
        <f>_xlfn.IFNA(VLOOKUP($AI115,Programma!$F$3:$K$1101,6,0),"")</f>
        <v>4j</v>
      </c>
      <c r="AO115" s="114" t="str">
        <f>_xlfn.IFNA(VLOOKUP($AI115,Programma!$F$3:$L$1101,7,0),"")</f>
        <v>_</v>
      </c>
      <c r="AP115" s="114" t="str">
        <f>_xlfn.IFNA(VLOOKUP($AI115,Programma!$F$3:$M$1101,8,0),"")</f>
        <v>_</v>
      </c>
      <c r="AQ115" s="114" t="str">
        <f>_xlfn.IFNA(VLOOKUP($AI115,Programma!$F$3:$N$1101,9,0),"")</f>
        <v>_</v>
      </c>
      <c r="AR115" s="114" t="str">
        <f>_xlfn.IFNA(VLOOKUP($AI115,Programma!$F$3:$O$1101,10,0),"")</f>
        <v>3w</v>
      </c>
      <c r="AS115" s="114" t="str">
        <f>_xlfn.IFNA(VLOOKUP($AI115,Programma!$F$3:$P$1101,11,0),"")</f>
        <v>3w</v>
      </c>
      <c r="AT115" s="114" t="str">
        <f>_xlfn.IFNA(VLOOKUP($AI115,Programma!$F$3:$Q$1101,12,0),"")</f>
        <v>3w</v>
      </c>
      <c r="AU115" s="114" t="str">
        <f>_xlfn.IFNA(VLOOKUP($AI115,Programma!$F$3:$R$1101,13,0),"")</f>
        <v>1w</v>
      </c>
      <c r="AV115" s="114" t="str">
        <f>_xlfn.IFNA(VLOOKUP($AI115,Programma!$F$3:$S$1101,14,0),"")</f>
        <v>1m</v>
      </c>
      <c r="AW115" s="114" t="str">
        <f>_xlfn.IFNA(VLOOKUP($AI115,Programma!$F$3:$T$1101,15,0),"")</f>
        <v>2j</v>
      </c>
      <c r="AX115" s="114" t="str">
        <f>_xlfn.IFNA(VLOOKUP($AI115,Programma!$F$3:$U$1101,16,0),"")</f>
        <v>1j</v>
      </c>
      <c r="AY115" s="114" t="str">
        <f>_xlfn.IFNA(VLOOKUP($AI115,Programma!$F$3:$V$1101,17,0),"")</f>
        <v>_</v>
      </c>
      <c r="AZ115" s="114" t="str">
        <f>_xlfn.IFNA(VLOOKUP($AI115,Programma!$F$3:$W$1101,18,0),"")</f>
        <v>_</v>
      </c>
      <c r="BA115" s="114" t="str">
        <f>_xlfn.IFNA(VLOOKUP($AI115,Programma!$F$3:$X$1101,19,0),"")</f>
        <v>_</v>
      </c>
      <c r="BB115" s="114" t="str">
        <f>_xlfn.IFNA(VLOOKUP($AI115,Programma!$F$3:$Y$1101,20,0),"")</f>
        <v>_</v>
      </c>
      <c r="BC115" s="111"/>
      <c r="BD115" s="110" t="str">
        <f>IF(Ruimtestaat[[#This Row],[Frequentie weekend]]="","",_xlfn.CONCAT(Ruimtestaat[[#This Row],[Ruimte code]],"-",Ruimtestaat[[#This Row],[Frequentie weekend]]," ",Ruimtestaat[[#This Row],[Vloer code]]))</f>
        <v/>
      </c>
      <c r="BE115" s="114" t="str">
        <f>_xlfn.IFNA(VLOOKUP($BD115,Programma!$F$3:$G$1101,2,0),"")</f>
        <v/>
      </c>
      <c r="BF115" s="114" t="str">
        <f>_xlfn.IFNA(VLOOKUP($BD115,Programma!$F$3:$H$1101,3,0),"")</f>
        <v/>
      </c>
      <c r="BG115" s="114" t="str">
        <f>_xlfn.IFNA(VLOOKUP($BD115,Programma!$F$3:$I$1101,4,0),"")</f>
        <v/>
      </c>
      <c r="BH115" s="114" t="str">
        <f>_xlfn.IFNA(VLOOKUP($BD115,Programma!$F$3:$J$1101,5,0),"")</f>
        <v/>
      </c>
      <c r="BI115" s="114" t="str">
        <f>_xlfn.IFNA(VLOOKUP($BD115,Programma!$F$3:$K$1101,6,0),"")</f>
        <v/>
      </c>
      <c r="BJ115" s="114" t="str">
        <f>_xlfn.IFNA(VLOOKUP($BD115,Programma!$F$3:$L$1101,7,0),"")</f>
        <v/>
      </c>
      <c r="BK115" s="114" t="str">
        <f>_xlfn.IFNA(VLOOKUP($BD115,Programma!$F$3:$M$1101,8,0),"")</f>
        <v/>
      </c>
      <c r="BL115" s="114" t="str">
        <f>_xlfn.IFNA(VLOOKUP($BD115,Programma!$F$3:$N$1101,9,0),"")</f>
        <v/>
      </c>
      <c r="BM115" s="114" t="str">
        <f>_xlfn.IFNA(VLOOKUP($BD115,Programma!$F$3:$O$1101,10,0),"")</f>
        <v/>
      </c>
      <c r="BN115" s="114" t="str">
        <f>_xlfn.IFNA(VLOOKUP($BD115,Programma!$F$3:$P$1101,11,0),"")</f>
        <v/>
      </c>
      <c r="BO115" s="114" t="str">
        <f>_xlfn.IFNA(VLOOKUP($BD115,Programma!$F$3:$Q$1101,12,0),"")</f>
        <v/>
      </c>
      <c r="BP115" s="114" t="str">
        <f>_xlfn.IFNA(VLOOKUP($BD115,Programma!$F$3:$R$1101,13,0),"")</f>
        <v/>
      </c>
      <c r="BQ115" s="114" t="str">
        <f>_xlfn.IFNA(VLOOKUP($BD115,Programma!$F$3:$S$1101,14,0),"")</f>
        <v/>
      </c>
      <c r="BR115" s="114" t="str">
        <f>_xlfn.IFNA(VLOOKUP($BD115,Programma!$F$3:$T$1101,15,0),"")</f>
        <v/>
      </c>
      <c r="BS115" s="114" t="str">
        <f>_xlfn.IFNA(VLOOKUP($BD115,Programma!$F$3:$U$1101,16,0),"")</f>
        <v/>
      </c>
      <c r="BT115" s="114" t="str">
        <f>_xlfn.IFNA(VLOOKUP($BD115,Programma!$F$3:$V$1101,17,0),"")</f>
        <v/>
      </c>
      <c r="BU115" s="114" t="str">
        <f>_xlfn.IFNA(VLOOKUP($BD115,Programma!$F$3:$W$1101,18,0),"")</f>
        <v/>
      </c>
      <c r="BV115" s="114" t="str">
        <f>_xlfn.IFNA(VLOOKUP($BD115,Programma!$F$3:$X$1101,19,0),"")</f>
        <v/>
      </c>
      <c r="BW115" s="114" t="str">
        <f>_xlfn.IFNA(VLOOKUP($BD115,Programma!$F$3:$Y$1101,20,0),"")</f>
        <v/>
      </c>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c r="HL115" s="28"/>
    </row>
    <row r="116" spans="1:220" ht="15" customHeight="1">
      <c r="A116" s="31">
        <v>2</v>
      </c>
      <c r="B116" s="105" t="str">
        <f>VLOOKUP(Ruimtestaat[[#This Row],[Code]],Locaties[[Code]:[Locatie]],2,FALSE)</f>
        <v>IKC De Hoge Hoeve</v>
      </c>
      <c r="C116" s="105" t="str">
        <f>VLOOKUP(Ruimtestaat[[#This Row],[Code]],Locaties[[#All],[Code]:[Adres]],4,FALSE)</f>
        <v>De Hoge Hoeve 70</v>
      </c>
      <c r="D116" s="105" t="str">
        <f>VLOOKUP(Ruimtestaat[[#This Row],[Code]],Locaties[[#All],[Code]:[Postcode]],5,FALSE)</f>
        <v>6932 DJ</v>
      </c>
      <c r="E116" s="105" t="str">
        <f>VLOOKUP(Ruimtestaat[[#This Row],[Code]],Locaties[#All],6,FALSE)</f>
        <v>Westervoort</v>
      </c>
      <c r="F116" s="73"/>
      <c r="G116" s="73" t="s">
        <v>1645</v>
      </c>
      <c r="H116" s="271" t="s">
        <v>1766</v>
      </c>
      <c r="I116" s="273" t="s">
        <v>1752</v>
      </c>
      <c r="J116" s="31">
        <v>5</v>
      </c>
      <c r="K116" s="113" t="str">
        <f>VLOOKUP(Ruimtestaat[[#This Row],[Ruimte code]],Ruimtegroepen[[#All],[Code]:[Ruimte omschrijving]],2,FALSE)</f>
        <v>Sanitair</v>
      </c>
      <c r="L116" s="73" t="s">
        <v>102</v>
      </c>
      <c r="M116" s="273" t="s">
        <v>120</v>
      </c>
      <c r="N116" s="106">
        <v>8</v>
      </c>
      <c r="O116" s="112"/>
      <c r="P116" s="112"/>
      <c r="Q116" s="107" t="str">
        <f>VLOOKUP(Ruimtestaat[[#This Row],[Ruimte code]],Ruimtegroepen[],4,FALSE)</f>
        <v>Sa</v>
      </c>
      <c r="R116" s="73">
        <v>40</v>
      </c>
      <c r="S116" s="73" t="s">
        <v>2</v>
      </c>
      <c r="T116" s="73">
        <f>IF(R116&gt;0,IF(RIGHT(Ruimtestaat[[#This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6" s="73">
        <f>IF(T116&gt;0,VLOOKUP($J116,Ruimtegroepen[],3,FALSE)*VLOOKUP($L116,Vloersoorten[],3,FALSE)*VLOOKUP($S116,Frequenties[],3,FALSE)*VLOOKUP($A116,Locaties[],3,FALSE),0)</f>
        <v>0</v>
      </c>
      <c r="V116" s="73">
        <f>Ruimtestaat[[#This Row],[Uitvoeringen werkdagen]]*Ruimtestaat[[#This Row],[Oppervlak (netto)]]</f>
        <v>1600</v>
      </c>
      <c r="W116" s="108">
        <f>IF(U116&gt;0,Ruimtestaat[[#This Row],[Prest. (m2 /jaar) werkdagen]]/Ruimtestaat[[#This Row],[Norm (m2/uur) werkdagen]],0)</f>
        <v>0</v>
      </c>
      <c r="X116" s="109">
        <f>Ruimtestaat[[#This Row],[uren / jaar werkdagen]]*Tariefsopbouw!$E$35</f>
        <v>0</v>
      </c>
      <c r="Y116" s="73"/>
      <c r="Z116" s="73">
        <f>IF(Ruimtestaat[[#This Row],[Frequentie weekend]]&gt;0,VALUE(LEFT(Y116,1))*R116,0)</f>
        <v>0</v>
      </c>
      <c r="AA116" s="72">
        <f>IF($Z116&gt;0,VLOOKUP($J116,Ruimtegroepen[],3,FALSE)*VLOOKUP($L116,Vloersoorten[],3,FALSE)*VLOOKUP($Y116,Frequenties[],3,FALSE)*VLOOKUP(Ruimtestaat[[#This Row],[Code]],Locaties[],3,FALSE),0)</f>
        <v>0</v>
      </c>
      <c r="AB116" s="72">
        <f>Ruimtestaat[[#This Row],[Uitvoeringen weekend]]*Ruimtestaat[[#This Row],[Oppervlak (netto)]]</f>
        <v>0</v>
      </c>
      <c r="AC116" s="72">
        <f>IF(AA116&gt;0,Ruimtestaat[[#This Row],[Prest. (m2 /jaar) weekend]]/Ruimtestaat[[#This Row],[Norm (m2/uur) weekend]],0)</f>
        <v>0</v>
      </c>
      <c r="AD116" s="109">
        <f>Ruimtestaat[[#This Row],[uren / jaar weekend]]*Tariefsopbouw!$D$40</f>
        <v>0</v>
      </c>
      <c r="AE116" s="108">
        <f>Ruimtestaat[[#This Row],[Prest. (m2 /jaar) weekend]]+Ruimtestaat[[#This Row],[Prest. (m2 /jaar) werkdagen]]</f>
        <v>1600</v>
      </c>
      <c r="AF116" s="108">
        <f>Ruimtestaat[[#This Row],[uren / jaar weekend]]+Ruimtestaat[[#This Row],[uren / jaar werkdagen]]</f>
        <v>0</v>
      </c>
      <c r="AG116" s="103">
        <f>Ruimtestaat[[#This Row],[kosten / jaar weekend]]+Ruimtestaat[[#This Row],[kosten / jaar werkdagen]]</f>
        <v>0</v>
      </c>
      <c r="AH116" s="103"/>
      <c r="AI116" s="110" t="str">
        <f>IF(Ruimtestaat[[#This Row],[Frequentie werkdagen]]="","",_xlfn.CONCAT(Ruimtestaat[[#This Row],[Ruimte code]],"-",Ruimtestaat[[#This Row],[Frequentie werkdagen]]," ",Ruimtestaat[[#This Row],[Vloer code]]))</f>
        <v>5-5w P</v>
      </c>
      <c r="AJ116" s="114" t="str">
        <f>_xlfn.IFNA(VLOOKUP($AI116,Programma!$F$3:$G$1101,2,0),"")</f>
        <v>_</v>
      </c>
      <c r="AK116" s="114" t="str">
        <f>_xlfn.IFNA(VLOOKUP($AI116,Programma!$F$3:$H$1101,3,0),"")</f>
        <v>_</v>
      </c>
      <c r="AL116" s="114" t="str">
        <f>_xlfn.IFNA(VLOOKUP($AI116,Programma!$F$3:$I$1101,4,0),"")</f>
        <v>_</v>
      </c>
      <c r="AM116" s="114" t="str">
        <f>_xlfn.IFNA(VLOOKUP($AI116,Programma!$F$3:$J$1101,5,0),"")</f>
        <v>4w</v>
      </c>
      <c r="AN116" s="114" t="str">
        <f>_xlfn.IFNA(VLOOKUP($AI116,Programma!$F$3:$K$1101,6,0),"")</f>
        <v>1w</v>
      </c>
      <c r="AO116" s="114" t="str">
        <f>_xlfn.IFNA(VLOOKUP($AI116,Programma!$F$3:$L$1101,7,0),"")</f>
        <v>_</v>
      </c>
      <c r="AP116" s="114" t="str">
        <f>_xlfn.IFNA(VLOOKUP($AI116,Programma!$F$3:$M$1101,8,0),"")</f>
        <v>_</v>
      </c>
      <c r="AQ116" s="114" t="str">
        <f>_xlfn.IFNA(VLOOKUP($AI116,Programma!$F$3:$N$1101,9,0),"")</f>
        <v>_</v>
      </c>
      <c r="AR116" s="114" t="str">
        <f>_xlfn.IFNA(VLOOKUP($AI116,Programma!$F$3:$O$1101,10,0),"")</f>
        <v>_</v>
      </c>
      <c r="AS116" s="114" t="str">
        <f>_xlfn.IFNA(VLOOKUP($AI116,Programma!$F$3:$P$1101,11,0),"")</f>
        <v>_</v>
      </c>
      <c r="AT116" s="114" t="str">
        <f>_xlfn.IFNA(VLOOKUP($AI116,Programma!$F$3:$Q$1101,12,0),"")</f>
        <v>_</v>
      </c>
      <c r="AU116" s="114" t="str">
        <f>_xlfn.IFNA(VLOOKUP($AI116,Programma!$F$3:$R$1101,13,0),"")</f>
        <v>_</v>
      </c>
      <c r="AV116" s="114" t="str">
        <f>_xlfn.IFNA(VLOOKUP($AI116,Programma!$F$3:$S$1101,14,0),"")</f>
        <v>_</v>
      </c>
      <c r="AW116" s="114" t="str">
        <f>_xlfn.IFNA(VLOOKUP($AI116,Programma!$F$3:$T$1101,15,0),"")</f>
        <v>_</v>
      </c>
      <c r="AX116" s="114" t="str">
        <f>_xlfn.IFNA(VLOOKUP($AI116,Programma!$F$3:$U$1101,16,0),"")</f>
        <v>_</v>
      </c>
      <c r="AY116" s="114" t="str">
        <f>_xlfn.IFNA(VLOOKUP($AI116,Programma!$F$3:$V$1101,17,0),"")</f>
        <v>_</v>
      </c>
      <c r="AZ116" s="114" t="str">
        <f>_xlfn.IFNA(VLOOKUP($AI116,Programma!$F$3:$W$1101,18,0),"")</f>
        <v>4w</v>
      </c>
      <c r="BA116" s="114" t="str">
        <f>_xlfn.IFNA(VLOOKUP($AI116,Programma!$F$3:$X$1101,19,0),"")</f>
        <v>1w</v>
      </c>
      <c r="BB116" s="114" t="str">
        <f>_xlfn.IFNA(VLOOKUP($AI116,Programma!$F$3:$Y$1101,20,0),"")</f>
        <v>_</v>
      </c>
      <c r="BC116" s="111"/>
      <c r="BD116" s="110" t="str">
        <f>IF(Ruimtestaat[[#This Row],[Frequentie weekend]]="","",_xlfn.CONCAT(Ruimtestaat[[#This Row],[Ruimte code]],"-",Ruimtestaat[[#This Row],[Frequentie weekend]]," ",Ruimtestaat[[#This Row],[Vloer code]]))</f>
        <v/>
      </c>
      <c r="BE116" s="114" t="str">
        <f>_xlfn.IFNA(VLOOKUP($BD116,Programma!$F$3:$G$1101,2,0),"")</f>
        <v/>
      </c>
      <c r="BF116" s="114" t="str">
        <f>_xlfn.IFNA(VLOOKUP($BD116,Programma!$F$3:$H$1101,3,0),"")</f>
        <v/>
      </c>
      <c r="BG116" s="114" t="str">
        <f>_xlfn.IFNA(VLOOKUP($BD116,Programma!$F$3:$I$1101,4,0),"")</f>
        <v/>
      </c>
      <c r="BH116" s="114" t="str">
        <f>_xlfn.IFNA(VLOOKUP($BD116,Programma!$F$3:$J$1101,5,0),"")</f>
        <v/>
      </c>
      <c r="BI116" s="114" t="str">
        <f>_xlfn.IFNA(VLOOKUP($BD116,Programma!$F$3:$K$1101,6,0),"")</f>
        <v/>
      </c>
      <c r="BJ116" s="114" t="str">
        <f>_xlfn.IFNA(VLOOKUP($BD116,Programma!$F$3:$L$1101,7,0),"")</f>
        <v/>
      </c>
      <c r="BK116" s="114" t="str">
        <f>_xlfn.IFNA(VLOOKUP($BD116,Programma!$F$3:$M$1101,8,0),"")</f>
        <v/>
      </c>
      <c r="BL116" s="114" t="str">
        <f>_xlfn.IFNA(VLOOKUP($BD116,Programma!$F$3:$N$1101,9,0),"")</f>
        <v/>
      </c>
      <c r="BM116" s="114" t="str">
        <f>_xlfn.IFNA(VLOOKUP($BD116,Programma!$F$3:$O$1101,10,0),"")</f>
        <v/>
      </c>
      <c r="BN116" s="114" t="str">
        <f>_xlfn.IFNA(VLOOKUP($BD116,Programma!$F$3:$P$1101,11,0),"")</f>
        <v/>
      </c>
      <c r="BO116" s="114" t="str">
        <f>_xlfn.IFNA(VLOOKUP($BD116,Programma!$F$3:$Q$1101,12,0),"")</f>
        <v/>
      </c>
      <c r="BP116" s="114" t="str">
        <f>_xlfn.IFNA(VLOOKUP($BD116,Programma!$F$3:$R$1101,13,0),"")</f>
        <v/>
      </c>
      <c r="BQ116" s="114" t="str">
        <f>_xlfn.IFNA(VLOOKUP($BD116,Programma!$F$3:$S$1101,14,0),"")</f>
        <v/>
      </c>
      <c r="BR116" s="114" t="str">
        <f>_xlfn.IFNA(VLOOKUP($BD116,Programma!$F$3:$T$1101,15,0),"")</f>
        <v/>
      </c>
      <c r="BS116" s="114" t="str">
        <f>_xlfn.IFNA(VLOOKUP($BD116,Programma!$F$3:$U$1101,16,0),"")</f>
        <v/>
      </c>
      <c r="BT116" s="114" t="str">
        <f>_xlfn.IFNA(VLOOKUP($BD116,Programma!$F$3:$V$1101,17,0),"")</f>
        <v/>
      </c>
      <c r="BU116" s="114" t="str">
        <f>_xlfn.IFNA(VLOOKUP($BD116,Programma!$F$3:$W$1101,18,0),"")</f>
        <v/>
      </c>
      <c r="BV116" s="114" t="str">
        <f>_xlfn.IFNA(VLOOKUP($BD116,Programma!$F$3:$X$1101,19,0),"")</f>
        <v/>
      </c>
      <c r="BW116" s="114" t="str">
        <f>_xlfn.IFNA(VLOOKUP($BD116,Programma!$F$3:$Y$1101,20,0),"")</f>
        <v/>
      </c>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row>
    <row r="117" spans="1:220" ht="15" customHeight="1">
      <c r="A117" s="31">
        <v>2</v>
      </c>
      <c r="B117" s="105" t="str">
        <f>VLOOKUP(Ruimtestaat[[#This Row],[Code]],Locaties[[Code]:[Locatie]],2,FALSE)</f>
        <v>IKC De Hoge Hoeve</v>
      </c>
      <c r="C117" s="105" t="str">
        <f>VLOOKUP(Ruimtestaat[[#This Row],[Code]],Locaties[[#All],[Code]:[Adres]],4,FALSE)</f>
        <v>De Hoge Hoeve 70</v>
      </c>
      <c r="D117" s="105" t="str">
        <f>VLOOKUP(Ruimtestaat[[#This Row],[Code]],Locaties[[#All],[Code]:[Postcode]],5,FALSE)</f>
        <v>6932 DJ</v>
      </c>
      <c r="E117" s="105" t="str">
        <f>VLOOKUP(Ruimtestaat[[#This Row],[Code]],Locaties[#All],6,FALSE)</f>
        <v>Westervoort</v>
      </c>
      <c r="F117" s="73"/>
      <c r="G117" s="73" t="s">
        <v>1645</v>
      </c>
      <c r="H117" s="271" t="s">
        <v>1767</v>
      </c>
      <c r="I117" s="273" t="s">
        <v>1726</v>
      </c>
      <c r="J117" s="73">
        <v>2</v>
      </c>
      <c r="K117" s="113" t="str">
        <f>VLOOKUP(Ruimtestaat[[#This Row],[Ruimte code]],Ruimtegroepen[[#All],[Code]:[Ruimte omschrijving]],2,FALSE)</f>
        <v>Kantoren</v>
      </c>
      <c r="L117" s="73" t="s">
        <v>99</v>
      </c>
      <c r="M117" s="273" t="s">
        <v>36</v>
      </c>
      <c r="N117" s="106">
        <v>17</v>
      </c>
      <c r="O117" s="112"/>
      <c r="P117" s="73"/>
      <c r="Q117" s="107" t="str">
        <f>VLOOKUP(Ruimtestaat[[#This Row],[Ruimte code]],Ruimtegroepen[],4,FALSE)</f>
        <v>Bu</v>
      </c>
      <c r="R117" s="73">
        <v>40</v>
      </c>
      <c r="S117" s="73" t="s">
        <v>15</v>
      </c>
      <c r="T117" s="73">
        <f>IF(R117&gt;0,IF(RIGHT(Ruimtestaat[[#This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17" s="73">
        <f>IF(T117&gt;0,VLOOKUP($J117,Ruimtegroepen[],3,FALSE)*VLOOKUP($L117,Vloersoorten[],3,FALSE)*VLOOKUP($S117,Frequenties[],3,FALSE)*VLOOKUP($A117,Locaties[],3,FALSE),0)</f>
        <v>0</v>
      </c>
      <c r="V117" s="73">
        <f>Ruimtestaat[[#This Row],[Uitvoeringen werkdagen]]*Ruimtestaat[[#This Row],[Oppervlak (netto)]]</f>
        <v>680</v>
      </c>
      <c r="W117" s="108">
        <f>IF(U117&gt;0,Ruimtestaat[[#This Row],[Prest. (m2 /jaar) werkdagen]]/Ruimtestaat[[#This Row],[Norm (m2/uur) werkdagen]],0)</f>
        <v>0</v>
      </c>
      <c r="X117" s="109">
        <f>Ruimtestaat[[#This Row],[uren / jaar werkdagen]]*Tariefsopbouw!$E$35</f>
        <v>0</v>
      </c>
      <c r="Y117" s="73"/>
      <c r="Z117" s="73">
        <f>IF(Ruimtestaat[[#This Row],[Frequentie weekend]]&gt;0,VALUE(LEFT(Y117,1))*R117,0)</f>
        <v>0</v>
      </c>
      <c r="AA117" s="72">
        <f>IF($Z117&gt;0,VLOOKUP($J117,Ruimtegroepen[],3,FALSE)*VLOOKUP($L117,Vloersoorten[],3,FALSE)*VLOOKUP($Y117,Frequenties[],3,FALSE)*VLOOKUP(Ruimtestaat[[#This Row],[Code]],Locaties[],3,FALSE),0)</f>
        <v>0</v>
      </c>
      <c r="AB117" s="72">
        <f>Ruimtestaat[[#This Row],[Uitvoeringen weekend]]*Ruimtestaat[[#This Row],[Oppervlak (netto)]]</f>
        <v>0</v>
      </c>
      <c r="AC117" s="72">
        <f>IF(AA117&gt;0,Ruimtestaat[[#This Row],[Prest. (m2 /jaar) weekend]]/Ruimtestaat[[#This Row],[Norm (m2/uur) weekend]],0)</f>
        <v>0</v>
      </c>
      <c r="AD117" s="109">
        <f>Ruimtestaat[[#This Row],[uren / jaar weekend]]*Tariefsopbouw!$D$40</f>
        <v>0</v>
      </c>
      <c r="AE117" s="108">
        <f>Ruimtestaat[[#This Row],[Prest. (m2 /jaar) weekend]]+Ruimtestaat[[#This Row],[Prest. (m2 /jaar) werkdagen]]</f>
        <v>680</v>
      </c>
      <c r="AF117" s="108">
        <f>Ruimtestaat[[#This Row],[uren / jaar weekend]]+Ruimtestaat[[#This Row],[uren / jaar werkdagen]]</f>
        <v>0</v>
      </c>
      <c r="AG117" s="103">
        <f>Ruimtestaat[[#This Row],[kosten / jaar weekend]]+Ruimtestaat[[#This Row],[kosten / jaar werkdagen]]</f>
        <v>0</v>
      </c>
      <c r="AH117" s="103"/>
      <c r="AI117" s="110" t="str">
        <f>IF(Ruimtestaat[[#This Row],[Frequentie werkdagen]]="","",_xlfn.CONCAT(Ruimtestaat[[#This Row],[Ruimte code]],"-",Ruimtestaat[[#This Row],[Frequentie werkdagen]]," ",Ruimtestaat[[#This Row],[Vloer code]]))</f>
        <v>2-1w T</v>
      </c>
      <c r="AJ117" s="114" t="str">
        <f>_xlfn.IFNA(VLOOKUP($AI117,Programma!$F$3:$G$1101,2,0),"")</f>
        <v>_</v>
      </c>
      <c r="AK117" s="114" t="str">
        <f>_xlfn.IFNA(VLOOKUP($AI117,Programma!$F$3:$H$1101,3,0),"")</f>
        <v>1w</v>
      </c>
      <c r="AL117" s="114" t="str">
        <f>_xlfn.IFNA(VLOOKUP($AI117,Programma!$F$3:$I$1101,4,0),"")</f>
        <v>_</v>
      </c>
      <c r="AM117" s="114" t="str">
        <f>_xlfn.IFNA(VLOOKUP($AI117,Programma!$F$3:$J$1101,5,0),"")</f>
        <v>_</v>
      </c>
      <c r="AN117" s="114" t="str">
        <f>_xlfn.IFNA(VLOOKUP($AI117,Programma!$F$3:$K$1101,6,0),"")</f>
        <v>_</v>
      </c>
      <c r="AO117" s="114" t="str">
        <f>_xlfn.IFNA(VLOOKUP($AI117,Programma!$F$3:$L$1101,7,0),"")</f>
        <v>_</v>
      </c>
      <c r="AP117" s="114" t="str">
        <f>_xlfn.IFNA(VLOOKUP($AI117,Programma!$F$3:$M$1101,8,0),"")</f>
        <v>_</v>
      </c>
      <c r="AQ117" s="114" t="str">
        <f>_xlfn.IFNA(VLOOKUP($AI117,Programma!$F$3:$N$1101,9,0),"")</f>
        <v>_</v>
      </c>
      <c r="AR117" s="114" t="str">
        <f>_xlfn.IFNA(VLOOKUP($AI117,Programma!$F$3:$O$1101,10,0),"")</f>
        <v>1w</v>
      </c>
      <c r="AS117" s="114" t="str">
        <f>_xlfn.IFNA(VLOOKUP($AI117,Programma!$F$3:$P$1101,11,0),"")</f>
        <v>1w</v>
      </c>
      <c r="AT117" s="114" t="str">
        <f>_xlfn.IFNA(VLOOKUP($AI117,Programma!$F$3:$Q$1101,12,0),"")</f>
        <v>1w</v>
      </c>
      <c r="AU117" s="114" t="str">
        <f>_xlfn.IFNA(VLOOKUP($AI117,Programma!$F$3:$R$1101,13,0),"")</f>
        <v>1w</v>
      </c>
      <c r="AV117" s="114" t="str">
        <f>_xlfn.IFNA(VLOOKUP($AI117,Programma!$F$3:$S$1101,14,0),"")</f>
        <v>1m</v>
      </c>
      <c r="AW117" s="114" t="str">
        <f>_xlfn.IFNA(VLOOKUP($AI117,Programma!$F$3:$T$1101,15,0),"")</f>
        <v>2j</v>
      </c>
      <c r="AX117" s="114" t="str">
        <f>_xlfn.IFNA(VLOOKUP($AI117,Programma!$F$3:$U$1101,16,0),"")</f>
        <v>1j</v>
      </c>
      <c r="AY117" s="114" t="str">
        <f>_xlfn.IFNA(VLOOKUP($AI117,Programma!$F$3:$V$1101,17,0),"")</f>
        <v>_</v>
      </c>
      <c r="AZ117" s="114" t="str">
        <f>_xlfn.IFNA(VLOOKUP($AI117,Programma!$F$3:$W$1101,18,0),"")</f>
        <v>_</v>
      </c>
      <c r="BA117" s="114" t="str">
        <f>_xlfn.IFNA(VLOOKUP($AI117,Programma!$F$3:$X$1101,19,0),"")</f>
        <v>_</v>
      </c>
      <c r="BB117" s="114" t="str">
        <f>_xlfn.IFNA(VLOOKUP($AI117,Programma!$F$3:$Y$1101,20,0),"")</f>
        <v>_</v>
      </c>
      <c r="BC117" s="111"/>
      <c r="BD117" s="110" t="str">
        <f>IF(Ruimtestaat[[#This Row],[Frequentie weekend]]="","",_xlfn.CONCAT(Ruimtestaat[[#This Row],[Ruimte code]],"-",Ruimtestaat[[#This Row],[Frequentie weekend]]," ",Ruimtestaat[[#This Row],[Vloer code]]))</f>
        <v/>
      </c>
      <c r="BE117" s="114" t="str">
        <f>_xlfn.IFNA(VLOOKUP($BD117,Programma!$F$3:$G$1101,2,0),"")</f>
        <v/>
      </c>
      <c r="BF117" s="114" t="str">
        <f>_xlfn.IFNA(VLOOKUP($BD117,Programma!$F$3:$H$1101,3,0),"")</f>
        <v/>
      </c>
      <c r="BG117" s="114" t="str">
        <f>_xlfn.IFNA(VLOOKUP($BD117,Programma!$F$3:$I$1101,4,0),"")</f>
        <v/>
      </c>
      <c r="BH117" s="114" t="str">
        <f>_xlfn.IFNA(VLOOKUP($BD117,Programma!$F$3:$J$1101,5,0),"")</f>
        <v/>
      </c>
      <c r="BI117" s="114" t="str">
        <f>_xlfn.IFNA(VLOOKUP($BD117,Programma!$F$3:$K$1101,6,0),"")</f>
        <v/>
      </c>
      <c r="BJ117" s="114" t="str">
        <f>_xlfn.IFNA(VLOOKUP($BD117,Programma!$F$3:$L$1101,7,0),"")</f>
        <v/>
      </c>
      <c r="BK117" s="114" t="str">
        <f>_xlfn.IFNA(VLOOKUP($BD117,Programma!$F$3:$M$1101,8,0),"")</f>
        <v/>
      </c>
      <c r="BL117" s="114" t="str">
        <f>_xlfn.IFNA(VLOOKUP($BD117,Programma!$F$3:$N$1101,9,0),"")</f>
        <v/>
      </c>
      <c r="BM117" s="114" t="str">
        <f>_xlfn.IFNA(VLOOKUP($BD117,Programma!$F$3:$O$1101,10,0),"")</f>
        <v/>
      </c>
      <c r="BN117" s="114" t="str">
        <f>_xlfn.IFNA(VLOOKUP($BD117,Programma!$F$3:$P$1101,11,0),"")</f>
        <v/>
      </c>
      <c r="BO117" s="114" t="str">
        <f>_xlfn.IFNA(VLOOKUP($BD117,Programma!$F$3:$Q$1101,12,0),"")</f>
        <v/>
      </c>
      <c r="BP117" s="114" t="str">
        <f>_xlfn.IFNA(VLOOKUP($BD117,Programma!$F$3:$R$1101,13,0),"")</f>
        <v/>
      </c>
      <c r="BQ117" s="114" t="str">
        <f>_xlfn.IFNA(VLOOKUP($BD117,Programma!$F$3:$S$1101,14,0),"")</f>
        <v/>
      </c>
      <c r="BR117" s="114" t="str">
        <f>_xlfn.IFNA(VLOOKUP($BD117,Programma!$F$3:$T$1101,15,0),"")</f>
        <v/>
      </c>
      <c r="BS117" s="114" t="str">
        <f>_xlfn.IFNA(VLOOKUP($BD117,Programma!$F$3:$U$1101,16,0),"")</f>
        <v/>
      </c>
      <c r="BT117" s="114" t="str">
        <f>_xlfn.IFNA(VLOOKUP($BD117,Programma!$F$3:$V$1101,17,0),"")</f>
        <v/>
      </c>
      <c r="BU117" s="114" t="str">
        <f>_xlfn.IFNA(VLOOKUP($BD117,Programma!$F$3:$W$1101,18,0),"")</f>
        <v/>
      </c>
      <c r="BV117" s="114" t="str">
        <f>_xlfn.IFNA(VLOOKUP($BD117,Programma!$F$3:$X$1101,19,0),"")</f>
        <v/>
      </c>
      <c r="BW117" s="114" t="str">
        <f>_xlfn.IFNA(VLOOKUP($BD117,Programma!$F$3:$Y$1101,20,0),"")</f>
        <v/>
      </c>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c r="FP117" s="28"/>
      <c r="FQ117" s="28"/>
      <c r="FR117" s="28"/>
      <c r="FS117" s="28"/>
      <c r="FT117" s="28"/>
      <c r="FU117" s="28"/>
      <c r="FV117" s="28"/>
      <c r="FW117" s="28"/>
      <c r="FX117" s="28"/>
      <c r="FY117" s="28"/>
      <c r="FZ117" s="28"/>
      <c r="GA117" s="28"/>
      <c r="GB117" s="28"/>
      <c r="GC117" s="28"/>
      <c r="GD117" s="28"/>
      <c r="GE117" s="28"/>
      <c r="GF117" s="28"/>
      <c r="GG117" s="28"/>
      <c r="GH117" s="28"/>
      <c r="GI117" s="28"/>
      <c r="GJ117" s="28"/>
      <c r="GK117" s="28"/>
      <c r="GL117" s="28"/>
      <c r="GM117" s="28"/>
      <c r="GN117" s="28"/>
      <c r="GO117" s="28"/>
      <c r="GP117" s="28"/>
      <c r="GQ117" s="28"/>
      <c r="GR117" s="28"/>
      <c r="GS117" s="28"/>
      <c r="GT117" s="28"/>
      <c r="GU117" s="28"/>
      <c r="GV117" s="28"/>
      <c r="GW117" s="28"/>
      <c r="GX117" s="28"/>
      <c r="GY117" s="28"/>
      <c r="GZ117" s="28"/>
      <c r="HA117" s="28"/>
      <c r="HB117" s="28"/>
      <c r="HC117" s="28"/>
      <c r="HD117" s="28"/>
      <c r="HE117" s="28"/>
      <c r="HF117" s="28"/>
      <c r="HG117" s="28"/>
      <c r="HH117" s="28"/>
      <c r="HI117" s="28"/>
      <c r="HJ117" s="28"/>
      <c r="HK117" s="28"/>
      <c r="HL117" s="28"/>
    </row>
    <row r="118" spans="1:220" ht="15" customHeight="1">
      <c r="A118" s="31">
        <v>2</v>
      </c>
      <c r="B118" s="105" t="str">
        <f>VLOOKUP(Ruimtestaat[[#This Row],[Code]],Locaties[[Code]:[Locatie]],2,FALSE)</f>
        <v>IKC De Hoge Hoeve</v>
      </c>
      <c r="C118" s="105" t="str">
        <f>VLOOKUP(Ruimtestaat[[#This Row],[Code]],Locaties[[#All],[Code]:[Adres]],4,FALSE)</f>
        <v>De Hoge Hoeve 70</v>
      </c>
      <c r="D118" s="105" t="str">
        <f>VLOOKUP(Ruimtestaat[[#This Row],[Code]],Locaties[[#All],[Code]:[Postcode]],5,FALSE)</f>
        <v>6932 DJ</v>
      </c>
      <c r="E118" s="105" t="str">
        <f>VLOOKUP(Ruimtestaat[[#This Row],[Code]],Locaties[#All],6,FALSE)</f>
        <v>Westervoort</v>
      </c>
      <c r="F118" s="73"/>
      <c r="G118" s="73" t="s">
        <v>1645</v>
      </c>
      <c r="H118" s="271" t="s">
        <v>1768</v>
      </c>
      <c r="I118" s="273" t="s">
        <v>1753</v>
      </c>
      <c r="J118" s="31">
        <v>4</v>
      </c>
      <c r="K118" s="113" t="str">
        <f>VLOOKUP(Ruimtestaat[[#This Row],[Ruimte code]],Ruimtegroepen[[#All],[Code]:[Ruimte omschrijving]],2,FALSE)</f>
        <v>Vergader/spreekkamers</v>
      </c>
      <c r="L118" s="73" t="s">
        <v>102</v>
      </c>
      <c r="M118" s="273" t="s">
        <v>120</v>
      </c>
      <c r="N118" s="106">
        <v>12</v>
      </c>
      <c r="O118" s="112"/>
      <c r="P118" s="112"/>
      <c r="Q118" s="107" t="str">
        <f>VLOOKUP(Ruimtestaat[[#This Row],[Ruimte code]],Ruimtegroepen[],4,FALSE)</f>
        <v>Bu</v>
      </c>
      <c r="R118" s="73">
        <v>40</v>
      </c>
      <c r="S118" s="73" t="s">
        <v>15</v>
      </c>
      <c r="T118" s="73">
        <f>IF(R118&gt;0,IF(RIGHT(Ruimtestaat[[#This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18" s="73">
        <f>IF(T118&gt;0,VLOOKUP($J118,Ruimtegroepen[],3,FALSE)*VLOOKUP($L118,Vloersoorten[],3,FALSE)*VLOOKUP($S118,Frequenties[],3,FALSE)*VLOOKUP($A118,Locaties[],3,FALSE),0)</f>
        <v>0</v>
      </c>
      <c r="V118" s="73">
        <f>Ruimtestaat[[#This Row],[Uitvoeringen werkdagen]]*Ruimtestaat[[#This Row],[Oppervlak (netto)]]</f>
        <v>480</v>
      </c>
      <c r="W118" s="108">
        <f>IF(U118&gt;0,Ruimtestaat[[#This Row],[Prest. (m2 /jaar) werkdagen]]/Ruimtestaat[[#This Row],[Norm (m2/uur) werkdagen]],0)</f>
        <v>0</v>
      </c>
      <c r="X118" s="109">
        <f>Ruimtestaat[[#This Row],[uren / jaar werkdagen]]*Tariefsopbouw!$E$35</f>
        <v>0</v>
      </c>
      <c r="Y118" s="73"/>
      <c r="Z118" s="73">
        <f>IF(Ruimtestaat[[#This Row],[Frequentie weekend]]&gt;0,VALUE(LEFT(Y118,1))*R118,0)</f>
        <v>0</v>
      </c>
      <c r="AA118" s="72">
        <f>IF($Z118&gt;0,VLOOKUP($J118,Ruimtegroepen[],3,FALSE)*VLOOKUP($L118,Vloersoorten[],3,FALSE)*VLOOKUP($Y118,Frequenties[],3,FALSE)*VLOOKUP(Ruimtestaat[[#This Row],[Code]],Locaties[],3,FALSE),0)</f>
        <v>0</v>
      </c>
      <c r="AB118" s="72">
        <f>Ruimtestaat[[#This Row],[Uitvoeringen weekend]]*Ruimtestaat[[#This Row],[Oppervlak (netto)]]</f>
        <v>0</v>
      </c>
      <c r="AC118" s="72">
        <f>IF(AA118&gt;0,Ruimtestaat[[#This Row],[Prest. (m2 /jaar) weekend]]/Ruimtestaat[[#This Row],[Norm (m2/uur) weekend]],0)</f>
        <v>0</v>
      </c>
      <c r="AD118" s="109">
        <f>Ruimtestaat[[#This Row],[uren / jaar weekend]]*Tariefsopbouw!$D$40</f>
        <v>0</v>
      </c>
      <c r="AE118" s="108">
        <f>Ruimtestaat[[#This Row],[Prest. (m2 /jaar) weekend]]+Ruimtestaat[[#This Row],[Prest. (m2 /jaar) werkdagen]]</f>
        <v>480</v>
      </c>
      <c r="AF118" s="108">
        <f>Ruimtestaat[[#This Row],[uren / jaar weekend]]+Ruimtestaat[[#This Row],[uren / jaar werkdagen]]</f>
        <v>0</v>
      </c>
      <c r="AG118" s="103">
        <f>Ruimtestaat[[#This Row],[kosten / jaar weekend]]+Ruimtestaat[[#This Row],[kosten / jaar werkdagen]]</f>
        <v>0</v>
      </c>
      <c r="AH118" s="103"/>
      <c r="AI118" s="110" t="str">
        <f>IF(Ruimtestaat[[#This Row],[Frequentie werkdagen]]="","",_xlfn.CONCAT(Ruimtestaat[[#This Row],[Ruimte code]],"-",Ruimtestaat[[#This Row],[Frequentie werkdagen]]," ",Ruimtestaat[[#This Row],[Vloer code]]))</f>
        <v>4-1w P</v>
      </c>
      <c r="AJ118" s="114" t="str">
        <f>_xlfn.IFNA(VLOOKUP($AI118,Programma!$F$3:$G$1101,2,0),"")</f>
        <v>_</v>
      </c>
      <c r="AK118" s="114" t="str">
        <f>_xlfn.IFNA(VLOOKUP($AI118,Programma!$F$3:$H$1101,3,0),"")</f>
        <v>_</v>
      </c>
      <c r="AL118" s="114" t="str">
        <f>_xlfn.IFNA(VLOOKUP($AI118,Programma!$F$3:$I$1101,4,0),"")</f>
        <v>_</v>
      </c>
      <c r="AM118" s="114" t="str">
        <f>_xlfn.IFNA(VLOOKUP($AI118,Programma!$F$3:$J$1101,5,0),"")</f>
        <v>1w</v>
      </c>
      <c r="AN118" s="114" t="str">
        <f>_xlfn.IFNA(VLOOKUP($AI118,Programma!$F$3:$K$1101,6,0),"")</f>
        <v>2j</v>
      </c>
      <c r="AO118" s="114" t="str">
        <f>_xlfn.IFNA(VLOOKUP($AI118,Programma!$F$3:$L$1101,7,0),"")</f>
        <v>_</v>
      </c>
      <c r="AP118" s="114" t="str">
        <f>_xlfn.IFNA(VLOOKUP($AI118,Programma!$F$3:$M$1101,8,0),"")</f>
        <v>_</v>
      </c>
      <c r="AQ118" s="114" t="str">
        <f>_xlfn.IFNA(VLOOKUP($AI118,Programma!$F$3:$N$1101,9,0),"")</f>
        <v>_</v>
      </c>
      <c r="AR118" s="114" t="str">
        <f>_xlfn.IFNA(VLOOKUP($AI118,Programma!$F$3:$O$1101,10,0),"")</f>
        <v>1w</v>
      </c>
      <c r="AS118" s="114" t="str">
        <f>_xlfn.IFNA(VLOOKUP($AI118,Programma!$F$3:$P$1101,11,0),"")</f>
        <v>1w</v>
      </c>
      <c r="AT118" s="114" t="str">
        <f>_xlfn.IFNA(VLOOKUP($AI118,Programma!$F$3:$Q$1101,12,0),"")</f>
        <v>1w</v>
      </c>
      <c r="AU118" s="114" t="str">
        <f>_xlfn.IFNA(VLOOKUP($AI118,Programma!$F$3:$R$1101,13,0),"")</f>
        <v>1w</v>
      </c>
      <c r="AV118" s="114" t="str">
        <f>_xlfn.IFNA(VLOOKUP($AI118,Programma!$F$3:$S$1101,14,0),"")</f>
        <v>1m</v>
      </c>
      <c r="AW118" s="114" t="str">
        <f>_xlfn.IFNA(VLOOKUP($AI118,Programma!$F$3:$T$1101,15,0),"")</f>
        <v>2j</v>
      </c>
      <c r="AX118" s="114" t="str">
        <f>_xlfn.IFNA(VLOOKUP($AI118,Programma!$F$3:$U$1101,16,0),"")</f>
        <v>1j</v>
      </c>
      <c r="AY118" s="114" t="str">
        <f>_xlfn.IFNA(VLOOKUP($AI118,Programma!$F$3:$V$1101,17,0),"")</f>
        <v>_</v>
      </c>
      <c r="AZ118" s="114" t="str">
        <f>_xlfn.IFNA(VLOOKUP($AI118,Programma!$F$3:$W$1101,18,0),"")</f>
        <v>_</v>
      </c>
      <c r="BA118" s="114" t="str">
        <f>_xlfn.IFNA(VLOOKUP($AI118,Programma!$F$3:$X$1101,19,0),"")</f>
        <v>_</v>
      </c>
      <c r="BB118" s="114" t="str">
        <f>_xlfn.IFNA(VLOOKUP($AI118,Programma!$F$3:$Y$1101,20,0),"")</f>
        <v>_</v>
      </c>
      <c r="BC118" s="111"/>
      <c r="BD118" s="110" t="str">
        <f>IF(Ruimtestaat[[#This Row],[Frequentie weekend]]="","",_xlfn.CONCAT(Ruimtestaat[[#This Row],[Ruimte code]],"-",Ruimtestaat[[#This Row],[Frequentie weekend]]," ",Ruimtestaat[[#This Row],[Vloer code]]))</f>
        <v/>
      </c>
      <c r="BE118" s="114" t="str">
        <f>_xlfn.IFNA(VLOOKUP($BD118,Programma!$F$3:$G$1101,2,0),"")</f>
        <v/>
      </c>
      <c r="BF118" s="114" t="str">
        <f>_xlfn.IFNA(VLOOKUP($BD118,Programma!$F$3:$H$1101,3,0),"")</f>
        <v/>
      </c>
      <c r="BG118" s="114" t="str">
        <f>_xlfn.IFNA(VLOOKUP($BD118,Programma!$F$3:$I$1101,4,0),"")</f>
        <v/>
      </c>
      <c r="BH118" s="114" t="str">
        <f>_xlfn.IFNA(VLOOKUP($BD118,Programma!$F$3:$J$1101,5,0),"")</f>
        <v/>
      </c>
      <c r="BI118" s="114" t="str">
        <f>_xlfn.IFNA(VLOOKUP($BD118,Programma!$F$3:$K$1101,6,0),"")</f>
        <v/>
      </c>
      <c r="BJ118" s="114" t="str">
        <f>_xlfn.IFNA(VLOOKUP($BD118,Programma!$F$3:$L$1101,7,0),"")</f>
        <v/>
      </c>
      <c r="BK118" s="114" t="str">
        <f>_xlfn.IFNA(VLOOKUP($BD118,Programma!$F$3:$M$1101,8,0),"")</f>
        <v/>
      </c>
      <c r="BL118" s="114" t="str">
        <f>_xlfn.IFNA(VLOOKUP($BD118,Programma!$F$3:$N$1101,9,0),"")</f>
        <v/>
      </c>
      <c r="BM118" s="114" t="str">
        <f>_xlfn.IFNA(VLOOKUP($BD118,Programma!$F$3:$O$1101,10,0),"")</f>
        <v/>
      </c>
      <c r="BN118" s="114" t="str">
        <f>_xlfn.IFNA(VLOOKUP($BD118,Programma!$F$3:$P$1101,11,0),"")</f>
        <v/>
      </c>
      <c r="BO118" s="114" t="str">
        <f>_xlfn.IFNA(VLOOKUP($BD118,Programma!$F$3:$Q$1101,12,0),"")</f>
        <v/>
      </c>
      <c r="BP118" s="114" t="str">
        <f>_xlfn.IFNA(VLOOKUP($BD118,Programma!$F$3:$R$1101,13,0),"")</f>
        <v/>
      </c>
      <c r="BQ118" s="114" t="str">
        <f>_xlfn.IFNA(VLOOKUP($BD118,Programma!$F$3:$S$1101,14,0),"")</f>
        <v/>
      </c>
      <c r="BR118" s="114" t="str">
        <f>_xlfn.IFNA(VLOOKUP($BD118,Programma!$F$3:$T$1101,15,0),"")</f>
        <v/>
      </c>
      <c r="BS118" s="114" t="str">
        <f>_xlfn.IFNA(VLOOKUP($BD118,Programma!$F$3:$U$1101,16,0),"")</f>
        <v/>
      </c>
      <c r="BT118" s="114" t="str">
        <f>_xlfn.IFNA(VLOOKUP($BD118,Programma!$F$3:$V$1101,17,0),"")</f>
        <v/>
      </c>
      <c r="BU118" s="114" t="str">
        <f>_xlfn.IFNA(VLOOKUP($BD118,Programma!$F$3:$W$1101,18,0),"")</f>
        <v/>
      </c>
      <c r="BV118" s="114" t="str">
        <f>_xlfn.IFNA(VLOOKUP($BD118,Programma!$F$3:$X$1101,19,0),"")</f>
        <v/>
      </c>
      <c r="BW118" s="114" t="str">
        <f>_xlfn.IFNA(VLOOKUP($BD118,Programma!$F$3:$Y$1101,20,0),"")</f>
        <v/>
      </c>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c r="GF118" s="28"/>
      <c r="GG118" s="28"/>
      <c r="GH118" s="28"/>
      <c r="GI118" s="28"/>
      <c r="GJ118" s="28"/>
      <c r="GK118" s="28"/>
      <c r="GL118" s="28"/>
      <c r="GM118" s="28"/>
      <c r="GN118" s="28"/>
      <c r="GO118" s="28"/>
      <c r="GP118" s="28"/>
      <c r="GQ118" s="28"/>
      <c r="GR118" s="28"/>
      <c r="GS118" s="28"/>
      <c r="GT118" s="28"/>
      <c r="GU118" s="28"/>
      <c r="GV118" s="28"/>
      <c r="GW118" s="28"/>
      <c r="GX118" s="28"/>
      <c r="GY118" s="28"/>
      <c r="GZ118" s="28"/>
      <c r="HA118" s="28"/>
      <c r="HB118" s="28"/>
      <c r="HC118" s="28"/>
      <c r="HD118" s="28"/>
      <c r="HE118" s="28"/>
      <c r="HF118" s="28"/>
      <c r="HG118" s="28"/>
      <c r="HH118" s="28"/>
      <c r="HI118" s="28"/>
      <c r="HJ118" s="28"/>
      <c r="HK118" s="28"/>
      <c r="HL118" s="28"/>
    </row>
    <row r="119" spans="1:220" ht="15" customHeight="1">
      <c r="A119" s="31">
        <v>2</v>
      </c>
      <c r="B119" s="105" t="str">
        <f>VLOOKUP(Ruimtestaat[[#This Row],[Code]],Locaties[[Code]:[Locatie]],2,FALSE)</f>
        <v>IKC De Hoge Hoeve</v>
      </c>
      <c r="C119" s="105" t="str">
        <f>VLOOKUP(Ruimtestaat[[#This Row],[Code]],Locaties[[#All],[Code]:[Adres]],4,FALSE)</f>
        <v>De Hoge Hoeve 70</v>
      </c>
      <c r="D119" s="105" t="str">
        <f>VLOOKUP(Ruimtestaat[[#This Row],[Code]],Locaties[[#All],[Code]:[Postcode]],5,FALSE)</f>
        <v>6932 DJ</v>
      </c>
      <c r="E119" s="105" t="str">
        <f>VLOOKUP(Ruimtestaat[[#This Row],[Code]],Locaties[#All],6,FALSE)</f>
        <v>Westervoort</v>
      </c>
      <c r="F119" s="73"/>
      <c r="G119" s="73" t="s">
        <v>1645</v>
      </c>
      <c r="H119" s="271" t="s">
        <v>1769</v>
      </c>
      <c r="I119" s="273" t="s">
        <v>1649</v>
      </c>
      <c r="J119" s="31">
        <v>2</v>
      </c>
      <c r="K119" s="113" t="str">
        <f>VLOOKUP(Ruimtestaat[[#This Row],[Ruimte code]],Ruimtegroepen[[#All],[Code]:[Ruimte omschrijving]],2,FALSE)</f>
        <v>Kantoren</v>
      </c>
      <c r="L119" s="73" t="s">
        <v>99</v>
      </c>
      <c r="M119" s="273" t="s">
        <v>36</v>
      </c>
      <c r="N119" s="106">
        <v>23</v>
      </c>
      <c r="O119" s="112"/>
      <c r="P119" s="112"/>
      <c r="Q119" s="107" t="str">
        <f>VLOOKUP(Ruimtestaat[[#This Row],[Ruimte code]],Ruimtegroepen[],4,FALSE)</f>
        <v>Bu</v>
      </c>
      <c r="R119" s="73">
        <v>40</v>
      </c>
      <c r="S119" s="73" t="s">
        <v>15</v>
      </c>
      <c r="T119" s="73">
        <f>IF(R119&gt;0,IF(RIGHT(Ruimtestaat[[#This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19" s="73">
        <f>IF(T119&gt;0,VLOOKUP($J119,Ruimtegroepen[],3,FALSE)*VLOOKUP($L119,Vloersoorten[],3,FALSE)*VLOOKUP($S119,Frequenties[],3,FALSE)*VLOOKUP($A119,Locaties[],3,FALSE),0)</f>
        <v>0</v>
      </c>
      <c r="V119" s="73">
        <f>Ruimtestaat[[#This Row],[Uitvoeringen werkdagen]]*Ruimtestaat[[#This Row],[Oppervlak (netto)]]</f>
        <v>920</v>
      </c>
      <c r="W119" s="108">
        <f>IF(U119&gt;0,Ruimtestaat[[#This Row],[Prest. (m2 /jaar) werkdagen]]/Ruimtestaat[[#This Row],[Norm (m2/uur) werkdagen]],0)</f>
        <v>0</v>
      </c>
      <c r="X119" s="109">
        <f>Ruimtestaat[[#This Row],[uren / jaar werkdagen]]*Tariefsopbouw!$E$35</f>
        <v>0</v>
      </c>
      <c r="Y119" s="73"/>
      <c r="Z119" s="73">
        <f>IF(Ruimtestaat[[#This Row],[Frequentie weekend]]&gt;0,VALUE(LEFT(Y119,1))*R119,0)</f>
        <v>0</v>
      </c>
      <c r="AA119" s="72">
        <f>IF($Z119&gt;0,VLOOKUP($J119,Ruimtegroepen[],3,FALSE)*VLOOKUP($L119,Vloersoorten[],3,FALSE)*VLOOKUP($Y119,Frequenties[],3,FALSE)*VLOOKUP(Ruimtestaat[[#This Row],[Code]],Locaties[],3,FALSE),0)</f>
        <v>0</v>
      </c>
      <c r="AB119" s="72">
        <f>Ruimtestaat[[#This Row],[Uitvoeringen weekend]]*Ruimtestaat[[#This Row],[Oppervlak (netto)]]</f>
        <v>0</v>
      </c>
      <c r="AC119" s="72">
        <f>IF(AA119&gt;0,Ruimtestaat[[#This Row],[Prest. (m2 /jaar) weekend]]/Ruimtestaat[[#This Row],[Norm (m2/uur) weekend]],0)</f>
        <v>0</v>
      </c>
      <c r="AD119" s="109">
        <f>Ruimtestaat[[#This Row],[uren / jaar weekend]]*Tariefsopbouw!$D$40</f>
        <v>0</v>
      </c>
      <c r="AE119" s="108">
        <f>Ruimtestaat[[#This Row],[Prest. (m2 /jaar) weekend]]+Ruimtestaat[[#This Row],[Prest. (m2 /jaar) werkdagen]]</f>
        <v>920</v>
      </c>
      <c r="AF119" s="108">
        <f>Ruimtestaat[[#This Row],[uren / jaar weekend]]+Ruimtestaat[[#This Row],[uren / jaar werkdagen]]</f>
        <v>0</v>
      </c>
      <c r="AG119" s="103">
        <f>Ruimtestaat[[#This Row],[kosten / jaar weekend]]+Ruimtestaat[[#This Row],[kosten / jaar werkdagen]]</f>
        <v>0</v>
      </c>
      <c r="AH119" s="103"/>
      <c r="AI119" s="110" t="str">
        <f>IF(Ruimtestaat[[#This Row],[Frequentie werkdagen]]="","",_xlfn.CONCAT(Ruimtestaat[[#This Row],[Ruimte code]],"-",Ruimtestaat[[#This Row],[Frequentie werkdagen]]," ",Ruimtestaat[[#This Row],[Vloer code]]))</f>
        <v>2-1w T</v>
      </c>
      <c r="AJ119" s="114" t="str">
        <f>_xlfn.IFNA(VLOOKUP($AI119,Programma!$F$3:$G$1101,2,0),"")</f>
        <v>_</v>
      </c>
      <c r="AK119" s="114" t="str">
        <f>_xlfn.IFNA(VLOOKUP($AI119,Programma!$F$3:$H$1101,3,0),"")</f>
        <v>1w</v>
      </c>
      <c r="AL119" s="114" t="str">
        <f>_xlfn.IFNA(VLOOKUP($AI119,Programma!$F$3:$I$1101,4,0),"")</f>
        <v>_</v>
      </c>
      <c r="AM119" s="114" t="str">
        <f>_xlfn.IFNA(VLOOKUP($AI119,Programma!$F$3:$J$1101,5,0),"")</f>
        <v>_</v>
      </c>
      <c r="AN119" s="114" t="str">
        <f>_xlfn.IFNA(VLOOKUP($AI119,Programma!$F$3:$K$1101,6,0),"")</f>
        <v>_</v>
      </c>
      <c r="AO119" s="114" t="str">
        <f>_xlfn.IFNA(VLOOKUP($AI119,Programma!$F$3:$L$1101,7,0),"")</f>
        <v>_</v>
      </c>
      <c r="AP119" s="114" t="str">
        <f>_xlfn.IFNA(VLOOKUP($AI119,Programma!$F$3:$M$1101,8,0),"")</f>
        <v>_</v>
      </c>
      <c r="AQ119" s="114" t="str">
        <f>_xlfn.IFNA(VLOOKUP($AI119,Programma!$F$3:$N$1101,9,0),"")</f>
        <v>_</v>
      </c>
      <c r="AR119" s="114" t="str">
        <f>_xlfn.IFNA(VLOOKUP($AI119,Programma!$F$3:$O$1101,10,0),"")</f>
        <v>1w</v>
      </c>
      <c r="AS119" s="114" t="str">
        <f>_xlfn.IFNA(VLOOKUP($AI119,Programma!$F$3:$P$1101,11,0),"")</f>
        <v>1w</v>
      </c>
      <c r="AT119" s="114" t="str">
        <f>_xlfn.IFNA(VLOOKUP($AI119,Programma!$F$3:$Q$1101,12,0),"")</f>
        <v>1w</v>
      </c>
      <c r="AU119" s="114" t="str">
        <f>_xlfn.IFNA(VLOOKUP($AI119,Programma!$F$3:$R$1101,13,0),"")</f>
        <v>1w</v>
      </c>
      <c r="AV119" s="114" t="str">
        <f>_xlfn.IFNA(VLOOKUP($AI119,Programma!$F$3:$S$1101,14,0),"")</f>
        <v>1m</v>
      </c>
      <c r="AW119" s="114" t="str">
        <f>_xlfn.IFNA(VLOOKUP($AI119,Programma!$F$3:$T$1101,15,0),"")</f>
        <v>2j</v>
      </c>
      <c r="AX119" s="114" t="str">
        <f>_xlfn.IFNA(VLOOKUP($AI119,Programma!$F$3:$U$1101,16,0),"")</f>
        <v>1j</v>
      </c>
      <c r="AY119" s="114" t="str">
        <f>_xlfn.IFNA(VLOOKUP($AI119,Programma!$F$3:$V$1101,17,0),"")</f>
        <v>_</v>
      </c>
      <c r="AZ119" s="114" t="str">
        <f>_xlfn.IFNA(VLOOKUP($AI119,Programma!$F$3:$W$1101,18,0),"")</f>
        <v>_</v>
      </c>
      <c r="BA119" s="114" t="str">
        <f>_xlfn.IFNA(VLOOKUP($AI119,Programma!$F$3:$X$1101,19,0),"")</f>
        <v>_</v>
      </c>
      <c r="BB119" s="114" t="str">
        <f>_xlfn.IFNA(VLOOKUP($AI119,Programma!$F$3:$Y$1101,20,0),"")</f>
        <v>_</v>
      </c>
      <c r="BC119" s="111"/>
      <c r="BD119" s="110" t="str">
        <f>IF(Ruimtestaat[[#This Row],[Frequentie weekend]]="","",_xlfn.CONCAT(Ruimtestaat[[#This Row],[Ruimte code]],"-",Ruimtestaat[[#This Row],[Frequentie weekend]]," ",Ruimtestaat[[#This Row],[Vloer code]]))</f>
        <v/>
      </c>
      <c r="BE119" s="114" t="str">
        <f>_xlfn.IFNA(VLOOKUP($BD119,Programma!$F$3:$G$1101,2,0),"")</f>
        <v/>
      </c>
      <c r="BF119" s="114" t="str">
        <f>_xlfn.IFNA(VLOOKUP($BD119,Programma!$F$3:$H$1101,3,0),"")</f>
        <v/>
      </c>
      <c r="BG119" s="114" t="str">
        <f>_xlfn.IFNA(VLOOKUP($BD119,Programma!$F$3:$I$1101,4,0),"")</f>
        <v/>
      </c>
      <c r="BH119" s="114" t="str">
        <f>_xlfn.IFNA(VLOOKUP($BD119,Programma!$F$3:$J$1101,5,0),"")</f>
        <v/>
      </c>
      <c r="BI119" s="114" t="str">
        <f>_xlfn.IFNA(VLOOKUP($BD119,Programma!$F$3:$K$1101,6,0),"")</f>
        <v/>
      </c>
      <c r="BJ119" s="114" t="str">
        <f>_xlfn.IFNA(VLOOKUP($BD119,Programma!$F$3:$L$1101,7,0),"")</f>
        <v/>
      </c>
      <c r="BK119" s="114" t="str">
        <f>_xlfn.IFNA(VLOOKUP($BD119,Programma!$F$3:$M$1101,8,0),"")</f>
        <v/>
      </c>
      <c r="BL119" s="114" t="str">
        <f>_xlfn.IFNA(VLOOKUP($BD119,Programma!$F$3:$N$1101,9,0),"")</f>
        <v/>
      </c>
      <c r="BM119" s="114" t="str">
        <f>_xlfn.IFNA(VLOOKUP($BD119,Programma!$F$3:$O$1101,10,0),"")</f>
        <v/>
      </c>
      <c r="BN119" s="114" t="str">
        <f>_xlfn.IFNA(VLOOKUP($BD119,Programma!$F$3:$P$1101,11,0),"")</f>
        <v/>
      </c>
      <c r="BO119" s="114" t="str">
        <f>_xlfn.IFNA(VLOOKUP($BD119,Programma!$F$3:$Q$1101,12,0),"")</f>
        <v/>
      </c>
      <c r="BP119" s="114" t="str">
        <f>_xlfn.IFNA(VLOOKUP($BD119,Programma!$F$3:$R$1101,13,0),"")</f>
        <v/>
      </c>
      <c r="BQ119" s="114" t="str">
        <f>_xlfn.IFNA(VLOOKUP($BD119,Programma!$F$3:$S$1101,14,0),"")</f>
        <v/>
      </c>
      <c r="BR119" s="114" t="str">
        <f>_xlfn.IFNA(VLOOKUP($BD119,Programma!$F$3:$T$1101,15,0),"")</f>
        <v/>
      </c>
      <c r="BS119" s="114" t="str">
        <f>_xlfn.IFNA(VLOOKUP($BD119,Programma!$F$3:$U$1101,16,0),"")</f>
        <v/>
      </c>
      <c r="BT119" s="114" t="str">
        <f>_xlfn.IFNA(VLOOKUP($BD119,Programma!$F$3:$V$1101,17,0),"")</f>
        <v/>
      </c>
      <c r="BU119" s="114" t="str">
        <f>_xlfn.IFNA(VLOOKUP($BD119,Programma!$F$3:$W$1101,18,0),"")</f>
        <v/>
      </c>
      <c r="BV119" s="114" t="str">
        <f>_xlfn.IFNA(VLOOKUP($BD119,Programma!$F$3:$X$1101,19,0),"")</f>
        <v/>
      </c>
      <c r="BW119" s="114" t="str">
        <f>_xlfn.IFNA(VLOOKUP($BD119,Programma!$F$3:$Y$1101,20,0),"")</f>
        <v/>
      </c>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c r="FJ119" s="28"/>
      <c r="FK119" s="28"/>
      <c r="FL119" s="28"/>
      <c r="FM119" s="28"/>
      <c r="FN119" s="28"/>
      <c r="FO119" s="28"/>
      <c r="FP119" s="28"/>
      <c r="FQ119" s="28"/>
      <c r="FR119" s="28"/>
      <c r="FS119" s="28"/>
      <c r="FT119" s="28"/>
      <c r="FU119" s="28"/>
      <c r="FV119" s="28"/>
      <c r="FW119" s="28"/>
      <c r="FX119" s="28"/>
      <c r="FY119" s="28"/>
      <c r="FZ119" s="28"/>
      <c r="GA119" s="28"/>
      <c r="GB119" s="28"/>
      <c r="GC119" s="28"/>
      <c r="GD119" s="28"/>
      <c r="GE119" s="28"/>
      <c r="GF119" s="28"/>
      <c r="GG119" s="28"/>
      <c r="GH119" s="28"/>
      <c r="GI119" s="28"/>
      <c r="GJ119" s="28"/>
      <c r="GK119" s="28"/>
      <c r="GL119" s="28"/>
      <c r="GM119" s="28"/>
      <c r="GN119" s="28"/>
      <c r="GO119" s="28"/>
      <c r="GP119" s="28"/>
      <c r="GQ119" s="28"/>
      <c r="GR119" s="28"/>
      <c r="GS119" s="28"/>
      <c r="GT119" s="28"/>
      <c r="GU119" s="28"/>
      <c r="GV119" s="28"/>
      <c r="GW119" s="28"/>
      <c r="GX119" s="28"/>
      <c r="GY119" s="28"/>
      <c r="GZ119" s="28"/>
      <c r="HA119" s="28"/>
      <c r="HB119" s="28"/>
      <c r="HC119" s="28"/>
      <c r="HD119" s="28"/>
      <c r="HE119" s="28"/>
      <c r="HF119" s="28"/>
      <c r="HG119" s="28"/>
      <c r="HH119" s="28"/>
      <c r="HI119" s="28"/>
      <c r="HJ119" s="28"/>
      <c r="HK119" s="28"/>
      <c r="HL119" s="28"/>
    </row>
    <row r="120" spans="1:220" ht="15" customHeight="1">
      <c r="A120" s="31">
        <v>2</v>
      </c>
      <c r="B120" s="105" t="str">
        <f>VLOOKUP(Ruimtestaat[[#This Row],[Code]],Locaties[[Code]:[Locatie]],2,FALSE)</f>
        <v>IKC De Hoge Hoeve</v>
      </c>
      <c r="C120" s="105" t="str">
        <f>VLOOKUP(Ruimtestaat[[#This Row],[Code]],Locaties[[#All],[Code]:[Adres]],4,FALSE)</f>
        <v>De Hoge Hoeve 70</v>
      </c>
      <c r="D120" s="105" t="str">
        <f>VLOOKUP(Ruimtestaat[[#This Row],[Code]],Locaties[[#All],[Code]:[Postcode]],5,FALSE)</f>
        <v>6932 DJ</v>
      </c>
      <c r="E120" s="105" t="str">
        <f>VLOOKUP(Ruimtestaat[[#This Row],[Code]],Locaties[#All],6,FALSE)</f>
        <v>Westervoort</v>
      </c>
      <c r="F120" s="73"/>
      <c r="G120" s="73" t="s">
        <v>1645</v>
      </c>
      <c r="H120" s="271" t="s">
        <v>1770</v>
      </c>
      <c r="I120" s="273" t="s">
        <v>1723</v>
      </c>
      <c r="J120" s="31">
        <v>5</v>
      </c>
      <c r="K120" s="113" t="str">
        <f>VLOOKUP(Ruimtestaat[[#This Row],[Ruimte code]],Ruimtegroepen[[#All],[Code]:[Ruimte omschrijving]],2,FALSE)</f>
        <v>Sanitair</v>
      </c>
      <c r="L120" s="73" t="s">
        <v>102</v>
      </c>
      <c r="M120" s="273" t="s">
        <v>120</v>
      </c>
      <c r="N120" s="106">
        <v>4</v>
      </c>
      <c r="O120" s="112"/>
      <c r="P120" s="73"/>
      <c r="Q120" s="107" t="str">
        <f>VLOOKUP(Ruimtestaat[[#This Row],[Ruimte code]],Ruimtegroepen[],4,FALSE)</f>
        <v>Sa</v>
      </c>
      <c r="R120" s="73">
        <v>40</v>
      </c>
      <c r="S120" s="73" t="s">
        <v>2</v>
      </c>
      <c r="T120" s="73">
        <f>IF(R120&gt;0,IF(RIGHT(Ruimtestaat[[#This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0" s="73">
        <f>IF(T120&gt;0,VLOOKUP($J120,Ruimtegroepen[],3,FALSE)*VLOOKUP($L120,Vloersoorten[],3,FALSE)*VLOOKUP($S120,Frequenties[],3,FALSE)*VLOOKUP($A120,Locaties[],3,FALSE),0)</f>
        <v>0</v>
      </c>
      <c r="V120" s="73">
        <f>Ruimtestaat[[#This Row],[Uitvoeringen werkdagen]]*Ruimtestaat[[#This Row],[Oppervlak (netto)]]</f>
        <v>800</v>
      </c>
      <c r="W120" s="108">
        <f>IF(U120&gt;0,Ruimtestaat[[#This Row],[Prest. (m2 /jaar) werkdagen]]/Ruimtestaat[[#This Row],[Norm (m2/uur) werkdagen]],0)</f>
        <v>0</v>
      </c>
      <c r="X120" s="109">
        <f>Ruimtestaat[[#This Row],[uren / jaar werkdagen]]*Tariefsopbouw!$E$35</f>
        <v>0</v>
      </c>
      <c r="Y120" s="73"/>
      <c r="Z120" s="73">
        <f>IF(Ruimtestaat[[#This Row],[Frequentie weekend]]&gt;0,VALUE(LEFT(Y120,1))*R120,0)</f>
        <v>0</v>
      </c>
      <c r="AA120" s="72">
        <f>IF($Z120&gt;0,VLOOKUP($J120,Ruimtegroepen[],3,FALSE)*VLOOKUP($L120,Vloersoorten[],3,FALSE)*VLOOKUP($Y120,Frequenties[],3,FALSE)*VLOOKUP(Ruimtestaat[[#This Row],[Code]],Locaties[],3,FALSE),0)</f>
        <v>0</v>
      </c>
      <c r="AB120" s="72">
        <f>Ruimtestaat[[#This Row],[Uitvoeringen weekend]]*Ruimtestaat[[#This Row],[Oppervlak (netto)]]</f>
        <v>0</v>
      </c>
      <c r="AC120" s="72">
        <f>IF(AA120&gt;0,Ruimtestaat[[#This Row],[Prest. (m2 /jaar) weekend]]/Ruimtestaat[[#This Row],[Norm (m2/uur) weekend]],0)</f>
        <v>0</v>
      </c>
      <c r="AD120" s="109">
        <f>Ruimtestaat[[#This Row],[uren / jaar weekend]]*Tariefsopbouw!$D$40</f>
        <v>0</v>
      </c>
      <c r="AE120" s="108">
        <f>Ruimtestaat[[#This Row],[Prest. (m2 /jaar) weekend]]+Ruimtestaat[[#This Row],[Prest. (m2 /jaar) werkdagen]]</f>
        <v>800</v>
      </c>
      <c r="AF120" s="108">
        <f>Ruimtestaat[[#This Row],[uren / jaar weekend]]+Ruimtestaat[[#This Row],[uren / jaar werkdagen]]</f>
        <v>0</v>
      </c>
      <c r="AG120" s="103">
        <f>Ruimtestaat[[#This Row],[kosten / jaar weekend]]+Ruimtestaat[[#This Row],[kosten / jaar werkdagen]]</f>
        <v>0</v>
      </c>
      <c r="AH120" s="103"/>
      <c r="AI120" s="110" t="str">
        <f>IF(Ruimtestaat[[#This Row],[Frequentie werkdagen]]="","",_xlfn.CONCAT(Ruimtestaat[[#This Row],[Ruimte code]],"-",Ruimtestaat[[#This Row],[Frequentie werkdagen]]," ",Ruimtestaat[[#This Row],[Vloer code]]))</f>
        <v>5-5w P</v>
      </c>
      <c r="AJ120" s="114" t="str">
        <f>_xlfn.IFNA(VLOOKUP($AI120,Programma!$F$3:$G$1101,2,0),"")</f>
        <v>_</v>
      </c>
      <c r="AK120" s="114" t="str">
        <f>_xlfn.IFNA(VLOOKUP($AI120,Programma!$F$3:$H$1101,3,0),"")</f>
        <v>_</v>
      </c>
      <c r="AL120" s="114" t="str">
        <f>_xlfn.IFNA(VLOOKUP($AI120,Programma!$F$3:$I$1101,4,0),"")</f>
        <v>_</v>
      </c>
      <c r="AM120" s="114" t="str">
        <f>_xlfn.IFNA(VLOOKUP($AI120,Programma!$F$3:$J$1101,5,0),"")</f>
        <v>4w</v>
      </c>
      <c r="AN120" s="114" t="str">
        <f>_xlfn.IFNA(VLOOKUP($AI120,Programma!$F$3:$K$1101,6,0),"")</f>
        <v>1w</v>
      </c>
      <c r="AO120" s="114" t="str">
        <f>_xlfn.IFNA(VLOOKUP($AI120,Programma!$F$3:$L$1101,7,0),"")</f>
        <v>_</v>
      </c>
      <c r="AP120" s="114" t="str">
        <f>_xlfn.IFNA(VLOOKUP($AI120,Programma!$F$3:$M$1101,8,0),"")</f>
        <v>_</v>
      </c>
      <c r="AQ120" s="114" t="str">
        <f>_xlfn.IFNA(VLOOKUP($AI120,Programma!$F$3:$N$1101,9,0),"")</f>
        <v>_</v>
      </c>
      <c r="AR120" s="114" t="str">
        <f>_xlfn.IFNA(VLOOKUP($AI120,Programma!$F$3:$O$1101,10,0),"")</f>
        <v>_</v>
      </c>
      <c r="AS120" s="114" t="str">
        <f>_xlfn.IFNA(VLOOKUP($AI120,Programma!$F$3:$P$1101,11,0),"")</f>
        <v>_</v>
      </c>
      <c r="AT120" s="114" t="str">
        <f>_xlfn.IFNA(VLOOKUP($AI120,Programma!$F$3:$Q$1101,12,0),"")</f>
        <v>_</v>
      </c>
      <c r="AU120" s="114" t="str">
        <f>_xlfn.IFNA(VLOOKUP($AI120,Programma!$F$3:$R$1101,13,0),"")</f>
        <v>_</v>
      </c>
      <c r="AV120" s="114" t="str">
        <f>_xlfn.IFNA(VLOOKUP($AI120,Programma!$F$3:$S$1101,14,0),"")</f>
        <v>_</v>
      </c>
      <c r="AW120" s="114" t="str">
        <f>_xlfn.IFNA(VLOOKUP($AI120,Programma!$F$3:$T$1101,15,0),"")</f>
        <v>_</v>
      </c>
      <c r="AX120" s="114" t="str">
        <f>_xlfn.IFNA(VLOOKUP($AI120,Programma!$F$3:$U$1101,16,0),"")</f>
        <v>_</v>
      </c>
      <c r="AY120" s="114" t="str">
        <f>_xlfn.IFNA(VLOOKUP($AI120,Programma!$F$3:$V$1101,17,0),"")</f>
        <v>_</v>
      </c>
      <c r="AZ120" s="114" t="str">
        <f>_xlfn.IFNA(VLOOKUP($AI120,Programma!$F$3:$W$1101,18,0),"")</f>
        <v>4w</v>
      </c>
      <c r="BA120" s="114" t="str">
        <f>_xlfn.IFNA(VLOOKUP($AI120,Programma!$F$3:$X$1101,19,0),"")</f>
        <v>1w</v>
      </c>
      <c r="BB120" s="114" t="str">
        <f>_xlfn.IFNA(VLOOKUP($AI120,Programma!$F$3:$Y$1101,20,0),"")</f>
        <v>_</v>
      </c>
      <c r="BC120" s="111"/>
      <c r="BD120" s="110" t="str">
        <f>IF(Ruimtestaat[[#This Row],[Frequentie weekend]]="","",_xlfn.CONCAT(Ruimtestaat[[#This Row],[Ruimte code]],"-",Ruimtestaat[[#This Row],[Frequentie weekend]]," ",Ruimtestaat[[#This Row],[Vloer code]]))</f>
        <v/>
      </c>
      <c r="BE120" s="114" t="str">
        <f>_xlfn.IFNA(VLOOKUP($BD120,Programma!$F$3:$G$1101,2,0),"")</f>
        <v/>
      </c>
      <c r="BF120" s="114" t="str">
        <f>_xlfn.IFNA(VLOOKUP($BD120,Programma!$F$3:$H$1101,3,0),"")</f>
        <v/>
      </c>
      <c r="BG120" s="114" t="str">
        <f>_xlfn.IFNA(VLOOKUP($BD120,Programma!$F$3:$I$1101,4,0),"")</f>
        <v/>
      </c>
      <c r="BH120" s="114" t="str">
        <f>_xlfn.IFNA(VLOOKUP($BD120,Programma!$F$3:$J$1101,5,0),"")</f>
        <v/>
      </c>
      <c r="BI120" s="114" t="str">
        <f>_xlfn.IFNA(VLOOKUP($BD120,Programma!$F$3:$K$1101,6,0),"")</f>
        <v/>
      </c>
      <c r="BJ120" s="114" t="str">
        <f>_xlfn.IFNA(VLOOKUP($BD120,Programma!$F$3:$L$1101,7,0),"")</f>
        <v/>
      </c>
      <c r="BK120" s="114" t="str">
        <f>_xlfn.IFNA(VLOOKUP($BD120,Programma!$F$3:$M$1101,8,0),"")</f>
        <v/>
      </c>
      <c r="BL120" s="114" t="str">
        <f>_xlfn.IFNA(VLOOKUP($BD120,Programma!$F$3:$N$1101,9,0),"")</f>
        <v/>
      </c>
      <c r="BM120" s="114" t="str">
        <f>_xlfn.IFNA(VLOOKUP($BD120,Programma!$F$3:$O$1101,10,0),"")</f>
        <v/>
      </c>
      <c r="BN120" s="114" t="str">
        <f>_xlfn.IFNA(VLOOKUP($BD120,Programma!$F$3:$P$1101,11,0),"")</f>
        <v/>
      </c>
      <c r="BO120" s="114" t="str">
        <f>_xlfn.IFNA(VLOOKUP($BD120,Programma!$F$3:$Q$1101,12,0),"")</f>
        <v/>
      </c>
      <c r="BP120" s="114" t="str">
        <f>_xlfn.IFNA(VLOOKUP($BD120,Programma!$F$3:$R$1101,13,0),"")</f>
        <v/>
      </c>
      <c r="BQ120" s="114" t="str">
        <f>_xlfn.IFNA(VLOOKUP($BD120,Programma!$F$3:$S$1101,14,0),"")</f>
        <v/>
      </c>
      <c r="BR120" s="114" t="str">
        <f>_xlfn.IFNA(VLOOKUP($BD120,Programma!$F$3:$T$1101,15,0),"")</f>
        <v/>
      </c>
      <c r="BS120" s="114" t="str">
        <f>_xlfn.IFNA(VLOOKUP($BD120,Programma!$F$3:$U$1101,16,0),"")</f>
        <v/>
      </c>
      <c r="BT120" s="114" t="str">
        <f>_xlfn.IFNA(VLOOKUP($BD120,Programma!$F$3:$V$1101,17,0),"")</f>
        <v/>
      </c>
      <c r="BU120" s="114" t="str">
        <f>_xlfn.IFNA(VLOOKUP($BD120,Programma!$F$3:$W$1101,18,0),"")</f>
        <v/>
      </c>
      <c r="BV120" s="114" t="str">
        <f>_xlfn.IFNA(VLOOKUP($BD120,Programma!$F$3:$X$1101,19,0),"")</f>
        <v/>
      </c>
      <c r="BW120" s="114" t="str">
        <f>_xlfn.IFNA(VLOOKUP($BD120,Programma!$F$3:$Y$1101,20,0),"")</f>
        <v/>
      </c>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row>
    <row r="121" spans="1:220" ht="15" customHeight="1">
      <c r="A121" s="31">
        <v>2</v>
      </c>
      <c r="B121" s="105" t="str">
        <f>VLOOKUP(Ruimtestaat[[#This Row],[Code]],Locaties[[Code]:[Locatie]],2,FALSE)</f>
        <v>IKC De Hoge Hoeve</v>
      </c>
      <c r="C121" s="105" t="str">
        <f>VLOOKUP(Ruimtestaat[[#This Row],[Code]],Locaties[[#All],[Code]:[Adres]],4,FALSE)</f>
        <v>De Hoge Hoeve 70</v>
      </c>
      <c r="D121" s="105" t="str">
        <f>VLOOKUP(Ruimtestaat[[#This Row],[Code]],Locaties[[#All],[Code]:[Postcode]],5,FALSE)</f>
        <v>6932 DJ</v>
      </c>
      <c r="E121" s="105" t="str">
        <f>VLOOKUP(Ruimtestaat[[#This Row],[Code]],Locaties[#All],6,FALSE)</f>
        <v>Westervoort</v>
      </c>
      <c r="F121" s="73"/>
      <c r="G121" s="73" t="s">
        <v>1645</v>
      </c>
      <c r="H121" s="271" t="s">
        <v>1771</v>
      </c>
      <c r="I121" s="113" t="s">
        <v>1723</v>
      </c>
      <c r="J121" s="31">
        <v>5</v>
      </c>
      <c r="K121" s="113" t="str">
        <f>VLOOKUP(Ruimtestaat[[#This Row],[Ruimte code]],Ruimtegroepen[[#All],[Code]:[Ruimte omschrijving]],2,FALSE)</f>
        <v>Sanitair</v>
      </c>
      <c r="L121" s="73" t="s">
        <v>102</v>
      </c>
      <c r="M121" s="273" t="s">
        <v>120</v>
      </c>
      <c r="N121" s="106">
        <v>4</v>
      </c>
      <c r="O121" s="112"/>
      <c r="P121" s="112"/>
      <c r="Q121" s="107" t="str">
        <f>VLOOKUP(Ruimtestaat[[#This Row],[Ruimte code]],Ruimtegroepen[],4,FALSE)</f>
        <v>Sa</v>
      </c>
      <c r="R121" s="73">
        <v>40</v>
      </c>
      <c r="S121" s="73" t="s">
        <v>2</v>
      </c>
      <c r="T121" s="73">
        <f>IF(R121&gt;0,IF(RIGHT(Ruimtestaat[[#This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1" s="73">
        <f>IF(T121&gt;0,VLOOKUP($J121,Ruimtegroepen[],3,FALSE)*VLOOKUP($L121,Vloersoorten[],3,FALSE)*VLOOKUP($S121,Frequenties[],3,FALSE)*VLOOKUP($A121,Locaties[],3,FALSE),0)</f>
        <v>0</v>
      </c>
      <c r="V121" s="73">
        <f>Ruimtestaat[[#This Row],[Uitvoeringen werkdagen]]*Ruimtestaat[[#This Row],[Oppervlak (netto)]]</f>
        <v>800</v>
      </c>
      <c r="W121" s="108">
        <f>IF(U121&gt;0,Ruimtestaat[[#This Row],[Prest. (m2 /jaar) werkdagen]]/Ruimtestaat[[#This Row],[Norm (m2/uur) werkdagen]],0)</f>
        <v>0</v>
      </c>
      <c r="X121" s="109">
        <f>Ruimtestaat[[#This Row],[uren / jaar werkdagen]]*Tariefsopbouw!$E$35</f>
        <v>0</v>
      </c>
      <c r="Y121" s="73"/>
      <c r="Z121" s="73">
        <f>IF(Ruimtestaat[[#This Row],[Frequentie weekend]]&gt;0,VALUE(LEFT(Y121,1))*R121,0)</f>
        <v>0</v>
      </c>
      <c r="AA121" s="72">
        <f>IF($Z121&gt;0,VLOOKUP($J121,Ruimtegroepen[],3,FALSE)*VLOOKUP($L121,Vloersoorten[],3,FALSE)*VLOOKUP($Y121,Frequenties[],3,FALSE)*VLOOKUP(Ruimtestaat[[#This Row],[Code]],Locaties[],3,FALSE),0)</f>
        <v>0</v>
      </c>
      <c r="AB121" s="72">
        <f>Ruimtestaat[[#This Row],[Uitvoeringen weekend]]*Ruimtestaat[[#This Row],[Oppervlak (netto)]]</f>
        <v>0</v>
      </c>
      <c r="AC121" s="72">
        <f>IF(AA121&gt;0,Ruimtestaat[[#This Row],[Prest. (m2 /jaar) weekend]]/Ruimtestaat[[#This Row],[Norm (m2/uur) weekend]],0)</f>
        <v>0</v>
      </c>
      <c r="AD121" s="109">
        <f>Ruimtestaat[[#This Row],[uren / jaar weekend]]*Tariefsopbouw!$D$40</f>
        <v>0</v>
      </c>
      <c r="AE121" s="108">
        <f>Ruimtestaat[[#This Row],[Prest. (m2 /jaar) weekend]]+Ruimtestaat[[#This Row],[Prest. (m2 /jaar) werkdagen]]</f>
        <v>800</v>
      </c>
      <c r="AF121" s="108">
        <f>Ruimtestaat[[#This Row],[uren / jaar weekend]]+Ruimtestaat[[#This Row],[uren / jaar werkdagen]]</f>
        <v>0</v>
      </c>
      <c r="AG121" s="103">
        <f>Ruimtestaat[[#This Row],[kosten / jaar weekend]]+Ruimtestaat[[#This Row],[kosten / jaar werkdagen]]</f>
        <v>0</v>
      </c>
      <c r="AH121" s="103"/>
      <c r="AI121" s="110" t="str">
        <f>IF(Ruimtestaat[[#This Row],[Frequentie werkdagen]]="","",_xlfn.CONCAT(Ruimtestaat[[#This Row],[Ruimte code]],"-",Ruimtestaat[[#This Row],[Frequentie werkdagen]]," ",Ruimtestaat[[#This Row],[Vloer code]]))</f>
        <v>5-5w P</v>
      </c>
      <c r="AJ121" s="114" t="str">
        <f>_xlfn.IFNA(VLOOKUP($AI121,Programma!$F$3:$G$1101,2,0),"")</f>
        <v>_</v>
      </c>
      <c r="AK121" s="114" t="str">
        <f>_xlfn.IFNA(VLOOKUP($AI121,Programma!$F$3:$H$1101,3,0),"")</f>
        <v>_</v>
      </c>
      <c r="AL121" s="114" t="str">
        <f>_xlfn.IFNA(VLOOKUP($AI121,Programma!$F$3:$I$1101,4,0),"")</f>
        <v>_</v>
      </c>
      <c r="AM121" s="114" t="str">
        <f>_xlfn.IFNA(VLOOKUP($AI121,Programma!$F$3:$J$1101,5,0),"")</f>
        <v>4w</v>
      </c>
      <c r="AN121" s="114" t="str">
        <f>_xlfn.IFNA(VLOOKUP($AI121,Programma!$F$3:$K$1101,6,0),"")</f>
        <v>1w</v>
      </c>
      <c r="AO121" s="114" t="str">
        <f>_xlfn.IFNA(VLOOKUP($AI121,Programma!$F$3:$L$1101,7,0),"")</f>
        <v>_</v>
      </c>
      <c r="AP121" s="114" t="str">
        <f>_xlfn.IFNA(VLOOKUP($AI121,Programma!$F$3:$M$1101,8,0),"")</f>
        <v>_</v>
      </c>
      <c r="AQ121" s="114" t="str">
        <f>_xlfn.IFNA(VLOOKUP($AI121,Programma!$F$3:$N$1101,9,0),"")</f>
        <v>_</v>
      </c>
      <c r="AR121" s="114" t="str">
        <f>_xlfn.IFNA(VLOOKUP($AI121,Programma!$F$3:$O$1101,10,0),"")</f>
        <v>_</v>
      </c>
      <c r="AS121" s="114" t="str">
        <f>_xlfn.IFNA(VLOOKUP($AI121,Programma!$F$3:$P$1101,11,0),"")</f>
        <v>_</v>
      </c>
      <c r="AT121" s="114" t="str">
        <f>_xlfn.IFNA(VLOOKUP($AI121,Programma!$F$3:$Q$1101,12,0),"")</f>
        <v>_</v>
      </c>
      <c r="AU121" s="114" t="str">
        <f>_xlfn.IFNA(VLOOKUP($AI121,Programma!$F$3:$R$1101,13,0),"")</f>
        <v>_</v>
      </c>
      <c r="AV121" s="114" t="str">
        <f>_xlfn.IFNA(VLOOKUP($AI121,Programma!$F$3:$S$1101,14,0),"")</f>
        <v>_</v>
      </c>
      <c r="AW121" s="114" t="str">
        <f>_xlfn.IFNA(VLOOKUP($AI121,Programma!$F$3:$T$1101,15,0),"")</f>
        <v>_</v>
      </c>
      <c r="AX121" s="114" t="str">
        <f>_xlfn.IFNA(VLOOKUP($AI121,Programma!$F$3:$U$1101,16,0),"")</f>
        <v>_</v>
      </c>
      <c r="AY121" s="114" t="str">
        <f>_xlfn.IFNA(VLOOKUP($AI121,Programma!$F$3:$V$1101,17,0),"")</f>
        <v>_</v>
      </c>
      <c r="AZ121" s="114" t="str">
        <f>_xlfn.IFNA(VLOOKUP($AI121,Programma!$F$3:$W$1101,18,0),"")</f>
        <v>4w</v>
      </c>
      <c r="BA121" s="114" t="str">
        <f>_xlfn.IFNA(VLOOKUP($AI121,Programma!$F$3:$X$1101,19,0),"")</f>
        <v>1w</v>
      </c>
      <c r="BB121" s="114" t="str">
        <f>_xlfn.IFNA(VLOOKUP($AI121,Programma!$F$3:$Y$1101,20,0),"")</f>
        <v>_</v>
      </c>
      <c r="BC121" s="111"/>
      <c r="BD121" s="110" t="str">
        <f>IF(Ruimtestaat[[#This Row],[Frequentie weekend]]="","",_xlfn.CONCAT(Ruimtestaat[[#This Row],[Ruimte code]],"-",Ruimtestaat[[#This Row],[Frequentie weekend]]," ",Ruimtestaat[[#This Row],[Vloer code]]))</f>
        <v/>
      </c>
      <c r="BE121" s="114" t="str">
        <f>_xlfn.IFNA(VLOOKUP($BD121,Programma!$F$3:$G$1101,2,0),"")</f>
        <v/>
      </c>
      <c r="BF121" s="114" t="str">
        <f>_xlfn.IFNA(VLOOKUP($BD121,Programma!$F$3:$H$1101,3,0),"")</f>
        <v/>
      </c>
      <c r="BG121" s="114" t="str">
        <f>_xlfn.IFNA(VLOOKUP($BD121,Programma!$F$3:$I$1101,4,0),"")</f>
        <v/>
      </c>
      <c r="BH121" s="114" t="str">
        <f>_xlfn.IFNA(VLOOKUP($BD121,Programma!$F$3:$J$1101,5,0),"")</f>
        <v/>
      </c>
      <c r="BI121" s="114" t="str">
        <f>_xlfn.IFNA(VLOOKUP($BD121,Programma!$F$3:$K$1101,6,0),"")</f>
        <v/>
      </c>
      <c r="BJ121" s="114" t="str">
        <f>_xlfn.IFNA(VLOOKUP($BD121,Programma!$F$3:$L$1101,7,0),"")</f>
        <v/>
      </c>
      <c r="BK121" s="114" t="str">
        <f>_xlfn.IFNA(VLOOKUP($BD121,Programma!$F$3:$M$1101,8,0),"")</f>
        <v/>
      </c>
      <c r="BL121" s="114" t="str">
        <f>_xlfn.IFNA(VLOOKUP($BD121,Programma!$F$3:$N$1101,9,0),"")</f>
        <v/>
      </c>
      <c r="BM121" s="114" t="str">
        <f>_xlfn.IFNA(VLOOKUP($BD121,Programma!$F$3:$O$1101,10,0),"")</f>
        <v/>
      </c>
      <c r="BN121" s="114" t="str">
        <f>_xlfn.IFNA(VLOOKUP($BD121,Programma!$F$3:$P$1101,11,0),"")</f>
        <v/>
      </c>
      <c r="BO121" s="114" t="str">
        <f>_xlfn.IFNA(VLOOKUP($BD121,Programma!$F$3:$Q$1101,12,0),"")</f>
        <v/>
      </c>
      <c r="BP121" s="114" t="str">
        <f>_xlfn.IFNA(VLOOKUP($BD121,Programma!$F$3:$R$1101,13,0),"")</f>
        <v/>
      </c>
      <c r="BQ121" s="114" t="str">
        <f>_xlfn.IFNA(VLOOKUP($BD121,Programma!$F$3:$S$1101,14,0),"")</f>
        <v/>
      </c>
      <c r="BR121" s="114" t="str">
        <f>_xlfn.IFNA(VLOOKUP($BD121,Programma!$F$3:$T$1101,15,0),"")</f>
        <v/>
      </c>
      <c r="BS121" s="114" t="str">
        <f>_xlfn.IFNA(VLOOKUP($BD121,Programma!$F$3:$U$1101,16,0),"")</f>
        <v/>
      </c>
      <c r="BT121" s="114" t="str">
        <f>_xlfn.IFNA(VLOOKUP($BD121,Programma!$F$3:$V$1101,17,0),"")</f>
        <v/>
      </c>
      <c r="BU121" s="114" t="str">
        <f>_xlfn.IFNA(VLOOKUP($BD121,Programma!$F$3:$W$1101,18,0),"")</f>
        <v/>
      </c>
      <c r="BV121" s="114" t="str">
        <f>_xlfn.IFNA(VLOOKUP($BD121,Programma!$F$3:$X$1101,19,0),"")</f>
        <v/>
      </c>
      <c r="BW121" s="114" t="str">
        <f>_xlfn.IFNA(VLOOKUP($BD121,Programma!$F$3:$Y$1101,20,0),"")</f>
        <v/>
      </c>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c r="FP121" s="28"/>
      <c r="FQ121" s="28"/>
      <c r="FR121" s="28"/>
      <c r="FS121" s="28"/>
      <c r="FT121" s="28"/>
      <c r="FU121" s="28"/>
      <c r="FV121" s="28"/>
      <c r="FW121" s="28"/>
      <c r="FX121" s="28"/>
      <c r="FY121" s="28"/>
      <c r="FZ121" s="28"/>
      <c r="GA121" s="28"/>
      <c r="GB121" s="28"/>
      <c r="GC121" s="28"/>
      <c r="GD121" s="28"/>
      <c r="GE121" s="28"/>
      <c r="GF121" s="28"/>
      <c r="GG121" s="28"/>
      <c r="GH121" s="28"/>
      <c r="GI121" s="28"/>
      <c r="GJ121" s="28"/>
      <c r="GK121" s="28"/>
      <c r="GL121" s="28"/>
      <c r="GM121" s="28"/>
      <c r="GN121" s="28"/>
      <c r="GO121" s="28"/>
      <c r="GP121" s="28"/>
      <c r="GQ121" s="28"/>
      <c r="GR121" s="28"/>
      <c r="GS121" s="28"/>
      <c r="GT121" s="28"/>
      <c r="GU121" s="28"/>
      <c r="GV121" s="28"/>
      <c r="GW121" s="28"/>
      <c r="GX121" s="28"/>
      <c r="GY121" s="28"/>
      <c r="GZ121" s="28"/>
      <c r="HA121" s="28"/>
      <c r="HB121" s="28"/>
      <c r="HC121" s="28"/>
      <c r="HD121" s="28"/>
      <c r="HE121" s="28"/>
      <c r="HF121" s="28"/>
      <c r="HG121" s="28"/>
      <c r="HH121" s="28"/>
      <c r="HI121" s="28"/>
      <c r="HJ121" s="28"/>
      <c r="HK121" s="28"/>
      <c r="HL121" s="28"/>
    </row>
    <row r="122" spans="1:220" ht="15" customHeight="1">
      <c r="A122" s="31">
        <v>2</v>
      </c>
      <c r="B122" s="105" t="str">
        <f>VLOOKUP(Ruimtestaat[[#This Row],[Code]],Locaties[[Code]:[Locatie]],2,FALSE)</f>
        <v>IKC De Hoge Hoeve</v>
      </c>
      <c r="C122" s="105" t="str">
        <f>VLOOKUP(Ruimtestaat[[#This Row],[Code]],Locaties[[#All],[Code]:[Adres]],4,FALSE)</f>
        <v>De Hoge Hoeve 70</v>
      </c>
      <c r="D122" s="105" t="str">
        <f>VLOOKUP(Ruimtestaat[[#This Row],[Code]],Locaties[[#All],[Code]:[Postcode]],5,FALSE)</f>
        <v>6932 DJ</v>
      </c>
      <c r="E122" s="105" t="str">
        <f>VLOOKUP(Ruimtestaat[[#This Row],[Code]],Locaties[#All],6,FALSE)</f>
        <v>Westervoort</v>
      </c>
      <c r="F122" s="73"/>
      <c r="G122" s="73" t="s">
        <v>1645</v>
      </c>
      <c r="H122" s="271" t="s">
        <v>1772</v>
      </c>
      <c r="I122" s="113" t="s">
        <v>1652</v>
      </c>
      <c r="J122" s="31">
        <v>20</v>
      </c>
      <c r="K122" s="113" t="str">
        <f>VLOOKUP(Ruimtestaat[[#This Row],[Ruimte code]],Ruimtegroepen[[#All],[Code]:[Ruimte omschrijving]],2,FALSE)</f>
        <v>Niet in Onderhoud</v>
      </c>
      <c r="L122" s="73" t="s">
        <v>102</v>
      </c>
      <c r="M122" s="273" t="s">
        <v>120</v>
      </c>
      <c r="N122" s="106"/>
      <c r="O122" s="112">
        <v>3</v>
      </c>
      <c r="P122" s="112"/>
      <c r="Q122" s="107">
        <f>VLOOKUP(Ruimtestaat[[#This Row],[Ruimte code]],Ruimtegroepen[],4,FALSE)</f>
        <v>0</v>
      </c>
      <c r="R122" s="73"/>
      <c r="S122" s="73"/>
      <c r="T122" s="73">
        <f>IF(R122&gt;0,IF(RIGHT(Ruimtestaat[[#This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2" s="73">
        <f>IF(T122&gt;0,VLOOKUP($J122,Ruimtegroepen[],3,FALSE)*VLOOKUP($L122,Vloersoorten[],3,FALSE)*VLOOKUP($S122,Frequenties[],3,FALSE)*VLOOKUP($A122,Locaties[],3,FALSE),0)</f>
        <v>0</v>
      </c>
      <c r="V122" s="73">
        <f>Ruimtestaat[[#This Row],[Uitvoeringen werkdagen]]*Ruimtestaat[[#This Row],[Oppervlak (netto)]]</f>
        <v>0</v>
      </c>
      <c r="W122" s="108">
        <f>IF(U122&gt;0,Ruimtestaat[[#This Row],[Prest. (m2 /jaar) werkdagen]]/Ruimtestaat[[#This Row],[Norm (m2/uur) werkdagen]],0)</f>
        <v>0</v>
      </c>
      <c r="X122" s="109">
        <f>Ruimtestaat[[#This Row],[uren / jaar werkdagen]]*Tariefsopbouw!$E$35</f>
        <v>0</v>
      </c>
      <c r="Y122" s="73"/>
      <c r="Z122" s="73">
        <f>IF(Ruimtestaat[[#This Row],[Frequentie weekend]]&gt;0,VALUE(LEFT(Y122,1))*R122,0)</f>
        <v>0</v>
      </c>
      <c r="AA122" s="72">
        <f>IF($Z122&gt;0,VLOOKUP($J122,Ruimtegroepen[],3,FALSE)*VLOOKUP($L122,Vloersoorten[],3,FALSE)*VLOOKUP($Y122,Frequenties[],3,FALSE)*VLOOKUP(Ruimtestaat[[#This Row],[Code]],Locaties[],3,FALSE),0)</f>
        <v>0</v>
      </c>
      <c r="AB122" s="72">
        <f>Ruimtestaat[[#This Row],[Uitvoeringen weekend]]*Ruimtestaat[[#This Row],[Oppervlak (netto)]]</f>
        <v>0</v>
      </c>
      <c r="AC122" s="72">
        <f>IF(AA122&gt;0,Ruimtestaat[[#This Row],[Prest. (m2 /jaar) weekend]]/Ruimtestaat[[#This Row],[Norm (m2/uur) weekend]],0)</f>
        <v>0</v>
      </c>
      <c r="AD122" s="109">
        <f>Ruimtestaat[[#This Row],[uren / jaar weekend]]*Tariefsopbouw!$D$40</f>
        <v>0</v>
      </c>
      <c r="AE122" s="108">
        <f>Ruimtestaat[[#This Row],[Prest. (m2 /jaar) weekend]]+Ruimtestaat[[#This Row],[Prest. (m2 /jaar) werkdagen]]</f>
        <v>0</v>
      </c>
      <c r="AF122" s="108">
        <f>Ruimtestaat[[#This Row],[uren / jaar weekend]]+Ruimtestaat[[#This Row],[uren / jaar werkdagen]]</f>
        <v>0</v>
      </c>
      <c r="AG122" s="103">
        <f>Ruimtestaat[[#This Row],[kosten / jaar weekend]]+Ruimtestaat[[#This Row],[kosten / jaar werkdagen]]</f>
        <v>0</v>
      </c>
      <c r="AH122" s="103"/>
      <c r="AI122" s="110" t="str">
        <f>IF(Ruimtestaat[[#This Row],[Frequentie werkdagen]]="","",_xlfn.CONCAT(Ruimtestaat[[#This Row],[Ruimte code]],"-",Ruimtestaat[[#This Row],[Frequentie werkdagen]]," ",Ruimtestaat[[#This Row],[Vloer code]]))</f>
        <v/>
      </c>
      <c r="AJ122" s="114" t="str">
        <f>_xlfn.IFNA(VLOOKUP($AI122,Programma!$F$3:$G$1101,2,0),"")</f>
        <v/>
      </c>
      <c r="AK122" s="114" t="str">
        <f>_xlfn.IFNA(VLOOKUP($AI122,Programma!$F$3:$H$1101,3,0),"")</f>
        <v/>
      </c>
      <c r="AL122" s="114" t="str">
        <f>_xlfn.IFNA(VLOOKUP($AI122,Programma!$F$3:$I$1101,4,0),"")</f>
        <v/>
      </c>
      <c r="AM122" s="114" t="str">
        <f>_xlfn.IFNA(VLOOKUP($AI122,Programma!$F$3:$J$1101,5,0),"")</f>
        <v/>
      </c>
      <c r="AN122" s="114" t="str">
        <f>_xlfn.IFNA(VLOOKUP($AI122,Programma!$F$3:$K$1101,6,0),"")</f>
        <v/>
      </c>
      <c r="AO122" s="114" t="str">
        <f>_xlfn.IFNA(VLOOKUP($AI122,Programma!$F$3:$L$1101,7,0),"")</f>
        <v/>
      </c>
      <c r="AP122" s="114" t="str">
        <f>_xlfn.IFNA(VLOOKUP($AI122,Programma!$F$3:$M$1101,8,0),"")</f>
        <v/>
      </c>
      <c r="AQ122" s="114" t="str">
        <f>_xlfn.IFNA(VLOOKUP($AI122,Programma!$F$3:$N$1101,9,0),"")</f>
        <v/>
      </c>
      <c r="AR122" s="114" t="str">
        <f>_xlfn.IFNA(VLOOKUP($AI122,Programma!$F$3:$O$1101,10,0),"")</f>
        <v/>
      </c>
      <c r="AS122" s="114" t="str">
        <f>_xlfn.IFNA(VLOOKUP($AI122,Programma!$F$3:$P$1101,11,0),"")</f>
        <v/>
      </c>
      <c r="AT122" s="114" t="str">
        <f>_xlfn.IFNA(VLOOKUP($AI122,Programma!$F$3:$Q$1101,12,0),"")</f>
        <v/>
      </c>
      <c r="AU122" s="114" t="str">
        <f>_xlfn.IFNA(VLOOKUP($AI122,Programma!$F$3:$R$1101,13,0),"")</f>
        <v/>
      </c>
      <c r="AV122" s="114" t="str">
        <f>_xlfn.IFNA(VLOOKUP($AI122,Programma!$F$3:$S$1101,14,0),"")</f>
        <v/>
      </c>
      <c r="AW122" s="114" t="str">
        <f>_xlfn.IFNA(VLOOKUP($AI122,Programma!$F$3:$T$1101,15,0),"")</f>
        <v/>
      </c>
      <c r="AX122" s="114" t="str">
        <f>_xlfn.IFNA(VLOOKUP($AI122,Programma!$F$3:$U$1101,16,0),"")</f>
        <v/>
      </c>
      <c r="AY122" s="114" t="str">
        <f>_xlfn.IFNA(VLOOKUP($AI122,Programma!$F$3:$V$1101,17,0),"")</f>
        <v/>
      </c>
      <c r="AZ122" s="114" t="str">
        <f>_xlfn.IFNA(VLOOKUP($AI122,Programma!$F$3:$W$1101,18,0),"")</f>
        <v/>
      </c>
      <c r="BA122" s="114" t="str">
        <f>_xlfn.IFNA(VLOOKUP($AI122,Programma!$F$3:$X$1101,19,0),"")</f>
        <v/>
      </c>
      <c r="BB122" s="114" t="str">
        <f>_xlfn.IFNA(VLOOKUP($AI122,Programma!$F$3:$Y$1101,20,0),"")</f>
        <v/>
      </c>
      <c r="BC122" s="111"/>
      <c r="BD122" s="110" t="str">
        <f>IF(Ruimtestaat[[#This Row],[Frequentie weekend]]="","",_xlfn.CONCAT(Ruimtestaat[[#This Row],[Ruimte code]],"-",Ruimtestaat[[#This Row],[Frequentie weekend]]," ",Ruimtestaat[[#This Row],[Vloer code]]))</f>
        <v/>
      </c>
      <c r="BE122" s="114" t="str">
        <f>_xlfn.IFNA(VLOOKUP($BD122,Programma!$F$3:$G$1101,2,0),"")</f>
        <v/>
      </c>
      <c r="BF122" s="114" t="str">
        <f>_xlfn.IFNA(VLOOKUP($BD122,Programma!$F$3:$H$1101,3,0),"")</f>
        <v/>
      </c>
      <c r="BG122" s="114" t="str">
        <f>_xlfn.IFNA(VLOOKUP($BD122,Programma!$F$3:$I$1101,4,0),"")</f>
        <v/>
      </c>
      <c r="BH122" s="114" t="str">
        <f>_xlfn.IFNA(VLOOKUP($BD122,Programma!$F$3:$J$1101,5,0),"")</f>
        <v/>
      </c>
      <c r="BI122" s="114" t="str">
        <f>_xlfn.IFNA(VLOOKUP($BD122,Programma!$F$3:$K$1101,6,0),"")</f>
        <v/>
      </c>
      <c r="BJ122" s="114" t="str">
        <f>_xlfn.IFNA(VLOOKUP($BD122,Programma!$F$3:$L$1101,7,0),"")</f>
        <v/>
      </c>
      <c r="BK122" s="114" t="str">
        <f>_xlfn.IFNA(VLOOKUP($BD122,Programma!$F$3:$M$1101,8,0),"")</f>
        <v/>
      </c>
      <c r="BL122" s="114" t="str">
        <f>_xlfn.IFNA(VLOOKUP($BD122,Programma!$F$3:$N$1101,9,0),"")</f>
        <v/>
      </c>
      <c r="BM122" s="114" t="str">
        <f>_xlfn.IFNA(VLOOKUP($BD122,Programma!$F$3:$O$1101,10,0),"")</f>
        <v/>
      </c>
      <c r="BN122" s="114" t="str">
        <f>_xlfn.IFNA(VLOOKUP($BD122,Programma!$F$3:$P$1101,11,0),"")</f>
        <v/>
      </c>
      <c r="BO122" s="114" t="str">
        <f>_xlfn.IFNA(VLOOKUP($BD122,Programma!$F$3:$Q$1101,12,0),"")</f>
        <v/>
      </c>
      <c r="BP122" s="114" t="str">
        <f>_xlfn.IFNA(VLOOKUP($BD122,Programma!$F$3:$R$1101,13,0),"")</f>
        <v/>
      </c>
      <c r="BQ122" s="114" t="str">
        <f>_xlfn.IFNA(VLOOKUP($BD122,Programma!$F$3:$S$1101,14,0),"")</f>
        <v/>
      </c>
      <c r="BR122" s="114" t="str">
        <f>_xlfn.IFNA(VLOOKUP($BD122,Programma!$F$3:$T$1101,15,0),"")</f>
        <v/>
      </c>
      <c r="BS122" s="114" t="str">
        <f>_xlfn.IFNA(VLOOKUP($BD122,Programma!$F$3:$U$1101,16,0),"")</f>
        <v/>
      </c>
      <c r="BT122" s="114" t="str">
        <f>_xlfn.IFNA(VLOOKUP($BD122,Programma!$F$3:$V$1101,17,0),"")</f>
        <v/>
      </c>
      <c r="BU122" s="114" t="str">
        <f>_xlfn.IFNA(VLOOKUP($BD122,Programma!$F$3:$W$1101,18,0),"")</f>
        <v/>
      </c>
      <c r="BV122" s="114" t="str">
        <f>_xlfn.IFNA(VLOOKUP($BD122,Programma!$F$3:$X$1101,19,0),"")</f>
        <v/>
      </c>
      <c r="BW122" s="114" t="str">
        <f>_xlfn.IFNA(VLOOKUP($BD122,Programma!$F$3:$Y$1101,20,0),"")</f>
        <v/>
      </c>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c r="HG122" s="28"/>
      <c r="HH122" s="28"/>
      <c r="HI122" s="28"/>
      <c r="HJ122" s="28"/>
      <c r="HK122" s="28"/>
      <c r="HL122" s="28"/>
    </row>
    <row r="123" spans="1:220" ht="15" customHeight="1">
      <c r="A123" s="31">
        <v>2</v>
      </c>
      <c r="B123" s="105" t="str">
        <f>VLOOKUP(Ruimtestaat[[#This Row],[Code]],Locaties[[Code]:[Locatie]],2,FALSE)</f>
        <v>IKC De Hoge Hoeve</v>
      </c>
      <c r="C123" s="105" t="str">
        <f>VLOOKUP(Ruimtestaat[[#This Row],[Code]],Locaties[[#All],[Code]:[Adres]],4,FALSE)</f>
        <v>De Hoge Hoeve 70</v>
      </c>
      <c r="D123" s="105" t="str">
        <f>VLOOKUP(Ruimtestaat[[#This Row],[Code]],Locaties[[#All],[Code]:[Postcode]],5,FALSE)</f>
        <v>6932 DJ</v>
      </c>
      <c r="E123" s="105" t="str">
        <f>VLOOKUP(Ruimtestaat[[#This Row],[Code]],Locaties[#All],6,FALSE)</f>
        <v>Westervoort</v>
      </c>
      <c r="F123" s="73"/>
      <c r="G123" s="73" t="s">
        <v>1645</v>
      </c>
      <c r="H123" s="271" t="s">
        <v>1773</v>
      </c>
      <c r="I123" s="113" t="s">
        <v>1656</v>
      </c>
      <c r="J123" s="31">
        <v>16</v>
      </c>
      <c r="K123" s="113" t="str">
        <f>VLOOKUP(Ruimtestaat[[#This Row],[Ruimte code]],Ruimtegroepen[[#All],[Code]:[Ruimte omschrijving]],2,FALSE)</f>
        <v>Leslokalen</v>
      </c>
      <c r="L123" s="73" t="s">
        <v>102</v>
      </c>
      <c r="M123" s="273" t="s">
        <v>120</v>
      </c>
      <c r="N123" s="106">
        <v>56</v>
      </c>
      <c r="O123" s="112"/>
      <c r="P123" s="73"/>
      <c r="Q123" s="107" t="str">
        <f>VLOOKUP(Ruimtestaat[[#This Row],[Ruimte code]],Ruimtegroepen[],4,FALSE)</f>
        <v>Le</v>
      </c>
      <c r="R123" s="73">
        <v>40</v>
      </c>
      <c r="S123" s="73" t="s">
        <v>2</v>
      </c>
      <c r="T123" s="73">
        <f>IF(R123&gt;0,IF(RIGHT(Ruimtestaat[[#This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3" s="73">
        <f>IF(T123&gt;0,VLOOKUP($J123,Ruimtegroepen[],3,FALSE)*VLOOKUP($L123,Vloersoorten[],3,FALSE)*VLOOKUP($S123,Frequenties[],3,FALSE)*VLOOKUP($A123,Locaties[],3,FALSE),0)</f>
        <v>0</v>
      </c>
      <c r="V123" s="73">
        <f>Ruimtestaat[[#This Row],[Uitvoeringen werkdagen]]*Ruimtestaat[[#This Row],[Oppervlak (netto)]]</f>
        <v>11200</v>
      </c>
      <c r="W123" s="108">
        <f>IF(U123&gt;0,Ruimtestaat[[#This Row],[Prest. (m2 /jaar) werkdagen]]/Ruimtestaat[[#This Row],[Norm (m2/uur) werkdagen]],0)</f>
        <v>0</v>
      </c>
      <c r="X123" s="109">
        <f>Ruimtestaat[[#This Row],[uren / jaar werkdagen]]*Tariefsopbouw!$E$35</f>
        <v>0</v>
      </c>
      <c r="Y123" s="73"/>
      <c r="Z123" s="73">
        <f>IF(Ruimtestaat[[#This Row],[Frequentie weekend]]&gt;0,VALUE(LEFT(Y123,1))*R123,0)</f>
        <v>0</v>
      </c>
      <c r="AA123" s="72">
        <f>IF($Z123&gt;0,VLOOKUP($J123,Ruimtegroepen[],3,FALSE)*VLOOKUP($L123,Vloersoorten[],3,FALSE)*VLOOKUP($Y123,Frequenties[],3,FALSE)*VLOOKUP(Ruimtestaat[[#This Row],[Code]],Locaties[],3,FALSE),0)</f>
        <v>0</v>
      </c>
      <c r="AB123" s="72">
        <f>Ruimtestaat[[#This Row],[Uitvoeringen weekend]]*Ruimtestaat[[#This Row],[Oppervlak (netto)]]</f>
        <v>0</v>
      </c>
      <c r="AC123" s="72">
        <f>IF(AA123&gt;0,Ruimtestaat[[#This Row],[Prest. (m2 /jaar) weekend]]/Ruimtestaat[[#This Row],[Norm (m2/uur) weekend]],0)</f>
        <v>0</v>
      </c>
      <c r="AD123" s="109">
        <f>Ruimtestaat[[#This Row],[uren / jaar weekend]]*Tariefsopbouw!$D$40</f>
        <v>0</v>
      </c>
      <c r="AE123" s="108">
        <f>Ruimtestaat[[#This Row],[Prest. (m2 /jaar) weekend]]+Ruimtestaat[[#This Row],[Prest. (m2 /jaar) werkdagen]]</f>
        <v>11200</v>
      </c>
      <c r="AF123" s="108">
        <f>Ruimtestaat[[#This Row],[uren / jaar weekend]]+Ruimtestaat[[#This Row],[uren / jaar werkdagen]]</f>
        <v>0</v>
      </c>
      <c r="AG123" s="103">
        <f>Ruimtestaat[[#This Row],[kosten / jaar weekend]]+Ruimtestaat[[#This Row],[kosten / jaar werkdagen]]</f>
        <v>0</v>
      </c>
      <c r="AH123" s="103"/>
      <c r="AI123" s="110" t="str">
        <f>IF(Ruimtestaat[[#This Row],[Frequentie werkdagen]]="","",_xlfn.CONCAT(Ruimtestaat[[#This Row],[Ruimte code]],"-",Ruimtestaat[[#This Row],[Frequentie werkdagen]]," ",Ruimtestaat[[#This Row],[Vloer code]]))</f>
        <v>16-5w P</v>
      </c>
      <c r="AJ123" s="114" t="str">
        <f>_xlfn.IFNA(VLOOKUP($AI123,Programma!$F$3:$G$1101,2,0),"")</f>
        <v>_</v>
      </c>
      <c r="AK123" s="114" t="str">
        <f>_xlfn.IFNA(VLOOKUP($AI123,Programma!$F$3:$H$1101,3,0),"")</f>
        <v>_</v>
      </c>
      <c r="AL123" s="114" t="str">
        <f>_xlfn.IFNA(VLOOKUP($AI123,Programma!$F$3:$I$1101,4,0),"")</f>
        <v>4w</v>
      </c>
      <c r="AM123" s="114" t="str">
        <f>_xlfn.IFNA(VLOOKUP($AI123,Programma!$F$3:$J$1101,5,0),"")</f>
        <v>1w</v>
      </c>
      <c r="AN123" s="114" t="str">
        <f>_xlfn.IFNA(VLOOKUP($AI123,Programma!$F$3:$K$1101,6,0),"")</f>
        <v>1m</v>
      </c>
      <c r="AO123" s="114" t="str">
        <f>_xlfn.IFNA(VLOOKUP($AI123,Programma!$F$3:$L$1101,7,0),"")</f>
        <v>_</v>
      </c>
      <c r="AP123" s="114" t="str">
        <f>_xlfn.IFNA(VLOOKUP($AI123,Programma!$F$3:$M$1101,8,0),"")</f>
        <v>_</v>
      </c>
      <c r="AQ123" s="114" t="str">
        <f>_xlfn.IFNA(VLOOKUP($AI123,Programma!$F$3:$N$1101,9,0),"")</f>
        <v>_</v>
      </c>
      <c r="AR123" s="114" t="str">
        <f>_xlfn.IFNA(VLOOKUP($AI123,Programma!$F$3:$O$1101,10,0),"")</f>
        <v>5w</v>
      </c>
      <c r="AS123" s="114" t="str">
        <f>_xlfn.IFNA(VLOOKUP($AI123,Programma!$F$3:$P$1101,11,0),"")</f>
        <v>5w</v>
      </c>
      <c r="AT123" s="114" t="str">
        <f>_xlfn.IFNA(VLOOKUP($AI123,Programma!$F$3:$Q$1101,12,0),"")</f>
        <v>1w</v>
      </c>
      <c r="AU123" s="114" t="str">
        <f>_xlfn.IFNA(VLOOKUP($AI123,Programma!$F$3:$R$1101,13,0),"")</f>
        <v>1w</v>
      </c>
      <c r="AV123" s="114" t="str">
        <f>_xlfn.IFNA(VLOOKUP($AI123,Programma!$F$3:$S$1101,14,0),"")</f>
        <v>1m</v>
      </c>
      <c r="AW123" s="114" t="str">
        <f>_xlfn.IFNA(VLOOKUP($AI123,Programma!$F$3:$T$1101,15,0),"")</f>
        <v>2j</v>
      </c>
      <c r="AX123" s="114" t="str">
        <f>_xlfn.IFNA(VLOOKUP($AI123,Programma!$F$3:$U$1101,16,0),"")</f>
        <v>1j</v>
      </c>
      <c r="AY123" s="114" t="str">
        <f>_xlfn.IFNA(VLOOKUP($AI123,Programma!$F$3:$V$1101,17,0),"")</f>
        <v>_</v>
      </c>
      <c r="AZ123" s="114" t="str">
        <f>_xlfn.IFNA(VLOOKUP($AI123,Programma!$F$3:$W$1101,18,0),"")</f>
        <v>_</v>
      </c>
      <c r="BA123" s="114" t="str">
        <f>_xlfn.IFNA(VLOOKUP($AI123,Programma!$F$3:$X$1101,19,0),"")</f>
        <v>_</v>
      </c>
      <c r="BB123" s="114" t="str">
        <f>_xlfn.IFNA(VLOOKUP($AI123,Programma!$F$3:$Y$1101,20,0),"")</f>
        <v>_</v>
      </c>
      <c r="BC123" s="111"/>
      <c r="BD123" s="110" t="str">
        <f>IF(Ruimtestaat[[#This Row],[Frequentie weekend]]="","",_xlfn.CONCAT(Ruimtestaat[[#This Row],[Ruimte code]],"-",Ruimtestaat[[#This Row],[Frequentie weekend]]," ",Ruimtestaat[[#This Row],[Vloer code]]))</f>
        <v/>
      </c>
      <c r="BE123" s="114" t="str">
        <f>_xlfn.IFNA(VLOOKUP($BD123,Programma!$F$3:$G$1101,2,0),"")</f>
        <v/>
      </c>
      <c r="BF123" s="114" t="str">
        <f>_xlfn.IFNA(VLOOKUP($BD123,Programma!$F$3:$H$1101,3,0),"")</f>
        <v/>
      </c>
      <c r="BG123" s="114" t="str">
        <f>_xlfn.IFNA(VLOOKUP($BD123,Programma!$F$3:$I$1101,4,0),"")</f>
        <v/>
      </c>
      <c r="BH123" s="114" t="str">
        <f>_xlfn.IFNA(VLOOKUP($BD123,Programma!$F$3:$J$1101,5,0),"")</f>
        <v/>
      </c>
      <c r="BI123" s="114" t="str">
        <f>_xlfn.IFNA(VLOOKUP($BD123,Programma!$F$3:$K$1101,6,0),"")</f>
        <v/>
      </c>
      <c r="BJ123" s="114" t="str">
        <f>_xlfn.IFNA(VLOOKUP($BD123,Programma!$F$3:$L$1101,7,0),"")</f>
        <v/>
      </c>
      <c r="BK123" s="114" t="str">
        <f>_xlfn.IFNA(VLOOKUP($BD123,Programma!$F$3:$M$1101,8,0),"")</f>
        <v/>
      </c>
      <c r="BL123" s="114" t="str">
        <f>_xlfn.IFNA(VLOOKUP($BD123,Programma!$F$3:$N$1101,9,0),"")</f>
        <v/>
      </c>
      <c r="BM123" s="114" t="str">
        <f>_xlfn.IFNA(VLOOKUP($BD123,Programma!$F$3:$O$1101,10,0),"")</f>
        <v/>
      </c>
      <c r="BN123" s="114" t="str">
        <f>_xlfn.IFNA(VLOOKUP($BD123,Programma!$F$3:$P$1101,11,0),"")</f>
        <v/>
      </c>
      <c r="BO123" s="114" t="str">
        <f>_xlfn.IFNA(VLOOKUP($BD123,Programma!$F$3:$Q$1101,12,0),"")</f>
        <v/>
      </c>
      <c r="BP123" s="114" t="str">
        <f>_xlfn.IFNA(VLOOKUP($BD123,Programma!$F$3:$R$1101,13,0),"")</f>
        <v/>
      </c>
      <c r="BQ123" s="114" t="str">
        <f>_xlfn.IFNA(VLOOKUP($BD123,Programma!$F$3:$S$1101,14,0),"")</f>
        <v/>
      </c>
      <c r="BR123" s="114" t="str">
        <f>_xlfn.IFNA(VLOOKUP($BD123,Programma!$F$3:$T$1101,15,0),"")</f>
        <v/>
      </c>
      <c r="BS123" s="114" t="str">
        <f>_xlfn.IFNA(VLOOKUP($BD123,Programma!$F$3:$U$1101,16,0),"")</f>
        <v/>
      </c>
      <c r="BT123" s="114" t="str">
        <f>_xlfn.IFNA(VLOOKUP($BD123,Programma!$F$3:$V$1101,17,0),"")</f>
        <v/>
      </c>
      <c r="BU123" s="114" t="str">
        <f>_xlfn.IFNA(VLOOKUP($BD123,Programma!$F$3:$W$1101,18,0),"")</f>
        <v/>
      </c>
      <c r="BV123" s="114" t="str">
        <f>_xlfn.IFNA(VLOOKUP($BD123,Programma!$F$3:$X$1101,19,0),"")</f>
        <v/>
      </c>
      <c r="BW123" s="114" t="str">
        <f>_xlfn.IFNA(VLOOKUP($BD123,Programma!$F$3:$Y$1101,20,0),"")</f>
        <v/>
      </c>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row>
    <row r="124" spans="1:220" ht="15" customHeight="1">
      <c r="A124" s="31">
        <v>2</v>
      </c>
      <c r="B124" s="105" t="str">
        <f>VLOOKUP(Ruimtestaat[[#This Row],[Code]],Locaties[[Code]:[Locatie]],2,FALSE)</f>
        <v>IKC De Hoge Hoeve</v>
      </c>
      <c r="C124" s="105" t="str">
        <f>VLOOKUP(Ruimtestaat[[#This Row],[Code]],Locaties[[#All],[Code]:[Adres]],4,FALSE)</f>
        <v>De Hoge Hoeve 70</v>
      </c>
      <c r="D124" s="105" t="str">
        <f>VLOOKUP(Ruimtestaat[[#This Row],[Code]],Locaties[[#All],[Code]:[Postcode]],5,FALSE)</f>
        <v>6932 DJ</v>
      </c>
      <c r="E124" s="105" t="str">
        <f>VLOOKUP(Ruimtestaat[[#This Row],[Code]],Locaties[#All],6,FALSE)</f>
        <v>Westervoort</v>
      </c>
      <c r="F124" s="73"/>
      <c r="G124" s="73" t="s">
        <v>1645</v>
      </c>
      <c r="H124" s="271" t="s">
        <v>1774</v>
      </c>
      <c r="I124" s="113" t="s">
        <v>1677</v>
      </c>
      <c r="J124" s="31">
        <v>16</v>
      </c>
      <c r="K124" s="113" t="str">
        <f>VLOOKUP(Ruimtestaat[[#This Row],[Ruimte code]],Ruimtegroepen[[#All],[Code]:[Ruimte omschrijving]],2,FALSE)</f>
        <v>Leslokalen</v>
      </c>
      <c r="L124" s="73" t="s">
        <v>102</v>
      </c>
      <c r="M124" s="273" t="s">
        <v>120</v>
      </c>
      <c r="N124" s="106">
        <v>56</v>
      </c>
      <c r="O124" s="112"/>
      <c r="P124" s="112"/>
      <c r="Q124" s="107" t="str">
        <f>VLOOKUP(Ruimtestaat[[#This Row],[Ruimte code]],Ruimtegroepen[],4,FALSE)</f>
        <v>Le</v>
      </c>
      <c r="R124" s="73">
        <v>40</v>
      </c>
      <c r="S124" s="73" t="s">
        <v>2</v>
      </c>
      <c r="T124" s="73">
        <f>IF(R124&gt;0,IF(RIGHT(Ruimtestaat[[#This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4" s="73">
        <f>IF(T124&gt;0,VLOOKUP($J124,Ruimtegroepen[],3,FALSE)*VLOOKUP($L124,Vloersoorten[],3,FALSE)*VLOOKUP($S124,Frequenties[],3,FALSE)*VLOOKUP($A124,Locaties[],3,FALSE),0)</f>
        <v>0</v>
      </c>
      <c r="V124" s="73">
        <f>Ruimtestaat[[#This Row],[Uitvoeringen werkdagen]]*Ruimtestaat[[#This Row],[Oppervlak (netto)]]</f>
        <v>11200</v>
      </c>
      <c r="W124" s="108">
        <f>IF(U124&gt;0,Ruimtestaat[[#This Row],[Prest. (m2 /jaar) werkdagen]]/Ruimtestaat[[#This Row],[Norm (m2/uur) werkdagen]],0)</f>
        <v>0</v>
      </c>
      <c r="X124" s="109">
        <f>Ruimtestaat[[#This Row],[uren / jaar werkdagen]]*Tariefsopbouw!$E$35</f>
        <v>0</v>
      </c>
      <c r="Y124" s="73"/>
      <c r="Z124" s="73">
        <f>IF(Ruimtestaat[[#This Row],[Frequentie weekend]]&gt;0,VALUE(LEFT(Y124,1))*R124,0)</f>
        <v>0</v>
      </c>
      <c r="AA124" s="72">
        <f>IF($Z124&gt;0,VLOOKUP($J124,Ruimtegroepen[],3,FALSE)*VLOOKUP($L124,Vloersoorten[],3,FALSE)*VLOOKUP($Y124,Frequenties[],3,FALSE)*VLOOKUP(Ruimtestaat[[#This Row],[Code]],Locaties[],3,FALSE),0)</f>
        <v>0</v>
      </c>
      <c r="AB124" s="72">
        <f>Ruimtestaat[[#This Row],[Uitvoeringen weekend]]*Ruimtestaat[[#This Row],[Oppervlak (netto)]]</f>
        <v>0</v>
      </c>
      <c r="AC124" s="72">
        <f>IF(AA124&gt;0,Ruimtestaat[[#This Row],[Prest. (m2 /jaar) weekend]]/Ruimtestaat[[#This Row],[Norm (m2/uur) weekend]],0)</f>
        <v>0</v>
      </c>
      <c r="AD124" s="109">
        <f>Ruimtestaat[[#This Row],[uren / jaar weekend]]*Tariefsopbouw!$D$40</f>
        <v>0</v>
      </c>
      <c r="AE124" s="108">
        <f>Ruimtestaat[[#This Row],[Prest. (m2 /jaar) weekend]]+Ruimtestaat[[#This Row],[Prest. (m2 /jaar) werkdagen]]</f>
        <v>11200</v>
      </c>
      <c r="AF124" s="108">
        <f>Ruimtestaat[[#This Row],[uren / jaar weekend]]+Ruimtestaat[[#This Row],[uren / jaar werkdagen]]</f>
        <v>0</v>
      </c>
      <c r="AG124" s="103">
        <f>Ruimtestaat[[#This Row],[kosten / jaar weekend]]+Ruimtestaat[[#This Row],[kosten / jaar werkdagen]]</f>
        <v>0</v>
      </c>
      <c r="AH124" s="103"/>
      <c r="AI124" s="110" t="str">
        <f>IF(Ruimtestaat[[#This Row],[Frequentie werkdagen]]="","",_xlfn.CONCAT(Ruimtestaat[[#This Row],[Ruimte code]],"-",Ruimtestaat[[#This Row],[Frequentie werkdagen]]," ",Ruimtestaat[[#This Row],[Vloer code]]))</f>
        <v>16-5w P</v>
      </c>
      <c r="AJ124" s="114" t="str">
        <f>_xlfn.IFNA(VLOOKUP($AI124,Programma!$F$3:$G$1101,2,0),"")</f>
        <v>_</v>
      </c>
      <c r="AK124" s="114" t="str">
        <f>_xlfn.IFNA(VLOOKUP($AI124,Programma!$F$3:$H$1101,3,0),"")</f>
        <v>_</v>
      </c>
      <c r="AL124" s="114" t="str">
        <f>_xlfn.IFNA(VLOOKUP($AI124,Programma!$F$3:$I$1101,4,0),"")</f>
        <v>4w</v>
      </c>
      <c r="AM124" s="114" t="str">
        <f>_xlfn.IFNA(VLOOKUP($AI124,Programma!$F$3:$J$1101,5,0),"")</f>
        <v>1w</v>
      </c>
      <c r="AN124" s="114" t="str">
        <f>_xlfn.IFNA(VLOOKUP($AI124,Programma!$F$3:$K$1101,6,0),"")</f>
        <v>1m</v>
      </c>
      <c r="AO124" s="114" t="str">
        <f>_xlfn.IFNA(VLOOKUP($AI124,Programma!$F$3:$L$1101,7,0),"")</f>
        <v>_</v>
      </c>
      <c r="AP124" s="114" t="str">
        <f>_xlfn.IFNA(VLOOKUP($AI124,Programma!$F$3:$M$1101,8,0),"")</f>
        <v>_</v>
      </c>
      <c r="AQ124" s="114" t="str">
        <f>_xlfn.IFNA(VLOOKUP($AI124,Programma!$F$3:$N$1101,9,0),"")</f>
        <v>_</v>
      </c>
      <c r="AR124" s="114" t="str">
        <f>_xlfn.IFNA(VLOOKUP($AI124,Programma!$F$3:$O$1101,10,0),"")</f>
        <v>5w</v>
      </c>
      <c r="AS124" s="114" t="str">
        <f>_xlfn.IFNA(VLOOKUP($AI124,Programma!$F$3:$P$1101,11,0),"")</f>
        <v>5w</v>
      </c>
      <c r="AT124" s="114" t="str">
        <f>_xlfn.IFNA(VLOOKUP($AI124,Programma!$F$3:$Q$1101,12,0),"")</f>
        <v>1w</v>
      </c>
      <c r="AU124" s="114" t="str">
        <f>_xlfn.IFNA(VLOOKUP($AI124,Programma!$F$3:$R$1101,13,0),"")</f>
        <v>1w</v>
      </c>
      <c r="AV124" s="114" t="str">
        <f>_xlfn.IFNA(VLOOKUP($AI124,Programma!$F$3:$S$1101,14,0),"")</f>
        <v>1m</v>
      </c>
      <c r="AW124" s="114" t="str">
        <f>_xlfn.IFNA(VLOOKUP($AI124,Programma!$F$3:$T$1101,15,0),"")</f>
        <v>2j</v>
      </c>
      <c r="AX124" s="114" t="str">
        <f>_xlfn.IFNA(VLOOKUP($AI124,Programma!$F$3:$U$1101,16,0),"")</f>
        <v>1j</v>
      </c>
      <c r="AY124" s="114" t="str">
        <f>_xlfn.IFNA(VLOOKUP($AI124,Programma!$F$3:$V$1101,17,0),"")</f>
        <v>_</v>
      </c>
      <c r="AZ124" s="114" t="str">
        <f>_xlfn.IFNA(VLOOKUP($AI124,Programma!$F$3:$W$1101,18,0),"")</f>
        <v>_</v>
      </c>
      <c r="BA124" s="114" t="str">
        <f>_xlfn.IFNA(VLOOKUP($AI124,Programma!$F$3:$X$1101,19,0),"")</f>
        <v>_</v>
      </c>
      <c r="BB124" s="114" t="str">
        <f>_xlfn.IFNA(VLOOKUP($AI124,Programma!$F$3:$Y$1101,20,0),"")</f>
        <v>_</v>
      </c>
      <c r="BC124" s="111"/>
      <c r="BD124" s="110" t="str">
        <f>IF(Ruimtestaat[[#This Row],[Frequentie weekend]]="","",_xlfn.CONCAT(Ruimtestaat[[#This Row],[Ruimte code]],"-",Ruimtestaat[[#This Row],[Frequentie weekend]]," ",Ruimtestaat[[#This Row],[Vloer code]]))</f>
        <v/>
      </c>
      <c r="BE124" s="114" t="str">
        <f>_xlfn.IFNA(VLOOKUP($BD124,Programma!$F$3:$G$1101,2,0),"")</f>
        <v/>
      </c>
      <c r="BF124" s="114" t="str">
        <f>_xlfn.IFNA(VLOOKUP($BD124,Programma!$F$3:$H$1101,3,0),"")</f>
        <v/>
      </c>
      <c r="BG124" s="114" t="str">
        <f>_xlfn.IFNA(VLOOKUP($BD124,Programma!$F$3:$I$1101,4,0),"")</f>
        <v/>
      </c>
      <c r="BH124" s="114" t="str">
        <f>_xlfn.IFNA(VLOOKUP($BD124,Programma!$F$3:$J$1101,5,0),"")</f>
        <v/>
      </c>
      <c r="BI124" s="114" t="str">
        <f>_xlfn.IFNA(VLOOKUP($BD124,Programma!$F$3:$K$1101,6,0),"")</f>
        <v/>
      </c>
      <c r="BJ124" s="114" t="str">
        <f>_xlfn.IFNA(VLOOKUP($BD124,Programma!$F$3:$L$1101,7,0),"")</f>
        <v/>
      </c>
      <c r="BK124" s="114" t="str">
        <f>_xlfn.IFNA(VLOOKUP($BD124,Programma!$F$3:$M$1101,8,0),"")</f>
        <v/>
      </c>
      <c r="BL124" s="114" t="str">
        <f>_xlfn.IFNA(VLOOKUP($BD124,Programma!$F$3:$N$1101,9,0),"")</f>
        <v/>
      </c>
      <c r="BM124" s="114" t="str">
        <f>_xlfn.IFNA(VLOOKUP($BD124,Programma!$F$3:$O$1101,10,0),"")</f>
        <v/>
      </c>
      <c r="BN124" s="114" t="str">
        <f>_xlfn.IFNA(VLOOKUP($BD124,Programma!$F$3:$P$1101,11,0),"")</f>
        <v/>
      </c>
      <c r="BO124" s="114" t="str">
        <f>_xlfn.IFNA(VLOOKUP($BD124,Programma!$F$3:$Q$1101,12,0),"")</f>
        <v/>
      </c>
      <c r="BP124" s="114" t="str">
        <f>_xlfn.IFNA(VLOOKUP($BD124,Programma!$F$3:$R$1101,13,0),"")</f>
        <v/>
      </c>
      <c r="BQ124" s="114" t="str">
        <f>_xlfn.IFNA(VLOOKUP($BD124,Programma!$F$3:$S$1101,14,0),"")</f>
        <v/>
      </c>
      <c r="BR124" s="114" t="str">
        <f>_xlfn.IFNA(VLOOKUP($BD124,Programma!$F$3:$T$1101,15,0),"")</f>
        <v/>
      </c>
      <c r="BS124" s="114" t="str">
        <f>_xlfn.IFNA(VLOOKUP($BD124,Programma!$F$3:$U$1101,16,0),"")</f>
        <v/>
      </c>
      <c r="BT124" s="114" t="str">
        <f>_xlfn.IFNA(VLOOKUP($BD124,Programma!$F$3:$V$1101,17,0),"")</f>
        <v/>
      </c>
      <c r="BU124" s="114" t="str">
        <f>_xlfn.IFNA(VLOOKUP($BD124,Programma!$F$3:$W$1101,18,0),"")</f>
        <v/>
      </c>
      <c r="BV124" s="114" t="str">
        <f>_xlfn.IFNA(VLOOKUP($BD124,Programma!$F$3:$X$1101,19,0),"")</f>
        <v/>
      </c>
      <c r="BW124" s="114" t="str">
        <f>_xlfn.IFNA(VLOOKUP($BD124,Programma!$F$3:$Y$1101,20,0),"")</f>
        <v/>
      </c>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c r="HL124" s="28"/>
    </row>
    <row r="125" spans="1:220" ht="15" customHeight="1">
      <c r="A125" s="31">
        <v>3</v>
      </c>
      <c r="B125" s="105" t="str">
        <f>VLOOKUP(Ruimtestaat[[#This Row],[Code]],Locaties[[Code]:[Locatie]],2,FALSE)</f>
        <v>Sport IKC Het Startblok</v>
      </c>
      <c r="C125" s="105" t="str">
        <f>VLOOKUP(Ruimtestaat[[#This Row],[Code]],Locaties[[#All],[Code]:[Adres]],4,FALSE)</f>
        <v>Klapstraat 205</v>
      </c>
      <c r="D125" s="105" t="str">
        <f>VLOOKUP(Ruimtestaat[[#This Row],[Code]],Locaties[[#All],[Code]:[Postcode]],5,FALSE)</f>
        <v>6931 CH</v>
      </c>
      <c r="E125" s="105" t="str">
        <f>VLOOKUP(Ruimtestaat[[#This Row],[Code]],Locaties[#All],6,FALSE)</f>
        <v>Westervoort</v>
      </c>
      <c r="F125" s="73" t="s">
        <v>1795</v>
      </c>
      <c r="G125" s="73"/>
      <c r="H125" s="31" t="s">
        <v>1754</v>
      </c>
      <c r="I125" s="113" t="s">
        <v>1646</v>
      </c>
      <c r="J125" s="31">
        <v>7</v>
      </c>
      <c r="K125" s="113" t="str">
        <f>VLOOKUP(Ruimtestaat[[#This Row],[Ruimte code]],Ruimtegroepen[[#All],[Code]:[Ruimte omschrijving]],2,FALSE)</f>
        <v>Entree</v>
      </c>
      <c r="L125" s="73" t="s">
        <v>99</v>
      </c>
      <c r="M125" s="273" t="s">
        <v>1978</v>
      </c>
      <c r="N125" s="106">
        <v>12</v>
      </c>
      <c r="O125" s="112"/>
      <c r="P125" s="112"/>
      <c r="Q125" s="107" t="str">
        <f>VLOOKUP(Ruimtestaat[[#This Row],[Ruimte code]],Ruimtegroepen[],4,FALSE)</f>
        <v>Ve</v>
      </c>
      <c r="R125" s="73">
        <v>40</v>
      </c>
      <c r="S125" s="73" t="s">
        <v>2</v>
      </c>
      <c r="T125" s="73">
        <f>IF(R125&gt;0,IF(RIGHT(Ruimtestaat[[#This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5" s="73">
        <f>IF(T125&gt;0,VLOOKUP($J125,Ruimtegroepen[],3,FALSE)*VLOOKUP($L125,Vloersoorten[],3,FALSE)*VLOOKUP($S125,Frequenties[],3,FALSE)*VLOOKUP($A125,Locaties[],3,FALSE),0)</f>
        <v>0</v>
      </c>
      <c r="V125" s="73">
        <f>Ruimtestaat[[#This Row],[Uitvoeringen werkdagen]]*Ruimtestaat[[#This Row],[Oppervlak (netto)]]</f>
        <v>2400</v>
      </c>
      <c r="W125" s="108">
        <f>IF(U125&gt;0,Ruimtestaat[[#This Row],[Prest. (m2 /jaar) werkdagen]]/Ruimtestaat[[#This Row],[Norm (m2/uur) werkdagen]],0)</f>
        <v>0</v>
      </c>
      <c r="X125" s="109">
        <f>Ruimtestaat[[#This Row],[uren / jaar werkdagen]]*Tariefsopbouw!$E$35</f>
        <v>0</v>
      </c>
      <c r="Y125" s="73"/>
      <c r="Z125" s="73">
        <f>IF(Ruimtestaat[[#This Row],[Frequentie weekend]]&gt;0,VALUE(LEFT(Y125,1))*R125,0)</f>
        <v>0</v>
      </c>
      <c r="AA125" s="72">
        <f>IF($Z125&gt;0,VLOOKUP($J125,Ruimtegroepen[],3,FALSE)*VLOOKUP($L125,Vloersoorten[],3,FALSE)*VLOOKUP($Y125,Frequenties[],3,FALSE)*VLOOKUP(Ruimtestaat[[#This Row],[Code]],Locaties[],3,FALSE),0)</f>
        <v>0</v>
      </c>
      <c r="AB125" s="72">
        <f>Ruimtestaat[[#This Row],[Uitvoeringen weekend]]*Ruimtestaat[[#This Row],[Oppervlak (netto)]]</f>
        <v>0</v>
      </c>
      <c r="AC125" s="72">
        <f>IF(AA125&gt;0,Ruimtestaat[[#This Row],[Prest. (m2 /jaar) weekend]]/Ruimtestaat[[#This Row],[Norm (m2/uur) weekend]],0)</f>
        <v>0</v>
      </c>
      <c r="AD125" s="109">
        <f>Ruimtestaat[[#This Row],[uren / jaar weekend]]*Tariefsopbouw!$D$40</f>
        <v>0</v>
      </c>
      <c r="AE125" s="108">
        <f>Ruimtestaat[[#This Row],[Prest. (m2 /jaar) weekend]]+Ruimtestaat[[#This Row],[Prest. (m2 /jaar) werkdagen]]</f>
        <v>2400</v>
      </c>
      <c r="AF125" s="108">
        <f>Ruimtestaat[[#This Row],[uren / jaar weekend]]+Ruimtestaat[[#This Row],[uren / jaar werkdagen]]</f>
        <v>0</v>
      </c>
      <c r="AG125" s="103">
        <f>Ruimtestaat[[#This Row],[kosten / jaar weekend]]+Ruimtestaat[[#This Row],[kosten / jaar werkdagen]]</f>
        <v>0</v>
      </c>
      <c r="AH125" s="103"/>
      <c r="AI125" s="110" t="str">
        <f>IF(Ruimtestaat[[#This Row],[Frequentie werkdagen]]="","",_xlfn.CONCAT(Ruimtestaat[[#This Row],[Ruimte code]],"-",Ruimtestaat[[#This Row],[Frequentie werkdagen]]," ",Ruimtestaat[[#This Row],[Vloer code]]))</f>
        <v>7-5w T</v>
      </c>
      <c r="AJ125" s="114" t="str">
        <f>_xlfn.IFNA(VLOOKUP($AI125,Programma!$F$3:$G$1101,2,0),"")</f>
        <v>_</v>
      </c>
      <c r="AK125" s="114" t="str">
        <f>_xlfn.IFNA(VLOOKUP($AI125,Programma!$F$3:$H$1101,3,0),"")</f>
        <v>5w</v>
      </c>
      <c r="AL125" s="114" t="str">
        <f>_xlfn.IFNA(VLOOKUP($AI125,Programma!$F$3:$I$1101,4,0),"")</f>
        <v>_</v>
      </c>
      <c r="AM125" s="114" t="str">
        <f>_xlfn.IFNA(VLOOKUP($AI125,Programma!$F$3:$J$1101,5,0),"")</f>
        <v>_</v>
      </c>
      <c r="AN125" s="114" t="str">
        <f>_xlfn.IFNA(VLOOKUP($AI125,Programma!$F$3:$K$1101,6,0),"")</f>
        <v>_</v>
      </c>
      <c r="AO125" s="114" t="str">
        <f>_xlfn.IFNA(VLOOKUP($AI125,Programma!$F$3:$L$1101,7,0),"")</f>
        <v>_</v>
      </c>
      <c r="AP125" s="114" t="str">
        <f>_xlfn.IFNA(VLOOKUP($AI125,Programma!$F$3:$M$1101,8,0),"")</f>
        <v>_</v>
      </c>
      <c r="AQ125" s="114" t="str">
        <f>_xlfn.IFNA(VLOOKUP($AI125,Programma!$F$3:$N$1101,9,0),"")</f>
        <v>_</v>
      </c>
      <c r="AR125" s="114" t="str">
        <f>_xlfn.IFNA(VLOOKUP($AI125,Programma!$F$3:$O$1101,10,0),"")</f>
        <v>5w</v>
      </c>
      <c r="AS125" s="114" t="str">
        <f>_xlfn.IFNA(VLOOKUP($AI125,Programma!$F$3:$P$1101,11,0),"")</f>
        <v>5w</v>
      </c>
      <c r="AT125" s="114" t="str">
        <f>_xlfn.IFNA(VLOOKUP($AI125,Programma!$F$3:$Q$1101,12,0),"")</f>
        <v>1w</v>
      </c>
      <c r="AU125" s="114" t="str">
        <f>_xlfn.IFNA(VLOOKUP($AI125,Programma!$F$3:$R$1101,13,0),"")</f>
        <v>1w</v>
      </c>
      <c r="AV125" s="114" t="str">
        <f>_xlfn.IFNA(VLOOKUP($AI125,Programma!$F$3:$S$1101,14,0),"")</f>
        <v>1m</v>
      </c>
      <c r="AW125" s="114" t="str">
        <f>_xlfn.IFNA(VLOOKUP($AI125,Programma!$F$3:$T$1101,15,0),"")</f>
        <v>2j</v>
      </c>
      <c r="AX125" s="114" t="str">
        <f>_xlfn.IFNA(VLOOKUP($AI125,Programma!$F$3:$U$1101,16,0),"")</f>
        <v>1j</v>
      </c>
      <c r="AY125" s="114" t="str">
        <f>_xlfn.IFNA(VLOOKUP($AI125,Programma!$F$3:$V$1101,17,0),"")</f>
        <v>_</v>
      </c>
      <c r="AZ125" s="114" t="str">
        <f>_xlfn.IFNA(VLOOKUP($AI125,Programma!$F$3:$W$1101,18,0),"")</f>
        <v>_</v>
      </c>
      <c r="BA125" s="114" t="str">
        <f>_xlfn.IFNA(VLOOKUP($AI125,Programma!$F$3:$X$1101,19,0),"")</f>
        <v>_</v>
      </c>
      <c r="BB125" s="114" t="str">
        <f>_xlfn.IFNA(VLOOKUP($AI125,Programma!$F$3:$Y$1101,20,0),"")</f>
        <v>_</v>
      </c>
      <c r="BC125" s="111"/>
      <c r="BD125" s="110" t="str">
        <f>IF(Ruimtestaat[[#This Row],[Frequentie weekend]]="","",_xlfn.CONCAT(Ruimtestaat[[#This Row],[Ruimte code]],"-",Ruimtestaat[[#This Row],[Frequentie weekend]]," ",Ruimtestaat[[#This Row],[Vloer code]]))</f>
        <v/>
      </c>
      <c r="BE125" s="114" t="str">
        <f>_xlfn.IFNA(VLOOKUP($BD125,Programma!$F$3:$G$1101,2,0),"")</f>
        <v/>
      </c>
      <c r="BF125" s="114" t="str">
        <f>_xlfn.IFNA(VLOOKUP($BD125,Programma!$F$3:$H$1101,3,0),"")</f>
        <v/>
      </c>
      <c r="BG125" s="114" t="str">
        <f>_xlfn.IFNA(VLOOKUP($BD125,Programma!$F$3:$I$1101,4,0),"")</f>
        <v/>
      </c>
      <c r="BH125" s="114" t="str">
        <f>_xlfn.IFNA(VLOOKUP($BD125,Programma!$F$3:$J$1101,5,0),"")</f>
        <v/>
      </c>
      <c r="BI125" s="114" t="str">
        <f>_xlfn.IFNA(VLOOKUP($BD125,Programma!$F$3:$K$1101,6,0),"")</f>
        <v/>
      </c>
      <c r="BJ125" s="114" t="str">
        <f>_xlfn.IFNA(VLOOKUP($BD125,Programma!$F$3:$L$1101,7,0),"")</f>
        <v/>
      </c>
      <c r="BK125" s="114" t="str">
        <f>_xlfn.IFNA(VLOOKUP($BD125,Programma!$F$3:$M$1101,8,0),"")</f>
        <v/>
      </c>
      <c r="BL125" s="114" t="str">
        <f>_xlfn.IFNA(VLOOKUP($BD125,Programma!$F$3:$N$1101,9,0),"")</f>
        <v/>
      </c>
      <c r="BM125" s="114" t="str">
        <f>_xlfn.IFNA(VLOOKUP($BD125,Programma!$F$3:$O$1101,10,0),"")</f>
        <v/>
      </c>
      <c r="BN125" s="114" t="str">
        <f>_xlfn.IFNA(VLOOKUP($BD125,Programma!$F$3:$P$1101,11,0),"")</f>
        <v/>
      </c>
      <c r="BO125" s="114" t="str">
        <f>_xlfn.IFNA(VLOOKUP($BD125,Programma!$F$3:$Q$1101,12,0),"")</f>
        <v/>
      </c>
      <c r="BP125" s="114" t="str">
        <f>_xlfn.IFNA(VLOOKUP($BD125,Programma!$F$3:$R$1101,13,0),"")</f>
        <v/>
      </c>
      <c r="BQ125" s="114" t="str">
        <f>_xlfn.IFNA(VLOOKUP($BD125,Programma!$F$3:$S$1101,14,0),"")</f>
        <v/>
      </c>
      <c r="BR125" s="114" t="str">
        <f>_xlfn.IFNA(VLOOKUP($BD125,Programma!$F$3:$T$1101,15,0),"")</f>
        <v/>
      </c>
      <c r="BS125" s="114" t="str">
        <f>_xlfn.IFNA(VLOOKUP($BD125,Programma!$F$3:$U$1101,16,0),"")</f>
        <v/>
      </c>
      <c r="BT125" s="114" t="str">
        <f>_xlfn.IFNA(VLOOKUP($BD125,Programma!$F$3:$V$1101,17,0),"")</f>
        <v/>
      </c>
      <c r="BU125" s="114" t="str">
        <f>_xlfn.IFNA(VLOOKUP($BD125,Programma!$F$3:$W$1101,18,0),"")</f>
        <v/>
      </c>
      <c r="BV125" s="114" t="str">
        <f>_xlfn.IFNA(VLOOKUP($BD125,Programma!$F$3:$X$1101,19,0),"")</f>
        <v/>
      </c>
      <c r="BW125" s="114" t="str">
        <f>_xlfn.IFNA(VLOOKUP($BD125,Programma!$F$3:$Y$1101,20,0),"")</f>
        <v/>
      </c>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c r="FO125" s="28"/>
      <c r="FP125" s="28"/>
      <c r="FQ125" s="28"/>
      <c r="FR125" s="28"/>
      <c r="FS125" s="28"/>
      <c r="FT125" s="28"/>
      <c r="FU125" s="28"/>
      <c r="FV125" s="28"/>
      <c r="FW125" s="28"/>
      <c r="FX125" s="28"/>
      <c r="FY125" s="28"/>
      <c r="FZ125" s="28"/>
      <c r="GA125" s="28"/>
      <c r="GB125" s="28"/>
      <c r="GC125" s="28"/>
      <c r="GD125" s="28"/>
      <c r="GE125" s="28"/>
      <c r="GF125" s="28"/>
      <c r="GG125" s="28"/>
      <c r="GH125" s="28"/>
      <c r="GI125" s="28"/>
      <c r="GJ125" s="28"/>
      <c r="GK125" s="28"/>
      <c r="GL125" s="28"/>
      <c r="GM125" s="28"/>
      <c r="GN125" s="28"/>
      <c r="GO125" s="28"/>
      <c r="GP125" s="28"/>
      <c r="GQ125" s="28"/>
      <c r="GR125" s="28"/>
      <c r="GS125" s="28"/>
      <c r="GT125" s="28"/>
      <c r="GU125" s="28"/>
      <c r="GV125" s="28"/>
      <c r="GW125" s="28"/>
      <c r="GX125" s="28"/>
      <c r="GY125" s="28"/>
      <c r="GZ125" s="28"/>
      <c r="HA125" s="28"/>
      <c r="HB125" s="28"/>
      <c r="HC125" s="28"/>
      <c r="HD125" s="28"/>
      <c r="HE125" s="28"/>
      <c r="HF125" s="28"/>
      <c r="HG125" s="28"/>
      <c r="HH125" s="28"/>
      <c r="HI125" s="28"/>
      <c r="HJ125" s="28"/>
      <c r="HK125" s="28"/>
      <c r="HL125" s="28"/>
    </row>
    <row r="126" spans="1:220" ht="15" customHeight="1">
      <c r="A126" s="31">
        <v>3</v>
      </c>
      <c r="B126" s="105" t="str">
        <f>VLOOKUP(Ruimtestaat[[#This Row],[Code]],Locaties[[Code]:[Locatie]],2,FALSE)</f>
        <v>Sport IKC Het Startblok</v>
      </c>
      <c r="C126" s="105" t="str">
        <f>VLOOKUP(Ruimtestaat[[#This Row],[Code]],Locaties[[#All],[Code]:[Adres]],4,FALSE)</f>
        <v>Klapstraat 205</v>
      </c>
      <c r="D126" s="105" t="str">
        <f>VLOOKUP(Ruimtestaat[[#This Row],[Code]],Locaties[[#All],[Code]:[Postcode]],5,FALSE)</f>
        <v>6931 CH</v>
      </c>
      <c r="E126" s="105" t="str">
        <f>VLOOKUP(Ruimtestaat[[#This Row],[Code]],Locaties[#All],6,FALSE)</f>
        <v>Westervoort</v>
      </c>
      <c r="F126" s="73" t="s">
        <v>1795</v>
      </c>
      <c r="G126" s="73"/>
      <c r="H126" s="31" t="s">
        <v>1755</v>
      </c>
      <c r="I126" s="113" t="s">
        <v>1775</v>
      </c>
      <c r="J126" s="31">
        <v>6</v>
      </c>
      <c r="K126" s="113" t="str">
        <f>VLOOKUP(Ruimtestaat[[#This Row],[Ruimte code]],Ruimtegroepen[[#All],[Code]:[Ruimte omschrijving]],2,FALSE)</f>
        <v>Gangen/hallen</v>
      </c>
      <c r="L126" s="73" t="s">
        <v>102</v>
      </c>
      <c r="M126" s="273" t="s">
        <v>120</v>
      </c>
      <c r="N126" s="106">
        <v>230</v>
      </c>
      <c r="O126" s="112"/>
      <c r="P126" s="73"/>
      <c r="Q126" s="107" t="str">
        <f>VLOOKUP(Ruimtestaat[[#This Row],[Ruimte code]],Ruimtegroepen[],4,FALSE)</f>
        <v>Ve</v>
      </c>
      <c r="R126" s="73">
        <v>40</v>
      </c>
      <c r="S126" s="73" t="s">
        <v>2</v>
      </c>
      <c r="T126" s="73">
        <f>IF(R126&gt;0,IF(RIGHT(Ruimtestaat[[#This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6" s="73">
        <f>IF(T126&gt;0,VLOOKUP($J126,Ruimtegroepen[],3,FALSE)*VLOOKUP($L126,Vloersoorten[],3,FALSE)*VLOOKUP($S126,Frequenties[],3,FALSE)*VLOOKUP($A126,Locaties[],3,FALSE),0)</f>
        <v>0</v>
      </c>
      <c r="V126" s="73">
        <f>Ruimtestaat[[#This Row],[Uitvoeringen werkdagen]]*Ruimtestaat[[#This Row],[Oppervlak (netto)]]</f>
        <v>46000</v>
      </c>
      <c r="W126" s="108">
        <f>IF(U126&gt;0,Ruimtestaat[[#This Row],[Prest. (m2 /jaar) werkdagen]]/Ruimtestaat[[#This Row],[Norm (m2/uur) werkdagen]],0)</f>
        <v>0</v>
      </c>
      <c r="X126" s="109">
        <f>Ruimtestaat[[#This Row],[uren / jaar werkdagen]]*Tariefsopbouw!$E$35</f>
        <v>0</v>
      </c>
      <c r="Y126" s="73"/>
      <c r="Z126" s="73">
        <f>IF(Ruimtestaat[[#This Row],[Frequentie weekend]]&gt;0,VALUE(LEFT(Y126,1))*R126,0)</f>
        <v>0</v>
      </c>
      <c r="AA126" s="72">
        <f>IF($Z126&gt;0,VLOOKUP($J126,Ruimtegroepen[],3,FALSE)*VLOOKUP($L126,Vloersoorten[],3,FALSE)*VLOOKUP($Y126,Frequenties[],3,FALSE)*VLOOKUP(Ruimtestaat[[#This Row],[Code]],Locaties[],3,FALSE),0)</f>
        <v>0</v>
      </c>
      <c r="AB126" s="72">
        <f>Ruimtestaat[[#This Row],[Uitvoeringen weekend]]*Ruimtestaat[[#This Row],[Oppervlak (netto)]]</f>
        <v>0</v>
      </c>
      <c r="AC126" s="72">
        <f>IF(AA126&gt;0,Ruimtestaat[[#This Row],[Prest. (m2 /jaar) weekend]]/Ruimtestaat[[#This Row],[Norm (m2/uur) weekend]],0)</f>
        <v>0</v>
      </c>
      <c r="AD126" s="109">
        <f>Ruimtestaat[[#This Row],[uren / jaar weekend]]*Tariefsopbouw!$D$40</f>
        <v>0</v>
      </c>
      <c r="AE126" s="108">
        <f>Ruimtestaat[[#This Row],[Prest. (m2 /jaar) weekend]]+Ruimtestaat[[#This Row],[Prest. (m2 /jaar) werkdagen]]</f>
        <v>46000</v>
      </c>
      <c r="AF126" s="108">
        <f>Ruimtestaat[[#This Row],[uren / jaar weekend]]+Ruimtestaat[[#This Row],[uren / jaar werkdagen]]</f>
        <v>0</v>
      </c>
      <c r="AG126" s="103">
        <f>Ruimtestaat[[#This Row],[kosten / jaar weekend]]+Ruimtestaat[[#This Row],[kosten / jaar werkdagen]]</f>
        <v>0</v>
      </c>
      <c r="AH126" s="103"/>
      <c r="AI126" s="110" t="str">
        <f>IF(Ruimtestaat[[#This Row],[Frequentie werkdagen]]="","",_xlfn.CONCAT(Ruimtestaat[[#This Row],[Ruimte code]],"-",Ruimtestaat[[#This Row],[Frequentie werkdagen]]," ",Ruimtestaat[[#This Row],[Vloer code]]))</f>
        <v>6-5w P</v>
      </c>
      <c r="AJ126" s="114" t="str">
        <f>_xlfn.IFNA(VLOOKUP($AI126,Programma!$F$3:$G$1101,2,0),"")</f>
        <v>_</v>
      </c>
      <c r="AK126" s="114" t="str">
        <f>_xlfn.IFNA(VLOOKUP($AI126,Programma!$F$3:$H$1101,3,0),"")</f>
        <v>_</v>
      </c>
      <c r="AL126" s="114" t="str">
        <f>_xlfn.IFNA(VLOOKUP($AI126,Programma!$F$3:$I$1101,4,0),"")</f>
        <v>5w</v>
      </c>
      <c r="AM126" s="114" t="str">
        <f>_xlfn.IFNA(VLOOKUP($AI126,Programma!$F$3:$J$1101,5,0),"")</f>
        <v>_</v>
      </c>
      <c r="AN126" s="114" t="str">
        <f>_xlfn.IFNA(VLOOKUP($AI126,Programma!$F$3:$K$1101,6,0),"")</f>
        <v>5w</v>
      </c>
      <c r="AO126" s="114" t="str">
        <f>_xlfn.IFNA(VLOOKUP($AI126,Programma!$F$3:$L$1101,7,0),"")</f>
        <v>_</v>
      </c>
      <c r="AP126" s="114" t="str">
        <f>_xlfn.IFNA(VLOOKUP($AI126,Programma!$F$3:$M$1101,8,0),"")</f>
        <v>_</v>
      </c>
      <c r="AQ126" s="114" t="str">
        <f>_xlfn.IFNA(VLOOKUP($AI126,Programma!$F$3:$N$1101,9,0),"")</f>
        <v>_</v>
      </c>
      <c r="AR126" s="114" t="str">
        <f>_xlfn.IFNA(VLOOKUP($AI126,Programma!$F$3:$O$1101,10,0),"")</f>
        <v>5w</v>
      </c>
      <c r="AS126" s="114" t="str">
        <f>_xlfn.IFNA(VLOOKUP($AI126,Programma!$F$3:$P$1101,11,0),"")</f>
        <v>5w</v>
      </c>
      <c r="AT126" s="114" t="str">
        <f>_xlfn.IFNA(VLOOKUP($AI126,Programma!$F$3:$Q$1101,12,0),"")</f>
        <v>1w</v>
      </c>
      <c r="AU126" s="114" t="str">
        <f>_xlfn.IFNA(VLOOKUP($AI126,Programma!$F$3:$R$1101,13,0),"")</f>
        <v>1w</v>
      </c>
      <c r="AV126" s="114" t="str">
        <f>_xlfn.IFNA(VLOOKUP($AI126,Programma!$F$3:$S$1101,14,0),"")</f>
        <v>1m</v>
      </c>
      <c r="AW126" s="114" t="str">
        <f>_xlfn.IFNA(VLOOKUP($AI126,Programma!$F$3:$T$1101,15,0),"")</f>
        <v>2j</v>
      </c>
      <c r="AX126" s="114" t="str">
        <f>_xlfn.IFNA(VLOOKUP($AI126,Programma!$F$3:$U$1101,16,0),"")</f>
        <v>1j</v>
      </c>
      <c r="AY126" s="114" t="str">
        <f>_xlfn.IFNA(VLOOKUP($AI126,Programma!$F$3:$V$1101,17,0),"")</f>
        <v>_</v>
      </c>
      <c r="AZ126" s="114" t="str">
        <f>_xlfn.IFNA(VLOOKUP($AI126,Programma!$F$3:$W$1101,18,0),"")</f>
        <v>_</v>
      </c>
      <c r="BA126" s="114" t="str">
        <f>_xlfn.IFNA(VLOOKUP($AI126,Programma!$F$3:$X$1101,19,0),"")</f>
        <v>_</v>
      </c>
      <c r="BB126" s="114" t="str">
        <f>_xlfn.IFNA(VLOOKUP($AI126,Programma!$F$3:$Y$1101,20,0),"")</f>
        <v>_</v>
      </c>
      <c r="BC126" s="111"/>
      <c r="BD126" s="110" t="str">
        <f>IF(Ruimtestaat[[#This Row],[Frequentie weekend]]="","",_xlfn.CONCAT(Ruimtestaat[[#This Row],[Ruimte code]],"-",Ruimtestaat[[#This Row],[Frequentie weekend]]," ",Ruimtestaat[[#This Row],[Vloer code]]))</f>
        <v/>
      </c>
      <c r="BE126" s="114" t="str">
        <f>_xlfn.IFNA(VLOOKUP($BD126,Programma!$F$3:$G$1101,2,0),"")</f>
        <v/>
      </c>
      <c r="BF126" s="114" t="str">
        <f>_xlfn.IFNA(VLOOKUP($BD126,Programma!$F$3:$H$1101,3,0),"")</f>
        <v/>
      </c>
      <c r="BG126" s="114" t="str">
        <f>_xlfn.IFNA(VLOOKUP($BD126,Programma!$F$3:$I$1101,4,0),"")</f>
        <v/>
      </c>
      <c r="BH126" s="114" t="str">
        <f>_xlfn.IFNA(VLOOKUP($BD126,Programma!$F$3:$J$1101,5,0),"")</f>
        <v/>
      </c>
      <c r="BI126" s="114" t="str">
        <f>_xlfn.IFNA(VLOOKUP($BD126,Programma!$F$3:$K$1101,6,0),"")</f>
        <v/>
      </c>
      <c r="BJ126" s="114" t="str">
        <f>_xlfn.IFNA(VLOOKUP($BD126,Programma!$F$3:$L$1101,7,0),"")</f>
        <v/>
      </c>
      <c r="BK126" s="114" t="str">
        <f>_xlfn.IFNA(VLOOKUP($BD126,Programma!$F$3:$M$1101,8,0),"")</f>
        <v/>
      </c>
      <c r="BL126" s="114" t="str">
        <f>_xlfn.IFNA(VLOOKUP($BD126,Programma!$F$3:$N$1101,9,0),"")</f>
        <v/>
      </c>
      <c r="BM126" s="114" t="str">
        <f>_xlfn.IFNA(VLOOKUP($BD126,Programma!$F$3:$O$1101,10,0),"")</f>
        <v/>
      </c>
      <c r="BN126" s="114" t="str">
        <f>_xlfn.IFNA(VLOOKUP($BD126,Programma!$F$3:$P$1101,11,0),"")</f>
        <v/>
      </c>
      <c r="BO126" s="114" t="str">
        <f>_xlfn.IFNA(VLOOKUP($BD126,Programma!$F$3:$Q$1101,12,0),"")</f>
        <v/>
      </c>
      <c r="BP126" s="114" t="str">
        <f>_xlfn.IFNA(VLOOKUP($BD126,Programma!$F$3:$R$1101,13,0),"")</f>
        <v/>
      </c>
      <c r="BQ126" s="114" t="str">
        <f>_xlfn.IFNA(VLOOKUP($BD126,Programma!$F$3:$S$1101,14,0),"")</f>
        <v/>
      </c>
      <c r="BR126" s="114" t="str">
        <f>_xlfn.IFNA(VLOOKUP($BD126,Programma!$F$3:$T$1101,15,0),"")</f>
        <v/>
      </c>
      <c r="BS126" s="114" t="str">
        <f>_xlfn.IFNA(VLOOKUP($BD126,Programma!$F$3:$U$1101,16,0),"")</f>
        <v/>
      </c>
      <c r="BT126" s="114" t="str">
        <f>_xlfn.IFNA(VLOOKUP($BD126,Programma!$F$3:$V$1101,17,0),"")</f>
        <v/>
      </c>
      <c r="BU126" s="114" t="str">
        <f>_xlfn.IFNA(VLOOKUP($BD126,Programma!$F$3:$W$1101,18,0),"")</f>
        <v/>
      </c>
      <c r="BV126" s="114" t="str">
        <f>_xlfn.IFNA(VLOOKUP($BD126,Programma!$F$3:$X$1101,19,0),"")</f>
        <v/>
      </c>
      <c r="BW126" s="114" t="str">
        <f>_xlfn.IFNA(VLOOKUP($BD126,Programma!$F$3:$Y$1101,20,0),"")</f>
        <v/>
      </c>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8"/>
      <c r="FJ126" s="28"/>
      <c r="FK126" s="28"/>
      <c r="FL126" s="28"/>
      <c r="FM126" s="28"/>
      <c r="FN126" s="28"/>
      <c r="FO126" s="28"/>
      <c r="FP126" s="28"/>
      <c r="FQ126" s="28"/>
      <c r="FR126" s="28"/>
      <c r="FS126" s="28"/>
      <c r="FT126" s="28"/>
      <c r="FU126" s="28"/>
      <c r="FV126" s="28"/>
      <c r="FW126" s="28"/>
      <c r="FX126" s="28"/>
      <c r="FY126" s="28"/>
      <c r="FZ126" s="28"/>
      <c r="GA126" s="28"/>
      <c r="GB126" s="28"/>
      <c r="GC126" s="28"/>
      <c r="GD126" s="28"/>
      <c r="GE126" s="28"/>
      <c r="GF126" s="28"/>
      <c r="GG126" s="28"/>
      <c r="GH126" s="28"/>
      <c r="GI126" s="28"/>
      <c r="GJ126" s="28"/>
      <c r="GK126" s="28"/>
      <c r="GL126" s="28"/>
      <c r="GM126" s="28"/>
      <c r="GN126" s="28"/>
      <c r="GO126" s="28"/>
      <c r="GP126" s="28"/>
      <c r="GQ126" s="28"/>
      <c r="GR126" s="28"/>
      <c r="GS126" s="28"/>
      <c r="GT126" s="28"/>
      <c r="GU126" s="28"/>
      <c r="GV126" s="28"/>
      <c r="GW126" s="28"/>
      <c r="GX126" s="28"/>
      <c r="GY126" s="28"/>
      <c r="GZ126" s="28"/>
      <c r="HA126" s="28"/>
      <c r="HB126" s="28"/>
      <c r="HC126" s="28"/>
      <c r="HD126" s="28"/>
      <c r="HE126" s="28"/>
      <c r="HF126" s="28"/>
      <c r="HG126" s="28"/>
      <c r="HH126" s="28"/>
      <c r="HI126" s="28"/>
      <c r="HJ126" s="28"/>
      <c r="HK126" s="28"/>
      <c r="HL126" s="28"/>
    </row>
    <row r="127" spans="1:220" ht="15" customHeight="1">
      <c r="A127" s="31">
        <v>3</v>
      </c>
      <c r="B127" s="105" t="str">
        <f>VLOOKUP(Ruimtestaat[[#This Row],[Code]],Locaties[[Code]:[Locatie]],2,FALSE)</f>
        <v>Sport IKC Het Startblok</v>
      </c>
      <c r="C127" s="105" t="str">
        <f>VLOOKUP(Ruimtestaat[[#This Row],[Code]],Locaties[[#All],[Code]:[Adres]],4,FALSE)</f>
        <v>Klapstraat 205</v>
      </c>
      <c r="D127" s="105" t="str">
        <f>VLOOKUP(Ruimtestaat[[#This Row],[Code]],Locaties[[#All],[Code]:[Postcode]],5,FALSE)</f>
        <v>6931 CH</v>
      </c>
      <c r="E127" s="105" t="str">
        <f>VLOOKUP(Ruimtestaat[[#This Row],[Code]],Locaties[#All],6,FALSE)</f>
        <v>Westervoort</v>
      </c>
      <c r="F127" s="73" t="s">
        <v>1795</v>
      </c>
      <c r="G127" s="73"/>
      <c r="H127" s="31" t="s">
        <v>1756</v>
      </c>
      <c r="I127" s="113" t="s">
        <v>1776</v>
      </c>
      <c r="J127" s="31">
        <v>5</v>
      </c>
      <c r="K127" s="113" t="str">
        <f>VLOOKUP(Ruimtestaat[[#This Row],[Ruimte code]],Ruimtegroepen[[#All],[Code]:[Ruimte omschrijving]],2,FALSE)</f>
        <v>Sanitair</v>
      </c>
      <c r="L127" s="73" t="s">
        <v>102</v>
      </c>
      <c r="M127" s="273" t="s">
        <v>120</v>
      </c>
      <c r="N127" s="106">
        <v>4</v>
      </c>
      <c r="O127" s="112"/>
      <c r="P127" s="112"/>
      <c r="Q127" s="107" t="str">
        <f>VLOOKUP(Ruimtestaat[[#This Row],[Ruimte code]],Ruimtegroepen[],4,FALSE)</f>
        <v>Sa</v>
      </c>
      <c r="R127" s="73">
        <v>40</v>
      </c>
      <c r="S127" s="73" t="s">
        <v>2</v>
      </c>
      <c r="T127" s="73">
        <f>IF(R127&gt;0,IF(RIGHT(Ruimtestaat[[#This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7" s="73">
        <f>IF(T127&gt;0,VLOOKUP($J127,Ruimtegroepen[],3,FALSE)*VLOOKUP($L127,Vloersoorten[],3,FALSE)*VLOOKUP($S127,Frequenties[],3,FALSE)*VLOOKUP($A127,Locaties[],3,FALSE),0)</f>
        <v>0</v>
      </c>
      <c r="V127" s="73">
        <f>Ruimtestaat[[#This Row],[Uitvoeringen werkdagen]]*Ruimtestaat[[#This Row],[Oppervlak (netto)]]</f>
        <v>800</v>
      </c>
      <c r="W127" s="108">
        <f>IF(U127&gt;0,Ruimtestaat[[#This Row],[Prest. (m2 /jaar) werkdagen]]/Ruimtestaat[[#This Row],[Norm (m2/uur) werkdagen]],0)</f>
        <v>0</v>
      </c>
      <c r="X127" s="109">
        <f>Ruimtestaat[[#This Row],[uren / jaar werkdagen]]*Tariefsopbouw!$E$35</f>
        <v>0</v>
      </c>
      <c r="Y127" s="73"/>
      <c r="Z127" s="73">
        <f>IF(Ruimtestaat[[#This Row],[Frequentie weekend]]&gt;0,VALUE(LEFT(Y127,1))*R127,0)</f>
        <v>0</v>
      </c>
      <c r="AA127" s="72">
        <f>IF($Z127&gt;0,VLOOKUP($J127,Ruimtegroepen[],3,FALSE)*VLOOKUP($L127,Vloersoorten[],3,FALSE)*VLOOKUP($Y127,Frequenties[],3,FALSE)*VLOOKUP(Ruimtestaat[[#This Row],[Code]],Locaties[],3,FALSE),0)</f>
        <v>0</v>
      </c>
      <c r="AB127" s="72">
        <f>Ruimtestaat[[#This Row],[Uitvoeringen weekend]]*Ruimtestaat[[#This Row],[Oppervlak (netto)]]</f>
        <v>0</v>
      </c>
      <c r="AC127" s="72">
        <f>IF(AA127&gt;0,Ruimtestaat[[#This Row],[Prest. (m2 /jaar) weekend]]/Ruimtestaat[[#This Row],[Norm (m2/uur) weekend]],0)</f>
        <v>0</v>
      </c>
      <c r="AD127" s="109">
        <f>Ruimtestaat[[#This Row],[uren / jaar weekend]]*Tariefsopbouw!$D$40</f>
        <v>0</v>
      </c>
      <c r="AE127" s="108">
        <f>Ruimtestaat[[#This Row],[Prest. (m2 /jaar) weekend]]+Ruimtestaat[[#This Row],[Prest. (m2 /jaar) werkdagen]]</f>
        <v>800</v>
      </c>
      <c r="AF127" s="108">
        <f>Ruimtestaat[[#This Row],[uren / jaar weekend]]+Ruimtestaat[[#This Row],[uren / jaar werkdagen]]</f>
        <v>0</v>
      </c>
      <c r="AG127" s="103">
        <f>Ruimtestaat[[#This Row],[kosten / jaar weekend]]+Ruimtestaat[[#This Row],[kosten / jaar werkdagen]]</f>
        <v>0</v>
      </c>
      <c r="AH127" s="103"/>
      <c r="AI127" s="110" t="str">
        <f>IF(Ruimtestaat[[#This Row],[Frequentie werkdagen]]="","",_xlfn.CONCAT(Ruimtestaat[[#This Row],[Ruimte code]],"-",Ruimtestaat[[#This Row],[Frequentie werkdagen]]," ",Ruimtestaat[[#This Row],[Vloer code]]))</f>
        <v>5-5w P</v>
      </c>
      <c r="AJ127" s="114" t="str">
        <f>_xlfn.IFNA(VLOOKUP($AI127,Programma!$F$3:$G$1101,2,0),"")</f>
        <v>_</v>
      </c>
      <c r="AK127" s="114" t="str">
        <f>_xlfn.IFNA(VLOOKUP($AI127,Programma!$F$3:$H$1101,3,0),"")</f>
        <v>_</v>
      </c>
      <c r="AL127" s="114" t="str">
        <f>_xlfn.IFNA(VLOOKUP($AI127,Programma!$F$3:$I$1101,4,0),"")</f>
        <v>_</v>
      </c>
      <c r="AM127" s="114" t="str">
        <f>_xlfn.IFNA(VLOOKUP($AI127,Programma!$F$3:$J$1101,5,0),"")</f>
        <v>4w</v>
      </c>
      <c r="AN127" s="114" t="str">
        <f>_xlfn.IFNA(VLOOKUP($AI127,Programma!$F$3:$K$1101,6,0),"")</f>
        <v>1w</v>
      </c>
      <c r="AO127" s="114" t="str">
        <f>_xlfn.IFNA(VLOOKUP($AI127,Programma!$F$3:$L$1101,7,0),"")</f>
        <v>_</v>
      </c>
      <c r="AP127" s="114" t="str">
        <f>_xlfn.IFNA(VLOOKUP($AI127,Programma!$F$3:$M$1101,8,0),"")</f>
        <v>_</v>
      </c>
      <c r="AQ127" s="114" t="str">
        <f>_xlfn.IFNA(VLOOKUP($AI127,Programma!$F$3:$N$1101,9,0),"")</f>
        <v>_</v>
      </c>
      <c r="AR127" s="114" t="str">
        <f>_xlfn.IFNA(VLOOKUP($AI127,Programma!$F$3:$O$1101,10,0),"")</f>
        <v>_</v>
      </c>
      <c r="AS127" s="114" t="str">
        <f>_xlfn.IFNA(VLOOKUP($AI127,Programma!$F$3:$P$1101,11,0),"")</f>
        <v>_</v>
      </c>
      <c r="AT127" s="114" t="str">
        <f>_xlfn.IFNA(VLOOKUP($AI127,Programma!$F$3:$Q$1101,12,0),"")</f>
        <v>_</v>
      </c>
      <c r="AU127" s="114" t="str">
        <f>_xlfn.IFNA(VLOOKUP($AI127,Programma!$F$3:$R$1101,13,0),"")</f>
        <v>_</v>
      </c>
      <c r="AV127" s="114" t="str">
        <f>_xlfn.IFNA(VLOOKUP($AI127,Programma!$F$3:$S$1101,14,0),"")</f>
        <v>_</v>
      </c>
      <c r="AW127" s="114" t="str">
        <f>_xlfn.IFNA(VLOOKUP($AI127,Programma!$F$3:$T$1101,15,0),"")</f>
        <v>_</v>
      </c>
      <c r="AX127" s="114" t="str">
        <f>_xlfn.IFNA(VLOOKUP($AI127,Programma!$F$3:$U$1101,16,0),"")</f>
        <v>_</v>
      </c>
      <c r="AY127" s="114" t="str">
        <f>_xlfn.IFNA(VLOOKUP($AI127,Programma!$F$3:$V$1101,17,0),"")</f>
        <v>_</v>
      </c>
      <c r="AZ127" s="114" t="str">
        <f>_xlfn.IFNA(VLOOKUP($AI127,Programma!$F$3:$W$1101,18,0),"")</f>
        <v>4w</v>
      </c>
      <c r="BA127" s="114" t="str">
        <f>_xlfn.IFNA(VLOOKUP($AI127,Programma!$F$3:$X$1101,19,0),"")</f>
        <v>1w</v>
      </c>
      <c r="BB127" s="114" t="str">
        <f>_xlfn.IFNA(VLOOKUP($AI127,Programma!$F$3:$Y$1101,20,0),"")</f>
        <v>_</v>
      </c>
      <c r="BC127" s="111"/>
      <c r="BD127" s="110" t="str">
        <f>IF(Ruimtestaat[[#This Row],[Frequentie weekend]]="","",_xlfn.CONCAT(Ruimtestaat[[#This Row],[Ruimte code]],"-",Ruimtestaat[[#This Row],[Frequentie weekend]]," ",Ruimtestaat[[#This Row],[Vloer code]]))</f>
        <v/>
      </c>
      <c r="BE127" s="114" t="str">
        <f>_xlfn.IFNA(VLOOKUP($BD127,Programma!$F$3:$G$1101,2,0),"")</f>
        <v/>
      </c>
      <c r="BF127" s="114" t="str">
        <f>_xlfn.IFNA(VLOOKUP($BD127,Programma!$F$3:$H$1101,3,0),"")</f>
        <v/>
      </c>
      <c r="BG127" s="114" t="str">
        <f>_xlfn.IFNA(VLOOKUP($BD127,Programma!$F$3:$I$1101,4,0),"")</f>
        <v/>
      </c>
      <c r="BH127" s="114" t="str">
        <f>_xlfn.IFNA(VLOOKUP($BD127,Programma!$F$3:$J$1101,5,0),"")</f>
        <v/>
      </c>
      <c r="BI127" s="114" t="str">
        <f>_xlfn.IFNA(VLOOKUP($BD127,Programma!$F$3:$K$1101,6,0),"")</f>
        <v/>
      </c>
      <c r="BJ127" s="114" t="str">
        <f>_xlfn.IFNA(VLOOKUP($BD127,Programma!$F$3:$L$1101,7,0),"")</f>
        <v/>
      </c>
      <c r="BK127" s="114" t="str">
        <f>_xlfn.IFNA(VLOOKUP($BD127,Programma!$F$3:$M$1101,8,0),"")</f>
        <v/>
      </c>
      <c r="BL127" s="114" t="str">
        <f>_xlfn.IFNA(VLOOKUP($BD127,Programma!$F$3:$N$1101,9,0),"")</f>
        <v/>
      </c>
      <c r="BM127" s="114" t="str">
        <f>_xlfn.IFNA(VLOOKUP($BD127,Programma!$F$3:$O$1101,10,0),"")</f>
        <v/>
      </c>
      <c r="BN127" s="114" t="str">
        <f>_xlfn.IFNA(VLOOKUP($BD127,Programma!$F$3:$P$1101,11,0),"")</f>
        <v/>
      </c>
      <c r="BO127" s="114" t="str">
        <f>_xlfn.IFNA(VLOOKUP($BD127,Programma!$F$3:$Q$1101,12,0),"")</f>
        <v/>
      </c>
      <c r="BP127" s="114" t="str">
        <f>_xlfn.IFNA(VLOOKUP($BD127,Programma!$F$3:$R$1101,13,0),"")</f>
        <v/>
      </c>
      <c r="BQ127" s="114" t="str">
        <f>_xlfn.IFNA(VLOOKUP($BD127,Programma!$F$3:$S$1101,14,0),"")</f>
        <v/>
      </c>
      <c r="BR127" s="114" t="str">
        <f>_xlfn.IFNA(VLOOKUP($BD127,Programma!$F$3:$T$1101,15,0),"")</f>
        <v/>
      </c>
      <c r="BS127" s="114" t="str">
        <f>_xlfn.IFNA(VLOOKUP($BD127,Programma!$F$3:$U$1101,16,0),"")</f>
        <v/>
      </c>
      <c r="BT127" s="114" t="str">
        <f>_xlfn.IFNA(VLOOKUP($BD127,Programma!$F$3:$V$1101,17,0),"")</f>
        <v/>
      </c>
      <c r="BU127" s="114" t="str">
        <f>_xlfn.IFNA(VLOOKUP($BD127,Programma!$F$3:$W$1101,18,0),"")</f>
        <v/>
      </c>
      <c r="BV127" s="114" t="str">
        <f>_xlfn.IFNA(VLOOKUP($BD127,Programma!$F$3:$X$1101,19,0),"")</f>
        <v/>
      </c>
      <c r="BW127" s="114" t="str">
        <f>_xlfn.IFNA(VLOOKUP($BD127,Programma!$F$3:$Y$1101,20,0),"")</f>
        <v/>
      </c>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c r="FG127" s="28"/>
      <c r="FH127" s="28"/>
      <c r="FI127" s="28"/>
      <c r="FJ127" s="28"/>
      <c r="FK127" s="28"/>
      <c r="FL127" s="28"/>
      <c r="FM127" s="28"/>
      <c r="FN127" s="28"/>
      <c r="FO127" s="28"/>
      <c r="FP127" s="28"/>
      <c r="FQ127" s="28"/>
      <c r="FR127" s="28"/>
      <c r="FS127" s="28"/>
      <c r="FT127" s="28"/>
      <c r="FU127" s="28"/>
      <c r="FV127" s="28"/>
      <c r="FW127" s="28"/>
      <c r="FX127" s="28"/>
      <c r="FY127" s="28"/>
      <c r="FZ127" s="28"/>
      <c r="GA127" s="28"/>
      <c r="GB127" s="28"/>
      <c r="GC127" s="28"/>
      <c r="GD127" s="28"/>
      <c r="GE127" s="28"/>
      <c r="GF127" s="28"/>
      <c r="GG127" s="28"/>
      <c r="GH127" s="28"/>
      <c r="GI127" s="28"/>
      <c r="GJ127" s="28"/>
      <c r="GK127" s="28"/>
      <c r="GL127" s="28"/>
      <c r="GM127" s="28"/>
      <c r="GN127" s="28"/>
      <c r="GO127" s="28"/>
      <c r="GP127" s="28"/>
      <c r="GQ127" s="28"/>
      <c r="GR127" s="28"/>
      <c r="GS127" s="28"/>
      <c r="GT127" s="28"/>
      <c r="GU127" s="28"/>
      <c r="GV127" s="28"/>
      <c r="GW127" s="28"/>
      <c r="GX127" s="28"/>
      <c r="GY127" s="28"/>
      <c r="GZ127" s="28"/>
      <c r="HA127" s="28"/>
      <c r="HB127" s="28"/>
      <c r="HC127" s="28"/>
      <c r="HD127" s="28"/>
      <c r="HE127" s="28"/>
      <c r="HF127" s="28"/>
      <c r="HG127" s="28"/>
      <c r="HH127" s="28"/>
      <c r="HI127" s="28"/>
      <c r="HJ127" s="28"/>
      <c r="HK127" s="28"/>
      <c r="HL127" s="28"/>
    </row>
    <row r="128" spans="1:220" ht="15" customHeight="1">
      <c r="A128" s="31">
        <v>3</v>
      </c>
      <c r="B128" s="105" t="str">
        <f>VLOOKUP(Ruimtestaat[[#This Row],[Code]],Locaties[[Code]:[Locatie]],2,FALSE)</f>
        <v>Sport IKC Het Startblok</v>
      </c>
      <c r="C128" s="105" t="str">
        <f>VLOOKUP(Ruimtestaat[[#This Row],[Code]],Locaties[[#All],[Code]:[Adres]],4,FALSE)</f>
        <v>Klapstraat 205</v>
      </c>
      <c r="D128" s="105" t="str">
        <f>VLOOKUP(Ruimtestaat[[#This Row],[Code]],Locaties[[#All],[Code]:[Postcode]],5,FALSE)</f>
        <v>6931 CH</v>
      </c>
      <c r="E128" s="105" t="str">
        <f>VLOOKUP(Ruimtestaat[[#This Row],[Code]],Locaties[#All],6,FALSE)</f>
        <v>Westervoort</v>
      </c>
      <c r="F128" s="73" t="s">
        <v>1795</v>
      </c>
      <c r="G128" s="73"/>
      <c r="H128" s="31" t="s">
        <v>1757</v>
      </c>
      <c r="I128" s="113" t="s">
        <v>1727</v>
      </c>
      <c r="J128" s="31">
        <v>16</v>
      </c>
      <c r="K128" s="113" t="str">
        <f>VLOOKUP(Ruimtestaat[[#This Row],[Ruimte code]],Ruimtegroepen[[#All],[Code]:[Ruimte omschrijving]],2,FALSE)</f>
        <v>Leslokalen</v>
      </c>
      <c r="L128" s="73" t="s">
        <v>102</v>
      </c>
      <c r="M128" s="273" t="s">
        <v>120</v>
      </c>
      <c r="N128" s="106">
        <v>52</v>
      </c>
      <c r="O128" s="112"/>
      <c r="P128" s="112"/>
      <c r="Q128" s="107" t="str">
        <f>VLOOKUP(Ruimtestaat[[#This Row],[Ruimte code]],Ruimtegroepen[],4,FALSE)</f>
        <v>Le</v>
      </c>
      <c r="R128" s="73">
        <v>40</v>
      </c>
      <c r="S128" s="73" t="s">
        <v>2</v>
      </c>
      <c r="T128" s="73">
        <f>IF(R128&gt;0,IF(RIGHT(Ruimtestaat[[#This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8" s="73">
        <f>IF(T128&gt;0,VLOOKUP($J128,Ruimtegroepen[],3,FALSE)*VLOOKUP($L128,Vloersoorten[],3,FALSE)*VLOOKUP($S128,Frequenties[],3,FALSE)*VLOOKUP($A128,Locaties[],3,FALSE),0)</f>
        <v>0</v>
      </c>
      <c r="V128" s="73">
        <f>Ruimtestaat[[#This Row],[Uitvoeringen werkdagen]]*Ruimtestaat[[#This Row],[Oppervlak (netto)]]</f>
        <v>10400</v>
      </c>
      <c r="W128" s="108">
        <f>IF(U128&gt;0,Ruimtestaat[[#This Row],[Prest. (m2 /jaar) werkdagen]]/Ruimtestaat[[#This Row],[Norm (m2/uur) werkdagen]],0)</f>
        <v>0</v>
      </c>
      <c r="X128" s="109">
        <f>Ruimtestaat[[#This Row],[uren / jaar werkdagen]]*Tariefsopbouw!$E$35</f>
        <v>0</v>
      </c>
      <c r="Y128" s="73"/>
      <c r="Z128" s="73">
        <f>IF(Ruimtestaat[[#This Row],[Frequentie weekend]]&gt;0,VALUE(LEFT(Y128,1))*R128,0)</f>
        <v>0</v>
      </c>
      <c r="AA128" s="72">
        <f>IF($Z128&gt;0,VLOOKUP($J128,Ruimtegroepen[],3,FALSE)*VLOOKUP($L128,Vloersoorten[],3,FALSE)*VLOOKUP($Y128,Frequenties[],3,FALSE)*VLOOKUP(Ruimtestaat[[#This Row],[Code]],Locaties[],3,FALSE),0)</f>
        <v>0</v>
      </c>
      <c r="AB128" s="72">
        <f>Ruimtestaat[[#This Row],[Uitvoeringen weekend]]*Ruimtestaat[[#This Row],[Oppervlak (netto)]]</f>
        <v>0</v>
      </c>
      <c r="AC128" s="72">
        <f>IF(AA128&gt;0,Ruimtestaat[[#This Row],[Prest. (m2 /jaar) weekend]]/Ruimtestaat[[#This Row],[Norm (m2/uur) weekend]],0)</f>
        <v>0</v>
      </c>
      <c r="AD128" s="109">
        <f>Ruimtestaat[[#This Row],[uren / jaar weekend]]*Tariefsopbouw!$D$40</f>
        <v>0</v>
      </c>
      <c r="AE128" s="108">
        <f>Ruimtestaat[[#This Row],[Prest. (m2 /jaar) weekend]]+Ruimtestaat[[#This Row],[Prest. (m2 /jaar) werkdagen]]</f>
        <v>10400</v>
      </c>
      <c r="AF128" s="108">
        <f>Ruimtestaat[[#This Row],[uren / jaar weekend]]+Ruimtestaat[[#This Row],[uren / jaar werkdagen]]</f>
        <v>0</v>
      </c>
      <c r="AG128" s="103">
        <f>Ruimtestaat[[#This Row],[kosten / jaar weekend]]+Ruimtestaat[[#This Row],[kosten / jaar werkdagen]]</f>
        <v>0</v>
      </c>
      <c r="AH128" s="103"/>
      <c r="AI128" s="110" t="str">
        <f>IF(Ruimtestaat[[#This Row],[Frequentie werkdagen]]="","",_xlfn.CONCAT(Ruimtestaat[[#This Row],[Ruimte code]],"-",Ruimtestaat[[#This Row],[Frequentie werkdagen]]," ",Ruimtestaat[[#This Row],[Vloer code]]))</f>
        <v>16-5w P</v>
      </c>
      <c r="AJ128" s="114" t="str">
        <f>_xlfn.IFNA(VLOOKUP($AI128,Programma!$F$3:$G$1101,2,0),"")</f>
        <v>_</v>
      </c>
      <c r="AK128" s="114" t="str">
        <f>_xlfn.IFNA(VLOOKUP($AI128,Programma!$F$3:$H$1101,3,0),"")</f>
        <v>_</v>
      </c>
      <c r="AL128" s="114" t="str">
        <f>_xlfn.IFNA(VLOOKUP($AI128,Programma!$F$3:$I$1101,4,0),"")</f>
        <v>4w</v>
      </c>
      <c r="AM128" s="114" t="str">
        <f>_xlfn.IFNA(VLOOKUP($AI128,Programma!$F$3:$J$1101,5,0),"")</f>
        <v>1w</v>
      </c>
      <c r="AN128" s="114" t="str">
        <f>_xlfn.IFNA(VLOOKUP($AI128,Programma!$F$3:$K$1101,6,0),"")</f>
        <v>1m</v>
      </c>
      <c r="AO128" s="114" t="str">
        <f>_xlfn.IFNA(VLOOKUP($AI128,Programma!$F$3:$L$1101,7,0),"")</f>
        <v>_</v>
      </c>
      <c r="AP128" s="114" t="str">
        <f>_xlfn.IFNA(VLOOKUP($AI128,Programma!$F$3:$M$1101,8,0),"")</f>
        <v>_</v>
      </c>
      <c r="AQ128" s="114" t="str">
        <f>_xlfn.IFNA(VLOOKUP($AI128,Programma!$F$3:$N$1101,9,0),"")</f>
        <v>_</v>
      </c>
      <c r="AR128" s="114" t="str">
        <f>_xlfn.IFNA(VLOOKUP($AI128,Programma!$F$3:$O$1101,10,0),"")</f>
        <v>5w</v>
      </c>
      <c r="AS128" s="114" t="str">
        <f>_xlfn.IFNA(VLOOKUP($AI128,Programma!$F$3:$P$1101,11,0),"")</f>
        <v>5w</v>
      </c>
      <c r="AT128" s="114" t="str">
        <f>_xlfn.IFNA(VLOOKUP($AI128,Programma!$F$3:$Q$1101,12,0),"")</f>
        <v>1w</v>
      </c>
      <c r="AU128" s="114" t="str">
        <f>_xlfn.IFNA(VLOOKUP($AI128,Programma!$F$3:$R$1101,13,0),"")</f>
        <v>1w</v>
      </c>
      <c r="AV128" s="114" t="str">
        <f>_xlfn.IFNA(VLOOKUP($AI128,Programma!$F$3:$S$1101,14,0),"")</f>
        <v>1m</v>
      </c>
      <c r="AW128" s="114" t="str">
        <f>_xlfn.IFNA(VLOOKUP($AI128,Programma!$F$3:$T$1101,15,0),"")</f>
        <v>2j</v>
      </c>
      <c r="AX128" s="114" t="str">
        <f>_xlfn.IFNA(VLOOKUP($AI128,Programma!$F$3:$U$1101,16,0),"")</f>
        <v>1j</v>
      </c>
      <c r="AY128" s="114" t="str">
        <f>_xlfn.IFNA(VLOOKUP($AI128,Programma!$F$3:$V$1101,17,0),"")</f>
        <v>_</v>
      </c>
      <c r="AZ128" s="114" t="str">
        <f>_xlfn.IFNA(VLOOKUP($AI128,Programma!$F$3:$W$1101,18,0),"")</f>
        <v>_</v>
      </c>
      <c r="BA128" s="114" t="str">
        <f>_xlfn.IFNA(VLOOKUP($AI128,Programma!$F$3:$X$1101,19,0),"")</f>
        <v>_</v>
      </c>
      <c r="BB128" s="114" t="str">
        <f>_xlfn.IFNA(VLOOKUP($AI128,Programma!$F$3:$Y$1101,20,0),"")</f>
        <v>_</v>
      </c>
      <c r="BC128" s="111"/>
      <c r="BD128" s="110" t="str">
        <f>IF(Ruimtestaat[[#This Row],[Frequentie weekend]]="","",_xlfn.CONCAT(Ruimtestaat[[#This Row],[Ruimte code]],"-",Ruimtestaat[[#This Row],[Frequentie weekend]]," ",Ruimtestaat[[#This Row],[Vloer code]]))</f>
        <v/>
      </c>
      <c r="BE128" s="114" t="str">
        <f>_xlfn.IFNA(VLOOKUP($BD128,Programma!$F$3:$G$1101,2,0),"")</f>
        <v/>
      </c>
      <c r="BF128" s="114" t="str">
        <f>_xlfn.IFNA(VLOOKUP($BD128,Programma!$F$3:$H$1101,3,0),"")</f>
        <v/>
      </c>
      <c r="BG128" s="114" t="str">
        <f>_xlfn.IFNA(VLOOKUP($BD128,Programma!$F$3:$I$1101,4,0),"")</f>
        <v/>
      </c>
      <c r="BH128" s="114" t="str">
        <f>_xlfn.IFNA(VLOOKUP($BD128,Programma!$F$3:$J$1101,5,0),"")</f>
        <v/>
      </c>
      <c r="BI128" s="114" t="str">
        <f>_xlfn.IFNA(VLOOKUP($BD128,Programma!$F$3:$K$1101,6,0),"")</f>
        <v/>
      </c>
      <c r="BJ128" s="114" t="str">
        <f>_xlfn.IFNA(VLOOKUP($BD128,Programma!$F$3:$L$1101,7,0),"")</f>
        <v/>
      </c>
      <c r="BK128" s="114" t="str">
        <f>_xlfn.IFNA(VLOOKUP($BD128,Programma!$F$3:$M$1101,8,0),"")</f>
        <v/>
      </c>
      <c r="BL128" s="114" t="str">
        <f>_xlfn.IFNA(VLOOKUP($BD128,Programma!$F$3:$N$1101,9,0),"")</f>
        <v/>
      </c>
      <c r="BM128" s="114" t="str">
        <f>_xlfn.IFNA(VLOOKUP($BD128,Programma!$F$3:$O$1101,10,0),"")</f>
        <v/>
      </c>
      <c r="BN128" s="114" t="str">
        <f>_xlfn.IFNA(VLOOKUP($BD128,Programma!$F$3:$P$1101,11,0),"")</f>
        <v/>
      </c>
      <c r="BO128" s="114" t="str">
        <f>_xlfn.IFNA(VLOOKUP($BD128,Programma!$F$3:$Q$1101,12,0),"")</f>
        <v/>
      </c>
      <c r="BP128" s="114" t="str">
        <f>_xlfn.IFNA(VLOOKUP($BD128,Programma!$F$3:$R$1101,13,0),"")</f>
        <v/>
      </c>
      <c r="BQ128" s="114" t="str">
        <f>_xlfn.IFNA(VLOOKUP($BD128,Programma!$F$3:$S$1101,14,0),"")</f>
        <v/>
      </c>
      <c r="BR128" s="114" t="str">
        <f>_xlfn.IFNA(VLOOKUP($BD128,Programma!$F$3:$T$1101,15,0),"")</f>
        <v/>
      </c>
      <c r="BS128" s="114" t="str">
        <f>_xlfn.IFNA(VLOOKUP($BD128,Programma!$F$3:$U$1101,16,0),"")</f>
        <v/>
      </c>
      <c r="BT128" s="114" t="str">
        <f>_xlfn.IFNA(VLOOKUP($BD128,Programma!$F$3:$V$1101,17,0),"")</f>
        <v/>
      </c>
      <c r="BU128" s="114" t="str">
        <f>_xlfn.IFNA(VLOOKUP($BD128,Programma!$F$3:$W$1101,18,0),"")</f>
        <v/>
      </c>
      <c r="BV128" s="114" t="str">
        <f>_xlfn.IFNA(VLOOKUP($BD128,Programma!$F$3:$X$1101,19,0),"")</f>
        <v/>
      </c>
      <c r="BW128" s="114" t="str">
        <f>_xlfn.IFNA(VLOOKUP($BD128,Programma!$F$3:$Y$1101,20,0),"")</f>
        <v/>
      </c>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c r="ET128" s="28"/>
      <c r="EU128" s="28"/>
      <c r="EV128" s="28"/>
      <c r="EW128" s="28"/>
      <c r="EX128" s="28"/>
      <c r="EY128" s="28"/>
      <c r="EZ128" s="28"/>
      <c r="FA128" s="28"/>
      <c r="FB128" s="28"/>
      <c r="FC128" s="28"/>
      <c r="FD128" s="28"/>
      <c r="FE128" s="28"/>
      <c r="FF128" s="28"/>
      <c r="FG128" s="28"/>
      <c r="FH128" s="28"/>
      <c r="FI128" s="28"/>
      <c r="FJ128" s="28"/>
      <c r="FK128" s="28"/>
      <c r="FL128" s="28"/>
      <c r="FM128" s="28"/>
      <c r="FN128" s="28"/>
      <c r="FO128" s="28"/>
      <c r="FP128" s="28"/>
      <c r="FQ128" s="28"/>
      <c r="FR128" s="28"/>
      <c r="FS128" s="28"/>
      <c r="FT128" s="28"/>
      <c r="FU128" s="28"/>
      <c r="FV128" s="28"/>
      <c r="FW128" s="28"/>
      <c r="FX128" s="28"/>
      <c r="FY128" s="28"/>
      <c r="FZ128" s="28"/>
      <c r="GA128" s="28"/>
      <c r="GB128" s="28"/>
      <c r="GC128" s="28"/>
      <c r="GD128" s="28"/>
      <c r="GE128" s="28"/>
      <c r="GF128" s="28"/>
      <c r="GG128" s="28"/>
      <c r="GH128" s="28"/>
      <c r="GI128" s="28"/>
      <c r="GJ128" s="28"/>
      <c r="GK128" s="28"/>
      <c r="GL128" s="28"/>
      <c r="GM128" s="28"/>
      <c r="GN128" s="28"/>
      <c r="GO128" s="28"/>
      <c r="GP128" s="28"/>
      <c r="GQ128" s="28"/>
      <c r="GR128" s="28"/>
      <c r="GS128" s="28"/>
      <c r="GT128" s="28"/>
      <c r="GU128" s="28"/>
      <c r="GV128" s="28"/>
      <c r="GW128" s="28"/>
      <c r="GX128" s="28"/>
      <c r="GY128" s="28"/>
      <c r="GZ128" s="28"/>
      <c r="HA128" s="28"/>
      <c r="HB128" s="28"/>
      <c r="HC128" s="28"/>
      <c r="HD128" s="28"/>
      <c r="HE128" s="28"/>
      <c r="HF128" s="28"/>
      <c r="HG128" s="28"/>
      <c r="HH128" s="28"/>
      <c r="HI128" s="28"/>
      <c r="HJ128" s="28"/>
      <c r="HK128" s="28"/>
      <c r="HL128" s="28"/>
    </row>
    <row r="129" spans="1:220" ht="15" customHeight="1">
      <c r="A129" s="31">
        <v>3</v>
      </c>
      <c r="B129" s="105" t="str">
        <f>VLOOKUP(Ruimtestaat[[#This Row],[Code]],Locaties[[Code]:[Locatie]],2,FALSE)</f>
        <v>Sport IKC Het Startblok</v>
      </c>
      <c r="C129" s="105" t="str">
        <f>VLOOKUP(Ruimtestaat[[#This Row],[Code]],Locaties[[#All],[Code]:[Adres]],4,FALSE)</f>
        <v>Klapstraat 205</v>
      </c>
      <c r="D129" s="105" t="str">
        <f>VLOOKUP(Ruimtestaat[[#This Row],[Code]],Locaties[[#All],[Code]:[Postcode]],5,FALSE)</f>
        <v>6931 CH</v>
      </c>
      <c r="E129" s="105" t="str">
        <f>VLOOKUP(Ruimtestaat[[#This Row],[Code]],Locaties[#All],6,FALSE)</f>
        <v>Westervoort</v>
      </c>
      <c r="F129" s="73" t="s">
        <v>1795</v>
      </c>
      <c r="G129" s="73"/>
      <c r="H129" s="31" t="s">
        <v>1758</v>
      </c>
      <c r="I129" s="113" t="s">
        <v>1651</v>
      </c>
      <c r="J129" s="31">
        <v>16</v>
      </c>
      <c r="K129" s="113" t="str">
        <f>VLOOKUP(Ruimtestaat[[#This Row],[Ruimte code]],Ruimtegroepen[[#All],[Code]:[Ruimte omschrijving]],2,FALSE)</f>
        <v>Leslokalen</v>
      </c>
      <c r="L129" s="73" t="s">
        <v>102</v>
      </c>
      <c r="M129" s="273" t="s">
        <v>120</v>
      </c>
      <c r="N129" s="106">
        <v>52</v>
      </c>
      <c r="O129" s="112"/>
      <c r="P129" s="73"/>
      <c r="Q129" s="107" t="str">
        <f>VLOOKUP(Ruimtestaat[[#This Row],[Ruimte code]],Ruimtegroepen[],4,FALSE)</f>
        <v>Le</v>
      </c>
      <c r="R129" s="73">
        <v>40</v>
      </c>
      <c r="S129" s="73" t="s">
        <v>2</v>
      </c>
      <c r="T129" s="73">
        <f>IF(R129&gt;0,IF(RIGHT(Ruimtestaat[[#This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9" s="73">
        <f>IF(T129&gt;0,VLOOKUP($J129,Ruimtegroepen[],3,FALSE)*VLOOKUP($L129,Vloersoorten[],3,FALSE)*VLOOKUP($S129,Frequenties[],3,FALSE)*VLOOKUP($A129,Locaties[],3,FALSE),0)</f>
        <v>0</v>
      </c>
      <c r="V129" s="73">
        <f>Ruimtestaat[[#This Row],[Uitvoeringen werkdagen]]*Ruimtestaat[[#This Row],[Oppervlak (netto)]]</f>
        <v>10400</v>
      </c>
      <c r="W129" s="108">
        <f>IF(U129&gt;0,Ruimtestaat[[#This Row],[Prest. (m2 /jaar) werkdagen]]/Ruimtestaat[[#This Row],[Norm (m2/uur) werkdagen]],0)</f>
        <v>0</v>
      </c>
      <c r="X129" s="109">
        <f>Ruimtestaat[[#This Row],[uren / jaar werkdagen]]*Tariefsopbouw!$E$35</f>
        <v>0</v>
      </c>
      <c r="Y129" s="73"/>
      <c r="Z129" s="73">
        <f>IF(Ruimtestaat[[#This Row],[Frequentie weekend]]&gt;0,VALUE(LEFT(Y129,1))*R129,0)</f>
        <v>0</v>
      </c>
      <c r="AA129" s="72">
        <f>IF($Z129&gt;0,VLOOKUP($J129,Ruimtegroepen[],3,FALSE)*VLOOKUP($L129,Vloersoorten[],3,FALSE)*VLOOKUP($Y129,Frequenties[],3,FALSE)*VLOOKUP(Ruimtestaat[[#This Row],[Code]],Locaties[],3,FALSE),0)</f>
        <v>0</v>
      </c>
      <c r="AB129" s="72">
        <f>Ruimtestaat[[#This Row],[Uitvoeringen weekend]]*Ruimtestaat[[#This Row],[Oppervlak (netto)]]</f>
        <v>0</v>
      </c>
      <c r="AC129" s="72">
        <f>IF(AA129&gt;0,Ruimtestaat[[#This Row],[Prest. (m2 /jaar) weekend]]/Ruimtestaat[[#This Row],[Norm (m2/uur) weekend]],0)</f>
        <v>0</v>
      </c>
      <c r="AD129" s="109">
        <f>Ruimtestaat[[#This Row],[uren / jaar weekend]]*Tariefsopbouw!$D$40</f>
        <v>0</v>
      </c>
      <c r="AE129" s="108">
        <f>Ruimtestaat[[#This Row],[Prest. (m2 /jaar) weekend]]+Ruimtestaat[[#This Row],[Prest. (m2 /jaar) werkdagen]]</f>
        <v>10400</v>
      </c>
      <c r="AF129" s="108">
        <f>Ruimtestaat[[#This Row],[uren / jaar weekend]]+Ruimtestaat[[#This Row],[uren / jaar werkdagen]]</f>
        <v>0</v>
      </c>
      <c r="AG129" s="103">
        <f>Ruimtestaat[[#This Row],[kosten / jaar weekend]]+Ruimtestaat[[#This Row],[kosten / jaar werkdagen]]</f>
        <v>0</v>
      </c>
      <c r="AH129" s="103"/>
      <c r="AI129" s="110" t="str">
        <f>IF(Ruimtestaat[[#This Row],[Frequentie werkdagen]]="","",_xlfn.CONCAT(Ruimtestaat[[#This Row],[Ruimte code]],"-",Ruimtestaat[[#This Row],[Frequentie werkdagen]]," ",Ruimtestaat[[#This Row],[Vloer code]]))</f>
        <v>16-5w P</v>
      </c>
      <c r="AJ129" s="114" t="str">
        <f>_xlfn.IFNA(VLOOKUP($AI129,Programma!$F$3:$G$1101,2,0),"")</f>
        <v>_</v>
      </c>
      <c r="AK129" s="114" t="str">
        <f>_xlfn.IFNA(VLOOKUP($AI129,Programma!$F$3:$H$1101,3,0),"")</f>
        <v>_</v>
      </c>
      <c r="AL129" s="114" t="str">
        <f>_xlfn.IFNA(VLOOKUP($AI129,Programma!$F$3:$I$1101,4,0),"")</f>
        <v>4w</v>
      </c>
      <c r="AM129" s="114" t="str">
        <f>_xlfn.IFNA(VLOOKUP($AI129,Programma!$F$3:$J$1101,5,0),"")</f>
        <v>1w</v>
      </c>
      <c r="AN129" s="114" t="str">
        <f>_xlfn.IFNA(VLOOKUP($AI129,Programma!$F$3:$K$1101,6,0),"")</f>
        <v>1m</v>
      </c>
      <c r="AO129" s="114" t="str">
        <f>_xlfn.IFNA(VLOOKUP($AI129,Programma!$F$3:$L$1101,7,0),"")</f>
        <v>_</v>
      </c>
      <c r="AP129" s="114" t="str">
        <f>_xlfn.IFNA(VLOOKUP($AI129,Programma!$F$3:$M$1101,8,0),"")</f>
        <v>_</v>
      </c>
      <c r="AQ129" s="114" t="str">
        <f>_xlfn.IFNA(VLOOKUP($AI129,Programma!$F$3:$N$1101,9,0),"")</f>
        <v>_</v>
      </c>
      <c r="AR129" s="114" t="str">
        <f>_xlfn.IFNA(VLOOKUP($AI129,Programma!$F$3:$O$1101,10,0),"")</f>
        <v>5w</v>
      </c>
      <c r="AS129" s="114" t="str">
        <f>_xlfn.IFNA(VLOOKUP($AI129,Programma!$F$3:$P$1101,11,0),"")</f>
        <v>5w</v>
      </c>
      <c r="AT129" s="114" t="str">
        <f>_xlfn.IFNA(VLOOKUP($AI129,Programma!$F$3:$Q$1101,12,0),"")</f>
        <v>1w</v>
      </c>
      <c r="AU129" s="114" t="str">
        <f>_xlfn.IFNA(VLOOKUP($AI129,Programma!$F$3:$R$1101,13,0),"")</f>
        <v>1w</v>
      </c>
      <c r="AV129" s="114" t="str">
        <f>_xlfn.IFNA(VLOOKUP($AI129,Programma!$F$3:$S$1101,14,0),"")</f>
        <v>1m</v>
      </c>
      <c r="AW129" s="114" t="str">
        <f>_xlfn.IFNA(VLOOKUP($AI129,Programma!$F$3:$T$1101,15,0),"")</f>
        <v>2j</v>
      </c>
      <c r="AX129" s="114" t="str">
        <f>_xlfn.IFNA(VLOOKUP($AI129,Programma!$F$3:$U$1101,16,0),"")</f>
        <v>1j</v>
      </c>
      <c r="AY129" s="114" t="str">
        <f>_xlfn.IFNA(VLOOKUP($AI129,Programma!$F$3:$V$1101,17,0),"")</f>
        <v>_</v>
      </c>
      <c r="AZ129" s="114" t="str">
        <f>_xlfn.IFNA(VLOOKUP($AI129,Programma!$F$3:$W$1101,18,0),"")</f>
        <v>_</v>
      </c>
      <c r="BA129" s="114" t="str">
        <f>_xlfn.IFNA(VLOOKUP($AI129,Programma!$F$3:$X$1101,19,0),"")</f>
        <v>_</v>
      </c>
      <c r="BB129" s="114" t="str">
        <f>_xlfn.IFNA(VLOOKUP($AI129,Programma!$F$3:$Y$1101,20,0),"")</f>
        <v>_</v>
      </c>
      <c r="BC129" s="111"/>
      <c r="BD129" s="110" t="str">
        <f>IF(Ruimtestaat[[#This Row],[Frequentie weekend]]="","",_xlfn.CONCAT(Ruimtestaat[[#This Row],[Ruimte code]],"-",Ruimtestaat[[#This Row],[Frequentie weekend]]," ",Ruimtestaat[[#This Row],[Vloer code]]))</f>
        <v/>
      </c>
      <c r="BE129" s="114" t="str">
        <f>_xlfn.IFNA(VLOOKUP($BD129,Programma!$F$3:$G$1101,2,0),"")</f>
        <v/>
      </c>
      <c r="BF129" s="114" t="str">
        <f>_xlfn.IFNA(VLOOKUP($BD129,Programma!$F$3:$H$1101,3,0),"")</f>
        <v/>
      </c>
      <c r="BG129" s="114" t="str">
        <f>_xlfn.IFNA(VLOOKUP($BD129,Programma!$F$3:$I$1101,4,0),"")</f>
        <v/>
      </c>
      <c r="BH129" s="114" t="str">
        <f>_xlfn.IFNA(VLOOKUP($BD129,Programma!$F$3:$J$1101,5,0),"")</f>
        <v/>
      </c>
      <c r="BI129" s="114" t="str">
        <f>_xlfn.IFNA(VLOOKUP($BD129,Programma!$F$3:$K$1101,6,0),"")</f>
        <v/>
      </c>
      <c r="BJ129" s="114" t="str">
        <f>_xlfn.IFNA(VLOOKUP($BD129,Programma!$F$3:$L$1101,7,0),"")</f>
        <v/>
      </c>
      <c r="BK129" s="114" t="str">
        <f>_xlfn.IFNA(VLOOKUP($BD129,Programma!$F$3:$M$1101,8,0),"")</f>
        <v/>
      </c>
      <c r="BL129" s="114" t="str">
        <f>_xlfn.IFNA(VLOOKUP($BD129,Programma!$F$3:$N$1101,9,0),"")</f>
        <v/>
      </c>
      <c r="BM129" s="114" t="str">
        <f>_xlfn.IFNA(VLOOKUP($BD129,Programma!$F$3:$O$1101,10,0),"")</f>
        <v/>
      </c>
      <c r="BN129" s="114" t="str">
        <f>_xlfn.IFNA(VLOOKUP($BD129,Programma!$F$3:$P$1101,11,0),"")</f>
        <v/>
      </c>
      <c r="BO129" s="114" t="str">
        <f>_xlfn.IFNA(VLOOKUP($BD129,Programma!$F$3:$Q$1101,12,0),"")</f>
        <v/>
      </c>
      <c r="BP129" s="114" t="str">
        <f>_xlfn.IFNA(VLOOKUP($BD129,Programma!$F$3:$R$1101,13,0),"")</f>
        <v/>
      </c>
      <c r="BQ129" s="114" t="str">
        <f>_xlfn.IFNA(VLOOKUP($BD129,Programma!$F$3:$S$1101,14,0),"")</f>
        <v/>
      </c>
      <c r="BR129" s="114" t="str">
        <f>_xlfn.IFNA(VLOOKUP($BD129,Programma!$F$3:$T$1101,15,0),"")</f>
        <v/>
      </c>
      <c r="BS129" s="114" t="str">
        <f>_xlfn.IFNA(VLOOKUP($BD129,Programma!$F$3:$U$1101,16,0),"")</f>
        <v/>
      </c>
      <c r="BT129" s="114" t="str">
        <f>_xlfn.IFNA(VLOOKUP($BD129,Programma!$F$3:$V$1101,17,0),"")</f>
        <v/>
      </c>
      <c r="BU129" s="114" t="str">
        <f>_xlfn.IFNA(VLOOKUP($BD129,Programma!$F$3:$W$1101,18,0),"")</f>
        <v/>
      </c>
      <c r="BV129" s="114" t="str">
        <f>_xlfn.IFNA(VLOOKUP($BD129,Programma!$F$3:$X$1101,19,0),"")</f>
        <v/>
      </c>
      <c r="BW129" s="114" t="str">
        <f>_xlfn.IFNA(VLOOKUP($BD129,Programma!$F$3:$Y$1101,20,0),"")</f>
        <v/>
      </c>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c r="FJ129" s="28"/>
      <c r="FK129" s="28"/>
      <c r="FL129" s="28"/>
      <c r="FM129" s="28"/>
      <c r="FN129" s="28"/>
      <c r="FO129" s="28"/>
      <c r="FP129" s="28"/>
      <c r="FQ129" s="28"/>
      <c r="FR129" s="28"/>
      <c r="FS129" s="28"/>
      <c r="FT129" s="28"/>
      <c r="FU129" s="28"/>
      <c r="FV129" s="28"/>
      <c r="FW129" s="28"/>
      <c r="FX129" s="28"/>
      <c r="FY129" s="28"/>
      <c r="FZ129" s="28"/>
      <c r="GA129" s="28"/>
      <c r="GB129" s="28"/>
      <c r="GC129" s="28"/>
      <c r="GD129" s="28"/>
      <c r="GE129" s="28"/>
      <c r="GF129" s="28"/>
      <c r="GG129" s="28"/>
      <c r="GH129" s="28"/>
      <c r="GI129" s="28"/>
      <c r="GJ129" s="28"/>
      <c r="GK129" s="28"/>
      <c r="GL129" s="28"/>
      <c r="GM129" s="28"/>
      <c r="GN129" s="28"/>
      <c r="GO129" s="28"/>
      <c r="GP129" s="28"/>
      <c r="GQ129" s="28"/>
      <c r="GR129" s="28"/>
      <c r="GS129" s="28"/>
      <c r="GT129" s="28"/>
      <c r="GU129" s="28"/>
      <c r="GV129" s="28"/>
      <c r="GW129" s="28"/>
      <c r="GX129" s="28"/>
      <c r="GY129" s="28"/>
      <c r="GZ129" s="28"/>
      <c r="HA129" s="28"/>
      <c r="HB129" s="28"/>
      <c r="HC129" s="28"/>
      <c r="HD129" s="28"/>
      <c r="HE129" s="28"/>
      <c r="HF129" s="28"/>
      <c r="HG129" s="28"/>
      <c r="HH129" s="28"/>
      <c r="HI129" s="28"/>
      <c r="HJ129" s="28"/>
      <c r="HK129" s="28"/>
      <c r="HL129" s="28"/>
    </row>
    <row r="130" spans="1:220" ht="15" customHeight="1">
      <c r="A130" s="31">
        <v>3</v>
      </c>
      <c r="B130" s="105" t="str">
        <f>VLOOKUP(Ruimtestaat[[#This Row],[Code]],Locaties[[Code]:[Locatie]],2,FALSE)</f>
        <v>Sport IKC Het Startblok</v>
      </c>
      <c r="C130" s="105" t="str">
        <f>VLOOKUP(Ruimtestaat[[#This Row],[Code]],Locaties[[#All],[Code]:[Adres]],4,FALSE)</f>
        <v>Klapstraat 205</v>
      </c>
      <c r="D130" s="105" t="str">
        <f>VLOOKUP(Ruimtestaat[[#This Row],[Code]],Locaties[[#All],[Code]:[Postcode]],5,FALSE)</f>
        <v>6931 CH</v>
      </c>
      <c r="E130" s="105" t="str">
        <f>VLOOKUP(Ruimtestaat[[#This Row],[Code]],Locaties[#All],6,FALSE)</f>
        <v>Westervoort</v>
      </c>
      <c r="F130" s="73" t="s">
        <v>1795</v>
      </c>
      <c r="G130" s="73"/>
      <c r="H130" s="31" t="s">
        <v>1759</v>
      </c>
      <c r="I130" s="113" t="s">
        <v>1777</v>
      </c>
      <c r="J130" s="31">
        <v>5</v>
      </c>
      <c r="K130" s="113" t="str">
        <f>VLOOKUP(Ruimtestaat[[#This Row],[Ruimte code]],Ruimtegroepen[[#All],[Code]:[Ruimte omschrijving]],2,FALSE)</f>
        <v>Sanitair</v>
      </c>
      <c r="L130" s="73" t="s">
        <v>102</v>
      </c>
      <c r="M130" s="273" t="s">
        <v>120</v>
      </c>
      <c r="N130" s="106">
        <v>4</v>
      </c>
      <c r="O130" s="112"/>
      <c r="P130" s="112"/>
      <c r="Q130" s="107" t="str">
        <f>VLOOKUP(Ruimtestaat[[#This Row],[Ruimte code]],Ruimtegroepen[],4,FALSE)</f>
        <v>Sa</v>
      </c>
      <c r="R130" s="73">
        <v>40</v>
      </c>
      <c r="S130" s="73" t="s">
        <v>2</v>
      </c>
      <c r="T130" s="73">
        <f>IF(R130&gt;0,IF(RIGHT(Ruimtestaat[[#This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0" s="73">
        <f>IF(T130&gt;0,VLOOKUP($J130,Ruimtegroepen[],3,FALSE)*VLOOKUP($L130,Vloersoorten[],3,FALSE)*VLOOKUP($S130,Frequenties[],3,FALSE)*VLOOKUP($A130,Locaties[],3,FALSE),0)</f>
        <v>0</v>
      </c>
      <c r="V130" s="73">
        <f>Ruimtestaat[[#This Row],[Uitvoeringen werkdagen]]*Ruimtestaat[[#This Row],[Oppervlak (netto)]]</f>
        <v>800</v>
      </c>
      <c r="W130" s="108">
        <f>IF(U130&gt;0,Ruimtestaat[[#This Row],[Prest. (m2 /jaar) werkdagen]]/Ruimtestaat[[#This Row],[Norm (m2/uur) werkdagen]],0)</f>
        <v>0</v>
      </c>
      <c r="X130" s="109">
        <f>Ruimtestaat[[#This Row],[uren / jaar werkdagen]]*Tariefsopbouw!$E$35</f>
        <v>0</v>
      </c>
      <c r="Y130" s="73"/>
      <c r="Z130" s="73">
        <f>IF(Ruimtestaat[[#This Row],[Frequentie weekend]]&gt;0,VALUE(LEFT(Y130,1))*R130,0)</f>
        <v>0</v>
      </c>
      <c r="AA130" s="72">
        <f>IF($Z130&gt;0,VLOOKUP($J130,Ruimtegroepen[],3,FALSE)*VLOOKUP($L130,Vloersoorten[],3,FALSE)*VLOOKUP($Y130,Frequenties[],3,FALSE)*VLOOKUP(Ruimtestaat[[#This Row],[Code]],Locaties[],3,FALSE),0)</f>
        <v>0</v>
      </c>
      <c r="AB130" s="72">
        <f>Ruimtestaat[[#This Row],[Uitvoeringen weekend]]*Ruimtestaat[[#This Row],[Oppervlak (netto)]]</f>
        <v>0</v>
      </c>
      <c r="AC130" s="72">
        <f>IF(AA130&gt;0,Ruimtestaat[[#This Row],[Prest. (m2 /jaar) weekend]]/Ruimtestaat[[#This Row],[Norm (m2/uur) weekend]],0)</f>
        <v>0</v>
      </c>
      <c r="AD130" s="109">
        <f>Ruimtestaat[[#This Row],[uren / jaar weekend]]*Tariefsopbouw!$D$40</f>
        <v>0</v>
      </c>
      <c r="AE130" s="108">
        <f>Ruimtestaat[[#This Row],[Prest. (m2 /jaar) weekend]]+Ruimtestaat[[#This Row],[Prest. (m2 /jaar) werkdagen]]</f>
        <v>800</v>
      </c>
      <c r="AF130" s="108">
        <f>Ruimtestaat[[#This Row],[uren / jaar weekend]]+Ruimtestaat[[#This Row],[uren / jaar werkdagen]]</f>
        <v>0</v>
      </c>
      <c r="AG130" s="103">
        <f>Ruimtestaat[[#This Row],[kosten / jaar weekend]]+Ruimtestaat[[#This Row],[kosten / jaar werkdagen]]</f>
        <v>0</v>
      </c>
      <c r="AH130" s="103"/>
      <c r="AI130" s="110" t="str">
        <f>IF(Ruimtestaat[[#This Row],[Frequentie werkdagen]]="","",_xlfn.CONCAT(Ruimtestaat[[#This Row],[Ruimte code]],"-",Ruimtestaat[[#This Row],[Frequentie werkdagen]]," ",Ruimtestaat[[#This Row],[Vloer code]]))</f>
        <v>5-5w P</v>
      </c>
      <c r="AJ130" s="114" t="str">
        <f>_xlfn.IFNA(VLOOKUP($AI130,Programma!$F$3:$G$1101,2,0),"")</f>
        <v>_</v>
      </c>
      <c r="AK130" s="114" t="str">
        <f>_xlfn.IFNA(VLOOKUP($AI130,Programma!$F$3:$H$1101,3,0),"")</f>
        <v>_</v>
      </c>
      <c r="AL130" s="114" t="str">
        <f>_xlfn.IFNA(VLOOKUP($AI130,Programma!$F$3:$I$1101,4,0),"")</f>
        <v>_</v>
      </c>
      <c r="AM130" s="114" t="str">
        <f>_xlfn.IFNA(VLOOKUP($AI130,Programma!$F$3:$J$1101,5,0),"")</f>
        <v>4w</v>
      </c>
      <c r="AN130" s="114" t="str">
        <f>_xlfn.IFNA(VLOOKUP($AI130,Programma!$F$3:$K$1101,6,0),"")</f>
        <v>1w</v>
      </c>
      <c r="AO130" s="114" t="str">
        <f>_xlfn.IFNA(VLOOKUP($AI130,Programma!$F$3:$L$1101,7,0),"")</f>
        <v>_</v>
      </c>
      <c r="AP130" s="114" t="str">
        <f>_xlfn.IFNA(VLOOKUP($AI130,Programma!$F$3:$M$1101,8,0),"")</f>
        <v>_</v>
      </c>
      <c r="AQ130" s="114" t="str">
        <f>_xlfn.IFNA(VLOOKUP($AI130,Programma!$F$3:$N$1101,9,0),"")</f>
        <v>_</v>
      </c>
      <c r="AR130" s="114" t="str">
        <f>_xlfn.IFNA(VLOOKUP($AI130,Programma!$F$3:$O$1101,10,0),"")</f>
        <v>_</v>
      </c>
      <c r="AS130" s="114" t="str">
        <f>_xlfn.IFNA(VLOOKUP($AI130,Programma!$F$3:$P$1101,11,0),"")</f>
        <v>_</v>
      </c>
      <c r="AT130" s="114" t="str">
        <f>_xlfn.IFNA(VLOOKUP($AI130,Programma!$F$3:$Q$1101,12,0),"")</f>
        <v>_</v>
      </c>
      <c r="AU130" s="114" t="str">
        <f>_xlfn.IFNA(VLOOKUP($AI130,Programma!$F$3:$R$1101,13,0),"")</f>
        <v>_</v>
      </c>
      <c r="AV130" s="114" t="str">
        <f>_xlfn.IFNA(VLOOKUP($AI130,Programma!$F$3:$S$1101,14,0),"")</f>
        <v>_</v>
      </c>
      <c r="AW130" s="114" t="str">
        <f>_xlfn.IFNA(VLOOKUP($AI130,Programma!$F$3:$T$1101,15,0),"")</f>
        <v>_</v>
      </c>
      <c r="AX130" s="114" t="str">
        <f>_xlfn.IFNA(VLOOKUP($AI130,Programma!$F$3:$U$1101,16,0),"")</f>
        <v>_</v>
      </c>
      <c r="AY130" s="114" t="str">
        <f>_xlfn.IFNA(VLOOKUP($AI130,Programma!$F$3:$V$1101,17,0),"")</f>
        <v>_</v>
      </c>
      <c r="AZ130" s="114" t="str">
        <f>_xlfn.IFNA(VLOOKUP($AI130,Programma!$F$3:$W$1101,18,0),"")</f>
        <v>4w</v>
      </c>
      <c r="BA130" s="114" t="str">
        <f>_xlfn.IFNA(VLOOKUP($AI130,Programma!$F$3:$X$1101,19,0),"")</f>
        <v>1w</v>
      </c>
      <c r="BB130" s="114" t="str">
        <f>_xlfn.IFNA(VLOOKUP($AI130,Programma!$F$3:$Y$1101,20,0),"")</f>
        <v>_</v>
      </c>
      <c r="BC130" s="111"/>
      <c r="BD130" s="110" t="str">
        <f>IF(Ruimtestaat[[#This Row],[Frequentie weekend]]="","",_xlfn.CONCAT(Ruimtestaat[[#This Row],[Ruimte code]],"-",Ruimtestaat[[#This Row],[Frequentie weekend]]," ",Ruimtestaat[[#This Row],[Vloer code]]))</f>
        <v/>
      </c>
      <c r="BE130" s="114" t="str">
        <f>_xlfn.IFNA(VLOOKUP($BD130,Programma!$F$3:$G$1101,2,0),"")</f>
        <v/>
      </c>
      <c r="BF130" s="114" t="str">
        <f>_xlfn.IFNA(VLOOKUP($BD130,Programma!$F$3:$H$1101,3,0),"")</f>
        <v/>
      </c>
      <c r="BG130" s="114" t="str">
        <f>_xlfn.IFNA(VLOOKUP($BD130,Programma!$F$3:$I$1101,4,0),"")</f>
        <v/>
      </c>
      <c r="BH130" s="114" t="str">
        <f>_xlfn.IFNA(VLOOKUP($BD130,Programma!$F$3:$J$1101,5,0),"")</f>
        <v/>
      </c>
      <c r="BI130" s="114" t="str">
        <f>_xlfn.IFNA(VLOOKUP($BD130,Programma!$F$3:$K$1101,6,0),"")</f>
        <v/>
      </c>
      <c r="BJ130" s="114" t="str">
        <f>_xlfn.IFNA(VLOOKUP($BD130,Programma!$F$3:$L$1101,7,0),"")</f>
        <v/>
      </c>
      <c r="BK130" s="114" t="str">
        <f>_xlfn.IFNA(VLOOKUP($BD130,Programma!$F$3:$M$1101,8,0),"")</f>
        <v/>
      </c>
      <c r="BL130" s="114" t="str">
        <f>_xlfn.IFNA(VLOOKUP($BD130,Programma!$F$3:$N$1101,9,0),"")</f>
        <v/>
      </c>
      <c r="BM130" s="114" t="str">
        <f>_xlfn.IFNA(VLOOKUP($BD130,Programma!$F$3:$O$1101,10,0),"")</f>
        <v/>
      </c>
      <c r="BN130" s="114" t="str">
        <f>_xlfn.IFNA(VLOOKUP($BD130,Programma!$F$3:$P$1101,11,0),"")</f>
        <v/>
      </c>
      <c r="BO130" s="114" t="str">
        <f>_xlfn.IFNA(VLOOKUP($BD130,Programma!$F$3:$Q$1101,12,0),"")</f>
        <v/>
      </c>
      <c r="BP130" s="114" t="str">
        <f>_xlfn.IFNA(VLOOKUP($BD130,Programma!$F$3:$R$1101,13,0),"")</f>
        <v/>
      </c>
      <c r="BQ130" s="114" t="str">
        <f>_xlfn.IFNA(VLOOKUP($BD130,Programma!$F$3:$S$1101,14,0),"")</f>
        <v/>
      </c>
      <c r="BR130" s="114" t="str">
        <f>_xlfn.IFNA(VLOOKUP($BD130,Programma!$F$3:$T$1101,15,0),"")</f>
        <v/>
      </c>
      <c r="BS130" s="114" t="str">
        <f>_xlfn.IFNA(VLOOKUP($BD130,Programma!$F$3:$U$1101,16,0),"")</f>
        <v/>
      </c>
      <c r="BT130" s="114" t="str">
        <f>_xlfn.IFNA(VLOOKUP($BD130,Programma!$F$3:$V$1101,17,0),"")</f>
        <v/>
      </c>
      <c r="BU130" s="114" t="str">
        <f>_xlfn.IFNA(VLOOKUP($BD130,Programma!$F$3:$W$1101,18,0),"")</f>
        <v/>
      </c>
      <c r="BV130" s="114" t="str">
        <f>_xlfn.IFNA(VLOOKUP($BD130,Programma!$F$3:$X$1101,19,0),"")</f>
        <v/>
      </c>
      <c r="BW130" s="114" t="str">
        <f>_xlfn.IFNA(VLOOKUP($BD130,Programma!$F$3:$Y$1101,20,0),"")</f>
        <v/>
      </c>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c r="FJ130" s="28"/>
      <c r="FK130" s="28"/>
      <c r="FL130" s="28"/>
      <c r="FM130" s="28"/>
      <c r="FN130" s="28"/>
      <c r="FO130" s="28"/>
      <c r="FP130" s="28"/>
      <c r="FQ130" s="28"/>
      <c r="FR130" s="28"/>
      <c r="FS130" s="28"/>
      <c r="FT130" s="28"/>
      <c r="FU130" s="28"/>
      <c r="FV130" s="28"/>
      <c r="FW130" s="28"/>
      <c r="FX130" s="28"/>
      <c r="FY130" s="28"/>
      <c r="FZ130" s="28"/>
      <c r="GA130" s="28"/>
      <c r="GB130" s="28"/>
      <c r="GC130" s="28"/>
      <c r="GD130" s="28"/>
      <c r="GE130" s="28"/>
      <c r="GF130" s="28"/>
      <c r="GG130" s="28"/>
      <c r="GH130" s="28"/>
      <c r="GI130" s="28"/>
      <c r="GJ130" s="28"/>
      <c r="GK130" s="28"/>
      <c r="GL130" s="28"/>
      <c r="GM130" s="28"/>
      <c r="GN130" s="28"/>
      <c r="GO130" s="28"/>
      <c r="GP130" s="28"/>
      <c r="GQ130" s="28"/>
      <c r="GR130" s="28"/>
      <c r="GS130" s="28"/>
      <c r="GT130" s="28"/>
      <c r="GU130" s="28"/>
      <c r="GV130" s="28"/>
      <c r="GW130" s="28"/>
      <c r="GX130" s="28"/>
      <c r="GY130" s="28"/>
      <c r="GZ130" s="28"/>
      <c r="HA130" s="28"/>
      <c r="HB130" s="28"/>
      <c r="HC130" s="28"/>
      <c r="HD130" s="28"/>
      <c r="HE130" s="28"/>
      <c r="HF130" s="28"/>
      <c r="HG130" s="28"/>
      <c r="HH130" s="28"/>
      <c r="HI130" s="28"/>
      <c r="HJ130" s="28"/>
      <c r="HK130" s="28"/>
      <c r="HL130" s="28"/>
    </row>
    <row r="131" spans="1:220" ht="15" customHeight="1">
      <c r="A131" s="31">
        <v>3</v>
      </c>
      <c r="B131" s="105" t="str">
        <f>VLOOKUP(Ruimtestaat[[#This Row],[Code]],Locaties[[Code]:[Locatie]],2,FALSE)</f>
        <v>Sport IKC Het Startblok</v>
      </c>
      <c r="C131" s="105" t="str">
        <f>VLOOKUP(Ruimtestaat[[#This Row],[Code]],Locaties[[#All],[Code]:[Adres]],4,FALSE)</f>
        <v>Klapstraat 205</v>
      </c>
      <c r="D131" s="105" t="str">
        <f>VLOOKUP(Ruimtestaat[[#This Row],[Code]],Locaties[[#All],[Code]:[Postcode]],5,FALSE)</f>
        <v>6931 CH</v>
      </c>
      <c r="E131" s="105" t="str">
        <f>VLOOKUP(Ruimtestaat[[#This Row],[Code]],Locaties[#All],6,FALSE)</f>
        <v>Westervoort</v>
      </c>
      <c r="F131" s="73" t="s">
        <v>1795</v>
      </c>
      <c r="G131" s="73"/>
      <c r="H131" s="31" t="s">
        <v>1760</v>
      </c>
      <c r="I131" s="113" t="s">
        <v>1778</v>
      </c>
      <c r="J131" s="31">
        <v>5</v>
      </c>
      <c r="K131" s="113" t="str">
        <f>VLOOKUP(Ruimtestaat[[#This Row],[Ruimte code]],Ruimtegroepen[[#All],[Code]:[Ruimte omschrijving]],2,FALSE)</f>
        <v>Sanitair</v>
      </c>
      <c r="L131" s="73" t="s">
        <v>102</v>
      </c>
      <c r="M131" s="273" t="s">
        <v>120</v>
      </c>
      <c r="N131" s="106">
        <v>4</v>
      </c>
      <c r="O131" s="112"/>
      <c r="P131" s="112"/>
      <c r="Q131" s="107" t="str">
        <f>VLOOKUP(Ruimtestaat[[#This Row],[Ruimte code]],Ruimtegroepen[],4,FALSE)</f>
        <v>Sa</v>
      </c>
      <c r="R131" s="73">
        <v>40</v>
      </c>
      <c r="S131" s="73" t="s">
        <v>2</v>
      </c>
      <c r="T131" s="73">
        <f>IF(R131&gt;0,IF(RIGHT(Ruimtestaat[[#This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1" s="73">
        <f>IF(T131&gt;0,VLOOKUP($J131,Ruimtegroepen[],3,FALSE)*VLOOKUP($L131,Vloersoorten[],3,FALSE)*VLOOKUP($S131,Frequenties[],3,FALSE)*VLOOKUP($A131,Locaties[],3,FALSE),0)</f>
        <v>0</v>
      </c>
      <c r="V131" s="73">
        <f>Ruimtestaat[[#This Row],[Uitvoeringen werkdagen]]*Ruimtestaat[[#This Row],[Oppervlak (netto)]]</f>
        <v>800</v>
      </c>
      <c r="W131" s="108">
        <f>IF(U131&gt;0,Ruimtestaat[[#This Row],[Prest. (m2 /jaar) werkdagen]]/Ruimtestaat[[#This Row],[Norm (m2/uur) werkdagen]],0)</f>
        <v>0</v>
      </c>
      <c r="X131" s="109">
        <f>Ruimtestaat[[#This Row],[uren / jaar werkdagen]]*Tariefsopbouw!$E$35</f>
        <v>0</v>
      </c>
      <c r="Y131" s="73"/>
      <c r="Z131" s="73">
        <f>IF(Ruimtestaat[[#This Row],[Frequentie weekend]]&gt;0,VALUE(LEFT(Y131,1))*R131,0)</f>
        <v>0</v>
      </c>
      <c r="AA131" s="72">
        <f>IF($Z131&gt;0,VLOOKUP($J131,Ruimtegroepen[],3,FALSE)*VLOOKUP($L131,Vloersoorten[],3,FALSE)*VLOOKUP($Y131,Frequenties[],3,FALSE)*VLOOKUP(Ruimtestaat[[#This Row],[Code]],Locaties[],3,FALSE),0)</f>
        <v>0</v>
      </c>
      <c r="AB131" s="72">
        <f>Ruimtestaat[[#This Row],[Uitvoeringen weekend]]*Ruimtestaat[[#This Row],[Oppervlak (netto)]]</f>
        <v>0</v>
      </c>
      <c r="AC131" s="72">
        <f>IF(AA131&gt;0,Ruimtestaat[[#This Row],[Prest. (m2 /jaar) weekend]]/Ruimtestaat[[#This Row],[Norm (m2/uur) weekend]],0)</f>
        <v>0</v>
      </c>
      <c r="AD131" s="109">
        <f>Ruimtestaat[[#This Row],[uren / jaar weekend]]*Tariefsopbouw!$D$40</f>
        <v>0</v>
      </c>
      <c r="AE131" s="108">
        <f>Ruimtestaat[[#This Row],[Prest. (m2 /jaar) weekend]]+Ruimtestaat[[#This Row],[Prest. (m2 /jaar) werkdagen]]</f>
        <v>800</v>
      </c>
      <c r="AF131" s="108">
        <f>Ruimtestaat[[#This Row],[uren / jaar weekend]]+Ruimtestaat[[#This Row],[uren / jaar werkdagen]]</f>
        <v>0</v>
      </c>
      <c r="AG131" s="103">
        <f>Ruimtestaat[[#This Row],[kosten / jaar weekend]]+Ruimtestaat[[#This Row],[kosten / jaar werkdagen]]</f>
        <v>0</v>
      </c>
      <c r="AH131" s="103"/>
      <c r="AI131" s="110" t="str">
        <f>IF(Ruimtestaat[[#This Row],[Frequentie werkdagen]]="","",_xlfn.CONCAT(Ruimtestaat[[#This Row],[Ruimte code]],"-",Ruimtestaat[[#This Row],[Frequentie werkdagen]]," ",Ruimtestaat[[#This Row],[Vloer code]]))</f>
        <v>5-5w P</v>
      </c>
      <c r="AJ131" s="114" t="str">
        <f>_xlfn.IFNA(VLOOKUP($AI131,Programma!$F$3:$G$1101,2,0),"")</f>
        <v>_</v>
      </c>
      <c r="AK131" s="114" t="str">
        <f>_xlfn.IFNA(VLOOKUP($AI131,Programma!$F$3:$H$1101,3,0),"")</f>
        <v>_</v>
      </c>
      <c r="AL131" s="114" t="str">
        <f>_xlfn.IFNA(VLOOKUP($AI131,Programma!$F$3:$I$1101,4,0),"")</f>
        <v>_</v>
      </c>
      <c r="AM131" s="114" t="str">
        <f>_xlfn.IFNA(VLOOKUP($AI131,Programma!$F$3:$J$1101,5,0),"")</f>
        <v>4w</v>
      </c>
      <c r="AN131" s="114" t="str">
        <f>_xlfn.IFNA(VLOOKUP($AI131,Programma!$F$3:$K$1101,6,0),"")</f>
        <v>1w</v>
      </c>
      <c r="AO131" s="114" t="str">
        <f>_xlfn.IFNA(VLOOKUP($AI131,Programma!$F$3:$L$1101,7,0),"")</f>
        <v>_</v>
      </c>
      <c r="AP131" s="114" t="str">
        <f>_xlfn.IFNA(VLOOKUP($AI131,Programma!$F$3:$M$1101,8,0),"")</f>
        <v>_</v>
      </c>
      <c r="AQ131" s="114" t="str">
        <f>_xlfn.IFNA(VLOOKUP($AI131,Programma!$F$3:$N$1101,9,0),"")</f>
        <v>_</v>
      </c>
      <c r="AR131" s="114" t="str">
        <f>_xlfn.IFNA(VLOOKUP($AI131,Programma!$F$3:$O$1101,10,0),"")</f>
        <v>_</v>
      </c>
      <c r="AS131" s="114" t="str">
        <f>_xlfn.IFNA(VLOOKUP($AI131,Programma!$F$3:$P$1101,11,0),"")</f>
        <v>_</v>
      </c>
      <c r="AT131" s="114" t="str">
        <f>_xlfn.IFNA(VLOOKUP($AI131,Programma!$F$3:$Q$1101,12,0),"")</f>
        <v>_</v>
      </c>
      <c r="AU131" s="114" t="str">
        <f>_xlfn.IFNA(VLOOKUP($AI131,Programma!$F$3:$R$1101,13,0),"")</f>
        <v>_</v>
      </c>
      <c r="AV131" s="114" t="str">
        <f>_xlfn.IFNA(VLOOKUP($AI131,Programma!$F$3:$S$1101,14,0),"")</f>
        <v>_</v>
      </c>
      <c r="AW131" s="114" t="str">
        <f>_xlfn.IFNA(VLOOKUP($AI131,Programma!$F$3:$T$1101,15,0),"")</f>
        <v>_</v>
      </c>
      <c r="AX131" s="114" t="str">
        <f>_xlfn.IFNA(VLOOKUP($AI131,Programma!$F$3:$U$1101,16,0),"")</f>
        <v>_</v>
      </c>
      <c r="AY131" s="114" t="str">
        <f>_xlfn.IFNA(VLOOKUP($AI131,Programma!$F$3:$V$1101,17,0),"")</f>
        <v>_</v>
      </c>
      <c r="AZ131" s="114" t="str">
        <f>_xlfn.IFNA(VLOOKUP($AI131,Programma!$F$3:$W$1101,18,0),"")</f>
        <v>4w</v>
      </c>
      <c r="BA131" s="114" t="str">
        <f>_xlfn.IFNA(VLOOKUP($AI131,Programma!$F$3:$X$1101,19,0),"")</f>
        <v>1w</v>
      </c>
      <c r="BB131" s="114" t="str">
        <f>_xlfn.IFNA(VLOOKUP($AI131,Programma!$F$3:$Y$1101,20,0),"")</f>
        <v>_</v>
      </c>
      <c r="BC131" s="111"/>
      <c r="BD131" s="110" t="str">
        <f>IF(Ruimtestaat[[#This Row],[Frequentie weekend]]="","",_xlfn.CONCAT(Ruimtestaat[[#This Row],[Ruimte code]],"-",Ruimtestaat[[#This Row],[Frequentie weekend]]," ",Ruimtestaat[[#This Row],[Vloer code]]))</f>
        <v/>
      </c>
      <c r="BE131" s="114" t="str">
        <f>_xlfn.IFNA(VLOOKUP($BD131,Programma!$F$3:$G$1101,2,0),"")</f>
        <v/>
      </c>
      <c r="BF131" s="114" t="str">
        <f>_xlfn.IFNA(VLOOKUP($BD131,Programma!$F$3:$H$1101,3,0),"")</f>
        <v/>
      </c>
      <c r="BG131" s="114" t="str">
        <f>_xlfn.IFNA(VLOOKUP($BD131,Programma!$F$3:$I$1101,4,0),"")</f>
        <v/>
      </c>
      <c r="BH131" s="114" t="str">
        <f>_xlfn.IFNA(VLOOKUP($BD131,Programma!$F$3:$J$1101,5,0),"")</f>
        <v/>
      </c>
      <c r="BI131" s="114" t="str">
        <f>_xlfn.IFNA(VLOOKUP($BD131,Programma!$F$3:$K$1101,6,0),"")</f>
        <v/>
      </c>
      <c r="BJ131" s="114" t="str">
        <f>_xlfn.IFNA(VLOOKUP($BD131,Programma!$F$3:$L$1101,7,0),"")</f>
        <v/>
      </c>
      <c r="BK131" s="114" t="str">
        <f>_xlfn.IFNA(VLOOKUP($BD131,Programma!$F$3:$M$1101,8,0),"")</f>
        <v/>
      </c>
      <c r="BL131" s="114" t="str">
        <f>_xlfn.IFNA(VLOOKUP($BD131,Programma!$F$3:$N$1101,9,0),"")</f>
        <v/>
      </c>
      <c r="BM131" s="114" t="str">
        <f>_xlfn.IFNA(VLOOKUP($BD131,Programma!$F$3:$O$1101,10,0),"")</f>
        <v/>
      </c>
      <c r="BN131" s="114" t="str">
        <f>_xlfn.IFNA(VLOOKUP($BD131,Programma!$F$3:$P$1101,11,0),"")</f>
        <v/>
      </c>
      <c r="BO131" s="114" t="str">
        <f>_xlfn.IFNA(VLOOKUP($BD131,Programma!$F$3:$Q$1101,12,0),"")</f>
        <v/>
      </c>
      <c r="BP131" s="114" t="str">
        <f>_xlfn.IFNA(VLOOKUP($BD131,Programma!$F$3:$R$1101,13,0),"")</f>
        <v/>
      </c>
      <c r="BQ131" s="114" t="str">
        <f>_xlfn.IFNA(VLOOKUP($BD131,Programma!$F$3:$S$1101,14,0),"")</f>
        <v/>
      </c>
      <c r="BR131" s="114" t="str">
        <f>_xlfn.IFNA(VLOOKUP($BD131,Programma!$F$3:$T$1101,15,0),"")</f>
        <v/>
      </c>
      <c r="BS131" s="114" t="str">
        <f>_xlfn.IFNA(VLOOKUP($BD131,Programma!$F$3:$U$1101,16,0),"")</f>
        <v/>
      </c>
      <c r="BT131" s="114" t="str">
        <f>_xlfn.IFNA(VLOOKUP($BD131,Programma!$F$3:$V$1101,17,0),"")</f>
        <v/>
      </c>
      <c r="BU131" s="114" t="str">
        <f>_xlfn.IFNA(VLOOKUP($BD131,Programma!$F$3:$W$1101,18,0),"")</f>
        <v/>
      </c>
      <c r="BV131" s="114" t="str">
        <f>_xlfn.IFNA(VLOOKUP($BD131,Programma!$F$3:$X$1101,19,0),"")</f>
        <v/>
      </c>
      <c r="BW131" s="114" t="str">
        <f>_xlfn.IFNA(VLOOKUP($BD131,Programma!$F$3:$Y$1101,20,0),"")</f>
        <v/>
      </c>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row>
    <row r="132" spans="1:220" ht="15" customHeight="1">
      <c r="A132" s="31">
        <v>3</v>
      </c>
      <c r="B132" s="105" t="str">
        <f>VLOOKUP(Ruimtestaat[[#This Row],[Code]],Locaties[[Code]:[Locatie]],2,FALSE)</f>
        <v>Sport IKC Het Startblok</v>
      </c>
      <c r="C132" s="105" t="str">
        <f>VLOOKUP(Ruimtestaat[[#This Row],[Code]],Locaties[[#All],[Code]:[Adres]],4,FALSE)</f>
        <v>Klapstraat 205</v>
      </c>
      <c r="D132" s="105" t="str">
        <f>VLOOKUP(Ruimtestaat[[#This Row],[Code]],Locaties[[#All],[Code]:[Postcode]],5,FALSE)</f>
        <v>6931 CH</v>
      </c>
      <c r="E132" s="105" t="str">
        <f>VLOOKUP(Ruimtestaat[[#This Row],[Code]],Locaties[#All],6,FALSE)</f>
        <v>Westervoort</v>
      </c>
      <c r="F132" s="73" t="s">
        <v>1795</v>
      </c>
      <c r="G132" s="73"/>
      <c r="H132" s="31" t="s">
        <v>1761</v>
      </c>
      <c r="I132" s="113" t="s">
        <v>1725</v>
      </c>
      <c r="J132" s="31">
        <v>16</v>
      </c>
      <c r="K132" s="113" t="str">
        <f>VLOOKUP(Ruimtestaat[[#This Row],[Ruimte code]],Ruimtegroepen[[#All],[Code]:[Ruimte omschrijving]],2,FALSE)</f>
        <v>Leslokalen</v>
      </c>
      <c r="L132" s="73" t="s">
        <v>102</v>
      </c>
      <c r="M132" s="273" t="s">
        <v>120</v>
      </c>
      <c r="N132" s="106">
        <v>52</v>
      </c>
      <c r="O132" s="112"/>
      <c r="P132" s="73"/>
      <c r="Q132" s="107" t="str">
        <f>VLOOKUP(Ruimtestaat[[#This Row],[Ruimte code]],Ruimtegroepen[],4,FALSE)</f>
        <v>Le</v>
      </c>
      <c r="R132" s="73">
        <v>40</v>
      </c>
      <c r="S132" s="73" t="s">
        <v>2</v>
      </c>
      <c r="T132" s="73">
        <f>IF(R132&gt;0,IF(RIGHT(Ruimtestaat[[#This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2" s="73">
        <f>IF(T132&gt;0,VLOOKUP($J132,Ruimtegroepen[],3,FALSE)*VLOOKUP($L132,Vloersoorten[],3,FALSE)*VLOOKUP($S132,Frequenties[],3,FALSE)*VLOOKUP($A132,Locaties[],3,FALSE),0)</f>
        <v>0</v>
      </c>
      <c r="V132" s="73">
        <f>Ruimtestaat[[#This Row],[Uitvoeringen werkdagen]]*Ruimtestaat[[#This Row],[Oppervlak (netto)]]</f>
        <v>10400</v>
      </c>
      <c r="W132" s="108">
        <f>IF(U132&gt;0,Ruimtestaat[[#This Row],[Prest. (m2 /jaar) werkdagen]]/Ruimtestaat[[#This Row],[Norm (m2/uur) werkdagen]],0)</f>
        <v>0</v>
      </c>
      <c r="X132" s="109">
        <f>Ruimtestaat[[#This Row],[uren / jaar werkdagen]]*Tariefsopbouw!$E$35</f>
        <v>0</v>
      </c>
      <c r="Y132" s="73"/>
      <c r="Z132" s="73">
        <f>IF(Ruimtestaat[[#This Row],[Frequentie weekend]]&gt;0,VALUE(LEFT(Y132,1))*R132,0)</f>
        <v>0</v>
      </c>
      <c r="AA132" s="72">
        <f>IF($Z132&gt;0,VLOOKUP($J132,Ruimtegroepen[],3,FALSE)*VLOOKUP($L132,Vloersoorten[],3,FALSE)*VLOOKUP($Y132,Frequenties[],3,FALSE)*VLOOKUP(Ruimtestaat[[#This Row],[Code]],Locaties[],3,FALSE),0)</f>
        <v>0</v>
      </c>
      <c r="AB132" s="72">
        <f>Ruimtestaat[[#This Row],[Uitvoeringen weekend]]*Ruimtestaat[[#This Row],[Oppervlak (netto)]]</f>
        <v>0</v>
      </c>
      <c r="AC132" s="72">
        <f>IF(AA132&gt;0,Ruimtestaat[[#This Row],[Prest. (m2 /jaar) weekend]]/Ruimtestaat[[#This Row],[Norm (m2/uur) weekend]],0)</f>
        <v>0</v>
      </c>
      <c r="AD132" s="109">
        <f>Ruimtestaat[[#This Row],[uren / jaar weekend]]*Tariefsopbouw!$D$40</f>
        <v>0</v>
      </c>
      <c r="AE132" s="108">
        <f>Ruimtestaat[[#This Row],[Prest. (m2 /jaar) weekend]]+Ruimtestaat[[#This Row],[Prest. (m2 /jaar) werkdagen]]</f>
        <v>10400</v>
      </c>
      <c r="AF132" s="108">
        <f>Ruimtestaat[[#This Row],[uren / jaar weekend]]+Ruimtestaat[[#This Row],[uren / jaar werkdagen]]</f>
        <v>0</v>
      </c>
      <c r="AG132" s="103">
        <f>Ruimtestaat[[#This Row],[kosten / jaar weekend]]+Ruimtestaat[[#This Row],[kosten / jaar werkdagen]]</f>
        <v>0</v>
      </c>
      <c r="AH132" s="103"/>
      <c r="AI132" s="110" t="str">
        <f>IF(Ruimtestaat[[#This Row],[Frequentie werkdagen]]="","",_xlfn.CONCAT(Ruimtestaat[[#This Row],[Ruimte code]],"-",Ruimtestaat[[#This Row],[Frequentie werkdagen]]," ",Ruimtestaat[[#This Row],[Vloer code]]))</f>
        <v>16-5w P</v>
      </c>
      <c r="AJ132" s="114" t="str">
        <f>_xlfn.IFNA(VLOOKUP($AI132,Programma!$F$3:$G$1101,2,0),"")</f>
        <v>_</v>
      </c>
      <c r="AK132" s="114" t="str">
        <f>_xlfn.IFNA(VLOOKUP($AI132,Programma!$F$3:$H$1101,3,0),"")</f>
        <v>_</v>
      </c>
      <c r="AL132" s="114" t="str">
        <f>_xlfn.IFNA(VLOOKUP($AI132,Programma!$F$3:$I$1101,4,0),"")</f>
        <v>4w</v>
      </c>
      <c r="AM132" s="114" t="str">
        <f>_xlfn.IFNA(VLOOKUP($AI132,Programma!$F$3:$J$1101,5,0),"")</f>
        <v>1w</v>
      </c>
      <c r="AN132" s="114" t="str">
        <f>_xlfn.IFNA(VLOOKUP($AI132,Programma!$F$3:$K$1101,6,0),"")</f>
        <v>1m</v>
      </c>
      <c r="AO132" s="114" t="str">
        <f>_xlfn.IFNA(VLOOKUP($AI132,Programma!$F$3:$L$1101,7,0),"")</f>
        <v>_</v>
      </c>
      <c r="AP132" s="114" t="str">
        <f>_xlfn.IFNA(VLOOKUP($AI132,Programma!$F$3:$M$1101,8,0),"")</f>
        <v>_</v>
      </c>
      <c r="AQ132" s="114" t="str">
        <f>_xlfn.IFNA(VLOOKUP($AI132,Programma!$F$3:$N$1101,9,0),"")</f>
        <v>_</v>
      </c>
      <c r="AR132" s="114" t="str">
        <f>_xlfn.IFNA(VLOOKUP($AI132,Programma!$F$3:$O$1101,10,0),"")</f>
        <v>5w</v>
      </c>
      <c r="AS132" s="114" t="str">
        <f>_xlfn.IFNA(VLOOKUP($AI132,Programma!$F$3:$P$1101,11,0),"")</f>
        <v>5w</v>
      </c>
      <c r="AT132" s="114" t="str">
        <f>_xlfn.IFNA(VLOOKUP($AI132,Programma!$F$3:$Q$1101,12,0),"")</f>
        <v>1w</v>
      </c>
      <c r="AU132" s="114" t="str">
        <f>_xlfn.IFNA(VLOOKUP($AI132,Programma!$F$3:$R$1101,13,0),"")</f>
        <v>1w</v>
      </c>
      <c r="AV132" s="114" t="str">
        <f>_xlfn.IFNA(VLOOKUP($AI132,Programma!$F$3:$S$1101,14,0),"")</f>
        <v>1m</v>
      </c>
      <c r="AW132" s="114" t="str">
        <f>_xlfn.IFNA(VLOOKUP($AI132,Programma!$F$3:$T$1101,15,0),"")</f>
        <v>2j</v>
      </c>
      <c r="AX132" s="114" t="str">
        <f>_xlfn.IFNA(VLOOKUP($AI132,Programma!$F$3:$U$1101,16,0),"")</f>
        <v>1j</v>
      </c>
      <c r="AY132" s="114" t="str">
        <f>_xlfn.IFNA(VLOOKUP($AI132,Programma!$F$3:$V$1101,17,0),"")</f>
        <v>_</v>
      </c>
      <c r="AZ132" s="114" t="str">
        <f>_xlfn.IFNA(VLOOKUP($AI132,Programma!$F$3:$W$1101,18,0),"")</f>
        <v>_</v>
      </c>
      <c r="BA132" s="114" t="str">
        <f>_xlfn.IFNA(VLOOKUP($AI132,Programma!$F$3:$X$1101,19,0),"")</f>
        <v>_</v>
      </c>
      <c r="BB132" s="114" t="str">
        <f>_xlfn.IFNA(VLOOKUP($AI132,Programma!$F$3:$Y$1101,20,0),"")</f>
        <v>_</v>
      </c>
      <c r="BC132" s="111"/>
      <c r="BD132" s="110" t="str">
        <f>IF(Ruimtestaat[[#This Row],[Frequentie weekend]]="","",_xlfn.CONCAT(Ruimtestaat[[#This Row],[Ruimte code]],"-",Ruimtestaat[[#This Row],[Frequentie weekend]]," ",Ruimtestaat[[#This Row],[Vloer code]]))</f>
        <v/>
      </c>
      <c r="BE132" s="114" t="str">
        <f>_xlfn.IFNA(VLOOKUP($BD132,Programma!$F$3:$G$1101,2,0),"")</f>
        <v/>
      </c>
      <c r="BF132" s="114" t="str">
        <f>_xlfn.IFNA(VLOOKUP($BD132,Programma!$F$3:$H$1101,3,0),"")</f>
        <v/>
      </c>
      <c r="BG132" s="114" t="str">
        <f>_xlfn.IFNA(VLOOKUP($BD132,Programma!$F$3:$I$1101,4,0),"")</f>
        <v/>
      </c>
      <c r="BH132" s="114" t="str">
        <f>_xlfn.IFNA(VLOOKUP($BD132,Programma!$F$3:$J$1101,5,0),"")</f>
        <v/>
      </c>
      <c r="BI132" s="114" t="str">
        <f>_xlfn.IFNA(VLOOKUP($BD132,Programma!$F$3:$K$1101,6,0),"")</f>
        <v/>
      </c>
      <c r="BJ132" s="114" t="str">
        <f>_xlfn.IFNA(VLOOKUP($BD132,Programma!$F$3:$L$1101,7,0),"")</f>
        <v/>
      </c>
      <c r="BK132" s="114" t="str">
        <f>_xlfn.IFNA(VLOOKUP($BD132,Programma!$F$3:$M$1101,8,0),"")</f>
        <v/>
      </c>
      <c r="BL132" s="114" t="str">
        <f>_xlfn.IFNA(VLOOKUP($BD132,Programma!$F$3:$N$1101,9,0),"")</f>
        <v/>
      </c>
      <c r="BM132" s="114" t="str">
        <f>_xlfn.IFNA(VLOOKUP($BD132,Programma!$F$3:$O$1101,10,0),"")</f>
        <v/>
      </c>
      <c r="BN132" s="114" t="str">
        <f>_xlfn.IFNA(VLOOKUP($BD132,Programma!$F$3:$P$1101,11,0),"")</f>
        <v/>
      </c>
      <c r="BO132" s="114" t="str">
        <f>_xlfn.IFNA(VLOOKUP($BD132,Programma!$F$3:$Q$1101,12,0),"")</f>
        <v/>
      </c>
      <c r="BP132" s="114" t="str">
        <f>_xlfn.IFNA(VLOOKUP($BD132,Programma!$F$3:$R$1101,13,0),"")</f>
        <v/>
      </c>
      <c r="BQ132" s="114" t="str">
        <f>_xlfn.IFNA(VLOOKUP($BD132,Programma!$F$3:$S$1101,14,0),"")</f>
        <v/>
      </c>
      <c r="BR132" s="114" t="str">
        <f>_xlfn.IFNA(VLOOKUP($BD132,Programma!$F$3:$T$1101,15,0),"")</f>
        <v/>
      </c>
      <c r="BS132" s="114" t="str">
        <f>_xlfn.IFNA(VLOOKUP($BD132,Programma!$F$3:$U$1101,16,0),"")</f>
        <v/>
      </c>
      <c r="BT132" s="114" t="str">
        <f>_xlfn.IFNA(VLOOKUP($BD132,Programma!$F$3:$V$1101,17,0),"")</f>
        <v/>
      </c>
      <c r="BU132" s="114" t="str">
        <f>_xlfn.IFNA(VLOOKUP($BD132,Programma!$F$3:$W$1101,18,0),"")</f>
        <v/>
      </c>
      <c r="BV132" s="114" t="str">
        <f>_xlfn.IFNA(VLOOKUP($BD132,Programma!$F$3:$X$1101,19,0),"")</f>
        <v/>
      </c>
      <c r="BW132" s="114" t="str">
        <f>_xlfn.IFNA(VLOOKUP($BD132,Programma!$F$3:$Y$1101,20,0),"")</f>
        <v/>
      </c>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c r="FJ132" s="28"/>
      <c r="FK132" s="28"/>
      <c r="FL132" s="28"/>
      <c r="FM132" s="28"/>
      <c r="FN132" s="28"/>
      <c r="FO132" s="28"/>
      <c r="FP132" s="28"/>
      <c r="FQ132" s="28"/>
      <c r="FR132" s="28"/>
      <c r="FS132" s="28"/>
      <c r="FT132" s="28"/>
      <c r="FU132" s="28"/>
      <c r="FV132" s="28"/>
      <c r="FW132" s="28"/>
      <c r="FX132" s="28"/>
      <c r="FY132" s="28"/>
      <c r="FZ132" s="28"/>
      <c r="GA132" s="28"/>
      <c r="GB132" s="28"/>
      <c r="GC132" s="28"/>
      <c r="GD132" s="28"/>
      <c r="GE132" s="28"/>
      <c r="GF132" s="28"/>
      <c r="GG132" s="28"/>
      <c r="GH132" s="28"/>
      <c r="GI132" s="28"/>
      <c r="GJ132" s="28"/>
      <c r="GK132" s="28"/>
      <c r="GL132" s="28"/>
      <c r="GM132" s="28"/>
      <c r="GN132" s="28"/>
      <c r="GO132" s="28"/>
      <c r="GP132" s="28"/>
      <c r="GQ132" s="28"/>
      <c r="GR132" s="28"/>
      <c r="GS132" s="28"/>
      <c r="GT132" s="28"/>
      <c r="GU132" s="28"/>
      <c r="GV132" s="28"/>
      <c r="GW132" s="28"/>
      <c r="GX132" s="28"/>
      <c r="GY132" s="28"/>
      <c r="GZ132" s="28"/>
      <c r="HA132" s="28"/>
      <c r="HB132" s="28"/>
      <c r="HC132" s="28"/>
      <c r="HD132" s="28"/>
      <c r="HE132" s="28"/>
      <c r="HF132" s="28"/>
      <c r="HG132" s="28"/>
      <c r="HH132" s="28"/>
      <c r="HI132" s="28"/>
      <c r="HJ132" s="28"/>
      <c r="HK132" s="28"/>
      <c r="HL132" s="28"/>
    </row>
    <row r="133" spans="1:220" ht="15" customHeight="1">
      <c r="A133" s="31">
        <v>3</v>
      </c>
      <c r="B133" s="105" t="str">
        <f>VLOOKUP(Ruimtestaat[[#This Row],[Code]],Locaties[[Code]:[Locatie]],2,FALSE)</f>
        <v>Sport IKC Het Startblok</v>
      </c>
      <c r="C133" s="105" t="str">
        <f>VLOOKUP(Ruimtestaat[[#This Row],[Code]],Locaties[[#All],[Code]:[Adres]],4,FALSE)</f>
        <v>Klapstraat 205</v>
      </c>
      <c r="D133" s="105" t="str">
        <f>VLOOKUP(Ruimtestaat[[#This Row],[Code]],Locaties[[#All],[Code]:[Postcode]],5,FALSE)</f>
        <v>6931 CH</v>
      </c>
      <c r="E133" s="105" t="str">
        <f>VLOOKUP(Ruimtestaat[[#This Row],[Code]],Locaties[#All],6,FALSE)</f>
        <v>Westervoort</v>
      </c>
      <c r="F133" s="73" t="s">
        <v>1795</v>
      </c>
      <c r="G133" s="73"/>
      <c r="H133" s="31" t="s">
        <v>1762</v>
      </c>
      <c r="I133" s="113" t="s">
        <v>1735</v>
      </c>
      <c r="J133" s="31">
        <v>16</v>
      </c>
      <c r="K133" s="113" t="str">
        <f>VLOOKUP(Ruimtestaat[[#This Row],[Ruimte code]],Ruimtegroepen[[#All],[Code]:[Ruimte omschrijving]],2,FALSE)</f>
        <v>Leslokalen</v>
      </c>
      <c r="L133" s="73" t="s">
        <v>102</v>
      </c>
      <c r="M133" s="273" t="s">
        <v>120</v>
      </c>
      <c r="N133" s="106">
        <v>52</v>
      </c>
      <c r="O133" s="112"/>
      <c r="P133" s="112"/>
      <c r="Q133" s="107" t="str">
        <f>VLOOKUP(Ruimtestaat[[#This Row],[Ruimte code]],Ruimtegroepen[],4,FALSE)</f>
        <v>Le</v>
      </c>
      <c r="R133" s="73">
        <v>40</v>
      </c>
      <c r="S133" s="73" t="s">
        <v>2</v>
      </c>
      <c r="T133" s="73">
        <f>IF(R133&gt;0,IF(RIGHT(Ruimtestaat[[#This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3" s="73">
        <f>IF(T133&gt;0,VLOOKUP($J133,Ruimtegroepen[],3,FALSE)*VLOOKUP($L133,Vloersoorten[],3,FALSE)*VLOOKUP($S133,Frequenties[],3,FALSE)*VLOOKUP($A133,Locaties[],3,FALSE),0)</f>
        <v>0</v>
      </c>
      <c r="V133" s="73">
        <f>Ruimtestaat[[#This Row],[Uitvoeringen werkdagen]]*Ruimtestaat[[#This Row],[Oppervlak (netto)]]</f>
        <v>10400</v>
      </c>
      <c r="W133" s="108">
        <f>IF(U133&gt;0,Ruimtestaat[[#This Row],[Prest. (m2 /jaar) werkdagen]]/Ruimtestaat[[#This Row],[Norm (m2/uur) werkdagen]],0)</f>
        <v>0</v>
      </c>
      <c r="X133" s="109">
        <f>Ruimtestaat[[#This Row],[uren / jaar werkdagen]]*Tariefsopbouw!$E$35</f>
        <v>0</v>
      </c>
      <c r="Y133" s="73"/>
      <c r="Z133" s="73">
        <f>IF(Ruimtestaat[[#This Row],[Frequentie weekend]]&gt;0,VALUE(LEFT(Y133,1))*R133,0)</f>
        <v>0</v>
      </c>
      <c r="AA133" s="72">
        <f>IF($Z133&gt;0,VLOOKUP($J133,Ruimtegroepen[],3,FALSE)*VLOOKUP($L133,Vloersoorten[],3,FALSE)*VLOOKUP($Y133,Frequenties[],3,FALSE)*VLOOKUP(Ruimtestaat[[#This Row],[Code]],Locaties[],3,FALSE),0)</f>
        <v>0</v>
      </c>
      <c r="AB133" s="72">
        <f>Ruimtestaat[[#This Row],[Uitvoeringen weekend]]*Ruimtestaat[[#This Row],[Oppervlak (netto)]]</f>
        <v>0</v>
      </c>
      <c r="AC133" s="72">
        <f>IF(AA133&gt;0,Ruimtestaat[[#This Row],[Prest. (m2 /jaar) weekend]]/Ruimtestaat[[#This Row],[Norm (m2/uur) weekend]],0)</f>
        <v>0</v>
      </c>
      <c r="AD133" s="109">
        <f>Ruimtestaat[[#This Row],[uren / jaar weekend]]*Tariefsopbouw!$D$40</f>
        <v>0</v>
      </c>
      <c r="AE133" s="108">
        <f>Ruimtestaat[[#This Row],[Prest. (m2 /jaar) weekend]]+Ruimtestaat[[#This Row],[Prest. (m2 /jaar) werkdagen]]</f>
        <v>10400</v>
      </c>
      <c r="AF133" s="108">
        <f>Ruimtestaat[[#This Row],[uren / jaar weekend]]+Ruimtestaat[[#This Row],[uren / jaar werkdagen]]</f>
        <v>0</v>
      </c>
      <c r="AG133" s="103">
        <f>Ruimtestaat[[#This Row],[kosten / jaar weekend]]+Ruimtestaat[[#This Row],[kosten / jaar werkdagen]]</f>
        <v>0</v>
      </c>
      <c r="AH133" s="103"/>
      <c r="AI133" s="110" t="str">
        <f>IF(Ruimtestaat[[#This Row],[Frequentie werkdagen]]="","",_xlfn.CONCAT(Ruimtestaat[[#This Row],[Ruimte code]],"-",Ruimtestaat[[#This Row],[Frequentie werkdagen]]," ",Ruimtestaat[[#This Row],[Vloer code]]))</f>
        <v>16-5w P</v>
      </c>
      <c r="AJ133" s="114" t="str">
        <f>_xlfn.IFNA(VLOOKUP($AI133,Programma!$F$3:$G$1101,2,0),"")</f>
        <v>_</v>
      </c>
      <c r="AK133" s="114" t="str">
        <f>_xlfn.IFNA(VLOOKUP($AI133,Programma!$F$3:$H$1101,3,0),"")</f>
        <v>_</v>
      </c>
      <c r="AL133" s="114" t="str">
        <f>_xlfn.IFNA(VLOOKUP($AI133,Programma!$F$3:$I$1101,4,0),"")</f>
        <v>4w</v>
      </c>
      <c r="AM133" s="114" t="str">
        <f>_xlfn.IFNA(VLOOKUP($AI133,Programma!$F$3:$J$1101,5,0),"")</f>
        <v>1w</v>
      </c>
      <c r="AN133" s="114" t="str">
        <f>_xlfn.IFNA(VLOOKUP($AI133,Programma!$F$3:$K$1101,6,0),"")</f>
        <v>1m</v>
      </c>
      <c r="AO133" s="114" t="str">
        <f>_xlfn.IFNA(VLOOKUP($AI133,Programma!$F$3:$L$1101,7,0),"")</f>
        <v>_</v>
      </c>
      <c r="AP133" s="114" t="str">
        <f>_xlfn.IFNA(VLOOKUP($AI133,Programma!$F$3:$M$1101,8,0),"")</f>
        <v>_</v>
      </c>
      <c r="AQ133" s="114" t="str">
        <f>_xlfn.IFNA(VLOOKUP($AI133,Programma!$F$3:$N$1101,9,0),"")</f>
        <v>_</v>
      </c>
      <c r="AR133" s="114" t="str">
        <f>_xlfn.IFNA(VLOOKUP($AI133,Programma!$F$3:$O$1101,10,0),"")</f>
        <v>5w</v>
      </c>
      <c r="AS133" s="114" t="str">
        <f>_xlfn.IFNA(VLOOKUP($AI133,Programma!$F$3:$P$1101,11,0),"")</f>
        <v>5w</v>
      </c>
      <c r="AT133" s="114" t="str">
        <f>_xlfn.IFNA(VLOOKUP($AI133,Programma!$F$3:$Q$1101,12,0),"")</f>
        <v>1w</v>
      </c>
      <c r="AU133" s="114" t="str">
        <f>_xlfn.IFNA(VLOOKUP($AI133,Programma!$F$3:$R$1101,13,0),"")</f>
        <v>1w</v>
      </c>
      <c r="AV133" s="114" t="str">
        <f>_xlfn.IFNA(VLOOKUP($AI133,Programma!$F$3:$S$1101,14,0),"")</f>
        <v>1m</v>
      </c>
      <c r="AW133" s="114" t="str">
        <f>_xlfn.IFNA(VLOOKUP($AI133,Programma!$F$3:$T$1101,15,0),"")</f>
        <v>2j</v>
      </c>
      <c r="AX133" s="114" t="str">
        <f>_xlfn.IFNA(VLOOKUP($AI133,Programma!$F$3:$U$1101,16,0),"")</f>
        <v>1j</v>
      </c>
      <c r="AY133" s="114" t="str">
        <f>_xlfn.IFNA(VLOOKUP($AI133,Programma!$F$3:$V$1101,17,0),"")</f>
        <v>_</v>
      </c>
      <c r="AZ133" s="114" t="str">
        <f>_xlfn.IFNA(VLOOKUP($AI133,Programma!$F$3:$W$1101,18,0),"")</f>
        <v>_</v>
      </c>
      <c r="BA133" s="114" t="str">
        <f>_xlfn.IFNA(VLOOKUP($AI133,Programma!$F$3:$X$1101,19,0),"")</f>
        <v>_</v>
      </c>
      <c r="BB133" s="114" t="str">
        <f>_xlfn.IFNA(VLOOKUP($AI133,Programma!$F$3:$Y$1101,20,0),"")</f>
        <v>_</v>
      </c>
      <c r="BC133" s="111"/>
      <c r="BD133" s="110" t="str">
        <f>IF(Ruimtestaat[[#This Row],[Frequentie weekend]]="","",_xlfn.CONCAT(Ruimtestaat[[#This Row],[Ruimte code]],"-",Ruimtestaat[[#This Row],[Frequentie weekend]]," ",Ruimtestaat[[#This Row],[Vloer code]]))</f>
        <v/>
      </c>
      <c r="BE133" s="114" t="str">
        <f>_xlfn.IFNA(VLOOKUP($BD133,Programma!$F$3:$G$1101,2,0),"")</f>
        <v/>
      </c>
      <c r="BF133" s="114" t="str">
        <f>_xlfn.IFNA(VLOOKUP($BD133,Programma!$F$3:$H$1101,3,0),"")</f>
        <v/>
      </c>
      <c r="BG133" s="114" t="str">
        <f>_xlfn.IFNA(VLOOKUP($BD133,Programma!$F$3:$I$1101,4,0),"")</f>
        <v/>
      </c>
      <c r="BH133" s="114" t="str">
        <f>_xlfn.IFNA(VLOOKUP($BD133,Programma!$F$3:$J$1101,5,0),"")</f>
        <v/>
      </c>
      <c r="BI133" s="114" t="str">
        <f>_xlfn.IFNA(VLOOKUP($BD133,Programma!$F$3:$K$1101,6,0),"")</f>
        <v/>
      </c>
      <c r="BJ133" s="114" t="str">
        <f>_xlfn.IFNA(VLOOKUP($BD133,Programma!$F$3:$L$1101,7,0),"")</f>
        <v/>
      </c>
      <c r="BK133" s="114" t="str">
        <f>_xlfn.IFNA(VLOOKUP($BD133,Programma!$F$3:$M$1101,8,0),"")</f>
        <v/>
      </c>
      <c r="BL133" s="114" t="str">
        <f>_xlfn.IFNA(VLOOKUP($BD133,Programma!$F$3:$N$1101,9,0),"")</f>
        <v/>
      </c>
      <c r="BM133" s="114" t="str">
        <f>_xlfn.IFNA(VLOOKUP($BD133,Programma!$F$3:$O$1101,10,0),"")</f>
        <v/>
      </c>
      <c r="BN133" s="114" t="str">
        <f>_xlfn.IFNA(VLOOKUP($BD133,Programma!$F$3:$P$1101,11,0),"")</f>
        <v/>
      </c>
      <c r="BO133" s="114" t="str">
        <f>_xlfn.IFNA(VLOOKUP($BD133,Programma!$F$3:$Q$1101,12,0),"")</f>
        <v/>
      </c>
      <c r="BP133" s="114" t="str">
        <f>_xlfn.IFNA(VLOOKUP($BD133,Programma!$F$3:$R$1101,13,0),"")</f>
        <v/>
      </c>
      <c r="BQ133" s="114" t="str">
        <f>_xlfn.IFNA(VLOOKUP($BD133,Programma!$F$3:$S$1101,14,0),"")</f>
        <v/>
      </c>
      <c r="BR133" s="114" t="str">
        <f>_xlfn.IFNA(VLOOKUP($BD133,Programma!$F$3:$T$1101,15,0),"")</f>
        <v/>
      </c>
      <c r="BS133" s="114" t="str">
        <f>_xlfn.IFNA(VLOOKUP($BD133,Programma!$F$3:$U$1101,16,0),"")</f>
        <v/>
      </c>
      <c r="BT133" s="114" t="str">
        <f>_xlfn.IFNA(VLOOKUP($BD133,Programma!$F$3:$V$1101,17,0),"")</f>
        <v/>
      </c>
      <c r="BU133" s="114" t="str">
        <f>_xlfn.IFNA(VLOOKUP($BD133,Programma!$F$3:$W$1101,18,0),"")</f>
        <v/>
      </c>
      <c r="BV133" s="114" t="str">
        <f>_xlfn.IFNA(VLOOKUP($BD133,Programma!$F$3:$X$1101,19,0),"")</f>
        <v/>
      </c>
      <c r="BW133" s="114" t="str">
        <f>_xlfn.IFNA(VLOOKUP($BD133,Programma!$F$3:$Y$1101,20,0),"")</f>
        <v/>
      </c>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c r="FJ133" s="28"/>
      <c r="FK133" s="28"/>
      <c r="FL133" s="28"/>
      <c r="FM133" s="28"/>
      <c r="FN133" s="28"/>
      <c r="FO133" s="28"/>
      <c r="FP133" s="28"/>
      <c r="FQ133" s="28"/>
      <c r="FR133" s="28"/>
      <c r="FS133" s="28"/>
      <c r="FT133" s="28"/>
      <c r="FU133" s="28"/>
      <c r="FV133" s="28"/>
      <c r="FW133" s="28"/>
      <c r="FX133" s="28"/>
      <c r="FY133" s="28"/>
      <c r="FZ133" s="28"/>
      <c r="GA133" s="28"/>
      <c r="GB133" s="28"/>
      <c r="GC133" s="28"/>
      <c r="GD133" s="28"/>
      <c r="GE133" s="28"/>
      <c r="GF133" s="28"/>
      <c r="GG133" s="28"/>
      <c r="GH133" s="28"/>
      <c r="GI133" s="28"/>
      <c r="GJ133" s="28"/>
      <c r="GK133" s="28"/>
      <c r="GL133" s="28"/>
      <c r="GM133" s="28"/>
      <c r="GN133" s="28"/>
      <c r="GO133" s="28"/>
      <c r="GP133" s="28"/>
      <c r="GQ133" s="28"/>
      <c r="GR133" s="28"/>
      <c r="GS133" s="28"/>
      <c r="GT133" s="28"/>
      <c r="GU133" s="28"/>
      <c r="GV133" s="28"/>
      <c r="GW133" s="28"/>
      <c r="GX133" s="28"/>
      <c r="GY133" s="28"/>
      <c r="GZ133" s="28"/>
      <c r="HA133" s="28"/>
      <c r="HB133" s="28"/>
      <c r="HC133" s="28"/>
      <c r="HD133" s="28"/>
      <c r="HE133" s="28"/>
      <c r="HF133" s="28"/>
      <c r="HG133" s="28"/>
      <c r="HH133" s="28"/>
      <c r="HI133" s="28"/>
      <c r="HJ133" s="28"/>
      <c r="HK133" s="28"/>
      <c r="HL133" s="28"/>
    </row>
    <row r="134" spans="1:220" ht="15" customHeight="1">
      <c r="A134" s="31">
        <v>3</v>
      </c>
      <c r="B134" s="105" t="str">
        <f>VLOOKUP(Ruimtestaat[[#This Row],[Code]],Locaties[[Code]:[Locatie]],2,FALSE)</f>
        <v>Sport IKC Het Startblok</v>
      </c>
      <c r="C134" s="105" t="str">
        <f>VLOOKUP(Ruimtestaat[[#This Row],[Code]],Locaties[[#All],[Code]:[Adres]],4,FALSE)</f>
        <v>Klapstraat 205</v>
      </c>
      <c r="D134" s="105" t="str">
        <f>VLOOKUP(Ruimtestaat[[#This Row],[Code]],Locaties[[#All],[Code]:[Postcode]],5,FALSE)</f>
        <v>6931 CH</v>
      </c>
      <c r="E134" s="105" t="str">
        <f>VLOOKUP(Ruimtestaat[[#This Row],[Code]],Locaties[#All],6,FALSE)</f>
        <v>Westervoort</v>
      </c>
      <c r="F134" s="73" t="s">
        <v>1795</v>
      </c>
      <c r="G134" s="73"/>
      <c r="H134" s="31" t="s">
        <v>1678</v>
      </c>
      <c r="I134" s="113" t="s">
        <v>1648</v>
      </c>
      <c r="J134" s="31">
        <v>13</v>
      </c>
      <c r="K134" s="113" t="str">
        <f>VLOOKUP(Ruimtestaat[[#This Row],[Ruimte code]],Ruimtegroepen[[#All],[Code]:[Ruimte omschrijving]],2,FALSE)</f>
        <v>Personeelskamer</v>
      </c>
      <c r="L134" s="73" t="s">
        <v>102</v>
      </c>
      <c r="M134" s="273" t="s">
        <v>120</v>
      </c>
      <c r="N134" s="106">
        <v>34</v>
      </c>
      <c r="O134" s="112"/>
      <c r="P134" s="112"/>
      <c r="Q134" s="107" t="str">
        <f>VLOOKUP(Ruimtestaat[[#This Row],[Ruimte code]],Ruimtegroepen[],4,FALSE)</f>
        <v>Ve</v>
      </c>
      <c r="R134" s="73">
        <v>40</v>
      </c>
      <c r="S134" s="73" t="s">
        <v>18</v>
      </c>
      <c r="T134" s="73">
        <f>IF(R134&gt;0,IF(RIGHT(Ruimtestaat[[#This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4" s="73">
        <f>IF(T134&gt;0,VLOOKUP($J134,Ruimtegroepen[],3,FALSE)*VLOOKUP($L134,Vloersoorten[],3,FALSE)*VLOOKUP($S134,Frequenties[],3,FALSE)*VLOOKUP($A134,Locaties[],3,FALSE),0)</f>
        <v>0</v>
      </c>
      <c r="V134" s="73">
        <f>Ruimtestaat[[#This Row],[Uitvoeringen werkdagen]]*Ruimtestaat[[#This Row],[Oppervlak (netto)]]</f>
        <v>4080</v>
      </c>
      <c r="W134" s="108">
        <f>IF(U134&gt;0,Ruimtestaat[[#This Row],[Prest. (m2 /jaar) werkdagen]]/Ruimtestaat[[#This Row],[Norm (m2/uur) werkdagen]],0)</f>
        <v>0</v>
      </c>
      <c r="X134" s="109">
        <f>Ruimtestaat[[#This Row],[uren / jaar werkdagen]]*Tariefsopbouw!$E$35</f>
        <v>0</v>
      </c>
      <c r="Y134" s="73"/>
      <c r="Z134" s="73">
        <f>IF(Ruimtestaat[[#This Row],[Frequentie weekend]]&gt;0,VALUE(LEFT(Y134,1))*R134,0)</f>
        <v>0</v>
      </c>
      <c r="AA134" s="72">
        <f>IF($Z134&gt;0,VLOOKUP($J134,Ruimtegroepen[],3,FALSE)*VLOOKUP($L134,Vloersoorten[],3,FALSE)*VLOOKUP($Y134,Frequenties[],3,FALSE)*VLOOKUP(Ruimtestaat[[#This Row],[Code]],Locaties[],3,FALSE),0)</f>
        <v>0</v>
      </c>
      <c r="AB134" s="72">
        <f>Ruimtestaat[[#This Row],[Uitvoeringen weekend]]*Ruimtestaat[[#This Row],[Oppervlak (netto)]]</f>
        <v>0</v>
      </c>
      <c r="AC134" s="72">
        <f>IF(AA134&gt;0,Ruimtestaat[[#This Row],[Prest. (m2 /jaar) weekend]]/Ruimtestaat[[#This Row],[Norm (m2/uur) weekend]],0)</f>
        <v>0</v>
      </c>
      <c r="AD134" s="109">
        <f>Ruimtestaat[[#This Row],[uren / jaar weekend]]*Tariefsopbouw!$D$40</f>
        <v>0</v>
      </c>
      <c r="AE134" s="108">
        <f>Ruimtestaat[[#This Row],[Prest. (m2 /jaar) weekend]]+Ruimtestaat[[#This Row],[Prest. (m2 /jaar) werkdagen]]</f>
        <v>4080</v>
      </c>
      <c r="AF134" s="108">
        <f>Ruimtestaat[[#This Row],[uren / jaar weekend]]+Ruimtestaat[[#This Row],[uren / jaar werkdagen]]</f>
        <v>0</v>
      </c>
      <c r="AG134" s="103">
        <f>Ruimtestaat[[#This Row],[kosten / jaar weekend]]+Ruimtestaat[[#This Row],[kosten / jaar werkdagen]]</f>
        <v>0</v>
      </c>
      <c r="AH134" s="103"/>
      <c r="AI134" s="110" t="str">
        <f>IF(Ruimtestaat[[#This Row],[Frequentie werkdagen]]="","",_xlfn.CONCAT(Ruimtestaat[[#This Row],[Ruimte code]],"-",Ruimtestaat[[#This Row],[Frequentie werkdagen]]," ",Ruimtestaat[[#This Row],[Vloer code]]))</f>
        <v>13-3w P</v>
      </c>
      <c r="AJ134" s="114" t="str">
        <f>_xlfn.IFNA(VLOOKUP($AI134,Programma!$F$3:$G$1101,2,0),"")</f>
        <v>_</v>
      </c>
      <c r="AK134" s="114" t="str">
        <f>_xlfn.IFNA(VLOOKUP($AI134,Programma!$F$3:$H$1101,3,0),"")</f>
        <v>_</v>
      </c>
      <c r="AL134" s="114" t="str">
        <f>_xlfn.IFNA(VLOOKUP($AI134,Programma!$F$3:$I$1101,4,0),"")</f>
        <v>2w</v>
      </c>
      <c r="AM134" s="114" t="str">
        <f>_xlfn.IFNA(VLOOKUP($AI134,Programma!$F$3:$J$1101,5,0),"")</f>
        <v>1w</v>
      </c>
      <c r="AN134" s="114" t="str">
        <f>_xlfn.IFNA(VLOOKUP($AI134,Programma!$F$3:$K$1101,6,0),"")</f>
        <v>1j</v>
      </c>
      <c r="AO134" s="114" t="str">
        <f>_xlfn.IFNA(VLOOKUP($AI134,Programma!$F$3:$L$1101,7,0),"")</f>
        <v>_</v>
      </c>
      <c r="AP134" s="114" t="str">
        <f>_xlfn.IFNA(VLOOKUP($AI134,Programma!$F$3:$M$1101,8,0),"")</f>
        <v>_</v>
      </c>
      <c r="AQ134" s="114" t="str">
        <f>_xlfn.IFNA(VLOOKUP($AI134,Programma!$F$3:$N$1101,9,0),"")</f>
        <v>_</v>
      </c>
      <c r="AR134" s="114" t="str">
        <f>_xlfn.IFNA(VLOOKUP($AI134,Programma!$F$3:$O$1101,10,0),"")</f>
        <v>3w</v>
      </c>
      <c r="AS134" s="114" t="str">
        <f>_xlfn.IFNA(VLOOKUP($AI134,Programma!$F$3:$P$1101,11,0),"")</f>
        <v>3w</v>
      </c>
      <c r="AT134" s="114" t="str">
        <f>_xlfn.IFNA(VLOOKUP($AI134,Programma!$F$3:$Q$1101,12,0),"")</f>
        <v>1w</v>
      </c>
      <c r="AU134" s="114" t="str">
        <f>_xlfn.IFNA(VLOOKUP($AI134,Programma!$F$3:$R$1101,13,0),"")</f>
        <v>1w</v>
      </c>
      <c r="AV134" s="114" t="str">
        <f>_xlfn.IFNA(VLOOKUP($AI134,Programma!$F$3:$S$1101,14,0),"")</f>
        <v>1m</v>
      </c>
      <c r="AW134" s="114" t="str">
        <f>_xlfn.IFNA(VLOOKUP($AI134,Programma!$F$3:$T$1101,15,0),"")</f>
        <v>2j</v>
      </c>
      <c r="AX134" s="114" t="str">
        <f>_xlfn.IFNA(VLOOKUP($AI134,Programma!$F$3:$U$1101,16,0),"")</f>
        <v>1j</v>
      </c>
      <c r="AY134" s="114" t="str">
        <f>_xlfn.IFNA(VLOOKUP($AI134,Programma!$F$3:$V$1101,17,0),"")</f>
        <v>_</v>
      </c>
      <c r="AZ134" s="114" t="str">
        <f>_xlfn.IFNA(VLOOKUP($AI134,Programma!$F$3:$W$1101,18,0),"")</f>
        <v>_</v>
      </c>
      <c r="BA134" s="114" t="str">
        <f>_xlfn.IFNA(VLOOKUP($AI134,Programma!$F$3:$X$1101,19,0),"")</f>
        <v>_</v>
      </c>
      <c r="BB134" s="114" t="str">
        <f>_xlfn.IFNA(VLOOKUP($AI134,Programma!$F$3:$Y$1101,20,0),"")</f>
        <v>_</v>
      </c>
      <c r="BC134" s="111"/>
      <c r="BD134" s="110" t="str">
        <f>IF(Ruimtestaat[[#This Row],[Frequentie weekend]]="","",_xlfn.CONCAT(Ruimtestaat[[#This Row],[Ruimte code]],"-",Ruimtestaat[[#This Row],[Frequentie weekend]]," ",Ruimtestaat[[#This Row],[Vloer code]]))</f>
        <v/>
      </c>
      <c r="BE134" s="114" t="str">
        <f>_xlfn.IFNA(VLOOKUP($BD134,Programma!$F$3:$G$1101,2,0),"")</f>
        <v/>
      </c>
      <c r="BF134" s="114" t="str">
        <f>_xlfn.IFNA(VLOOKUP($BD134,Programma!$F$3:$H$1101,3,0),"")</f>
        <v/>
      </c>
      <c r="BG134" s="114" t="str">
        <f>_xlfn.IFNA(VLOOKUP($BD134,Programma!$F$3:$I$1101,4,0),"")</f>
        <v/>
      </c>
      <c r="BH134" s="114" t="str">
        <f>_xlfn.IFNA(VLOOKUP($BD134,Programma!$F$3:$J$1101,5,0),"")</f>
        <v/>
      </c>
      <c r="BI134" s="114" t="str">
        <f>_xlfn.IFNA(VLOOKUP($BD134,Programma!$F$3:$K$1101,6,0),"")</f>
        <v/>
      </c>
      <c r="BJ134" s="114" t="str">
        <f>_xlfn.IFNA(VLOOKUP($BD134,Programma!$F$3:$L$1101,7,0),"")</f>
        <v/>
      </c>
      <c r="BK134" s="114" t="str">
        <f>_xlfn.IFNA(VLOOKUP($BD134,Programma!$F$3:$M$1101,8,0),"")</f>
        <v/>
      </c>
      <c r="BL134" s="114" t="str">
        <f>_xlfn.IFNA(VLOOKUP($BD134,Programma!$F$3:$N$1101,9,0),"")</f>
        <v/>
      </c>
      <c r="BM134" s="114" t="str">
        <f>_xlfn.IFNA(VLOOKUP($BD134,Programma!$F$3:$O$1101,10,0),"")</f>
        <v/>
      </c>
      <c r="BN134" s="114" t="str">
        <f>_xlfn.IFNA(VLOOKUP($BD134,Programma!$F$3:$P$1101,11,0),"")</f>
        <v/>
      </c>
      <c r="BO134" s="114" t="str">
        <f>_xlfn.IFNA(VLOOKUP($BD134,Programma!$F$3:$Q$1101,12,0),"")</f>
        <v/>
      </c>
      <c r="BP134" s="114" t="str">
        <f>_xlfn.IFNA(VLOOKUP($BD134,Programma!$F$3:$R$1101,13,0),"")</f>
        <v/>
      </c>
      <c r="BQ134" s="114" t="str">
        <f>_xlfn.IFNA(VLOOKUP($BD134,Programma!$F$3:$S$1101,14,0),"")</f>
        <v/>
      </c>
      <c r="BR134" s="114" t="str">
        <f>_xlfn.IFNA(VLOOKUP($BD134,Programma!$F$3:$T$1101,15,0),"")</f>
        <v/>
      </c>
      <c r="BS134" s="114" t="str">
        <f>_xlfn.IFNA(VLOOKUP($BD134,Programma!$F$3:$U$1101,16,0),"")</f>
        <v/>
      </c>
      <c r="BT134" s="114" t="str">
        <f>_xlfn.IFNA(VLOOKUP($BD134,Programma!$F$3:$V$1101,17,0),"")</f>
        <v/>
      </c>
      <c r="BU134" s="114" t="str">
        <f>_xlfn.IFNA(VLOOKUP($BD134,Programma!$F$3:$W$1101,18,0),"")</f>
        <v/>
      </c>
      <c r="BV134" s="114" t="str">
        <f>_xlfn.IFNA(VLOOKUP($BD134,Programma!$F$3:$X$1101,19,0),"")</f>
        <v/>
      </c>
      <c r="BW134" s="114" t="str">
        <f>_xlfn.IFNA(VLOOKUP($BD134,Programma!$F$3:$Y$1101,20,0),"")</f>
        <v/>
      </c>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c r="FP134" s="28"/>
      <c r="FQ134" s="28"/>
      <c r="FR134" s="28"/>
      <c r="FS134" s="28"/>
      <c r="FT134" s="28"/>
      <c r="FU134" s="28"/>
      <c r="FV134" s="28"/>
      <c r="FW134" s="28"/>
      <c r="FX134" s="28"/>
      <c r="FY134" s="28"/>
      <c r="FZ134" s="28"/>
      <c r="GA134" s="28"/>
      <c r="GB134" s="28"/>
      <c r="GC134" s="28"/>
      <c r="GD134" s="28"/>
      <c r="GE134" s="28"/>
      <c r="GF134" s="28"/>
      <c r="GG134" s="28"/>
      <c r="GH134" s="28"/>
      <c r="GI134" s="28"/>
      <c r="GJ134" s="28"/>
      <c r="GK134" s="28"/>
      <c r="GL134" s="28"/>
      <c r="GM134" s="28"/>
      <c r="GN134" s="28"/>
      <c r="GO134" s="28"/>
      <c r="GP134" s="28"/>
      <c r="GQ134" s="28"/>
      <c r="GR134" s="28"/>
      <c r="GS134" s="28"/>
      <c r="GT134" s="28"/>
      <c r="GU134" s="28"/>
      <c r="GV134" s="28"/>
      <c r="GW134" s="28"/>
      <c r="GX134" s="28"/>
      <c r="GY134" s="28"/>
      <c r="GZ134" s="28"/>
      <c r="HA134" s="28"/>
      <c r="HB134" s="28"/>
      <c r="HC134" s="28"/>
      <c r="HD134" s="28"/>
      <c r="HE134" s="28"/>
      <c r="HF134" s="28"/>
      <c r="HG134" s="28"/>
      <c r="HH134" s="28"/>
      <c r="HI134" s="28"/>
      <c r="HJ134" s="28"/>
      <c r="HK134" s="28"/>
      <c r="HL134" s="28"/>
    </row>
    <row r="135" spans="1:220" ht="15" customHeight="1">
      <c r="A135" s="31">
        <v>3</v>
      </c>
      <c r="B135" s="105" t="str">
        <f>VLOOKUP(Ruimtestaat[[#This Row],[Code]],Locaties[[Code]:[Locatie]],2,FALSE)</f>
        <v>Sport IKC Het Startblok</v>
      </c>
      <c r="C135" s="105" t="str">
        <f>VLOOKUP(Ruimtestaat[[#This Row],[Code]],Locaties[[#All],[Code]:[Adres]],4,FALSE)</f>
        <v>Klapstraat 205</v>
      </c>
      <c r="D135" s="105" t="str">
        <f>VLOOKUP(Ruimtestaat[[#This Row],[Code]],Locaties[[#All],[Code]:[Postcode]],5,FALSE)</f>
        <v>6931 CH</v>
      </c>
      <c r="E135" s="105" t="str">
        <f>VLOOKUP(Ruimtestaat[[#This Row],[Code]],Locaties[#All],6,FALSE)</f>
        <v>Westervoort</v>
      </c>
      <c r="F135" s="73" t="s">
        <v>1795</v>
      </c>
      <c r="G135" s="73"/>
      <c r="H135" s="31" t="s">
        <v>1679</v>
      </c>
      <c r="I135" s="113" t="s">
        <v>1738</v>
      </c>
      <c r="J135" s="31">
        <v>6</v>
      </c>
      <c r="K135" s="113" t="str">
        <f>VLOOKUP(Ruimtestaat[[#This Row],[Ruimte code]],Ruimtegroepen[[#All],[Code]:[Ruimte omschrijving]],2,FALSE)</f>
        <v>Gangen/hallen</v>
      </c>
      <c r="L135" s="73" t="s">
        <v>102</v>
      </c>
      <c r="M135" s="273" t="s">
        <v>120</v>
      </c>
      <c r="N135" s="106">
        <v>42</v>
      </c>
      <c r="O135" s="112"/>
      <c r="P135" s="73"/>
      <c r="Q135" s="107" t="str">
        <f>VLOOKUP(Ruimtestaat[[#This Row],[Ruimte code]],Ruimtegroepen[],4,FALSE)</f>
        <v>Ve</v>
      </c>
      <c r="R135" s="73">
        <v>40</v>
      </c>
      <c r="S135" s="73" t="s">
        <v>2</v>
      </c>
      <c r="T135" s="73">
        <f>IF(R135&gt;0,IF(RIGHT(Ruimtestaat[[#This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5" s="73">
        <f>IF(T135&gt;0,VLOOKUP($J135,Ruimtegroepen[],3,FALSE)*VLOOKUP($L135,Vloersoorten[],3,FALSE)*VLOOKUP($S135,Frequenties[],3,FALSE)*VLOOKUP($A135,Locaties[],3,FALSE),0)</f>
        <v>0</v>
      </c>
      <c r="V135" s="73">
        <f>Ruimtestaat[[#This Row],[Uitvoeringen werkdagen]]*Ruimtestaat[[#This Row],[Oppervlak (netto)]]</f>
        <v>8400</v>
      </c>
      <c r="W135" s="108">
        <f>IF(U135&gt;0,Ruimtestaat[[#This Row],[Prest. (m2 /jaar) werkdagen]]/Ruimtestaat[[#This Row],[Norm (m2/uur) werkdagen]],0)</f>
        <v>0</v>
      </c>
      <c r="X135" s="109">
        <f>Ruimtestaat[[#This Row],[uren / jaar werkdagen]]*Tariefsopbouw!$E$35</f>
        <v>0</v>
      </c>
      <c r="Y135" s="73"/>
      <c r="Z135" s="73">
        <f>IF(Ruimtestaat[[#This Row],[Frequentie weekend]]&gt;0,VALUE(LEFT(Y135,1))*R135,0)</f>
        <v>0</v>
      </c>
      <c r="AA135" s="72">
        <f>IF($Z135&gt;0,VLOOKUP($J135,Ruimtegroepen[],3,FALSE)*VLOOKUP($L135,Vloersoorten[],3,FALSE)*VLOOKUP($Y135,Frequenties[],3,FALSE)*VLOOKUP(Ruimtestaat[[#This Row],[Code]],Locaties[],3,FALSE),0)</f>
        <v>0</v>
      </c>
      <c r="AB135" s="72">
        <f>Ruimtestaat[[#This Row],[Uitvoeringen weekend]]*Ruimtestaat[[#This Row],[Oppervlak (netto)]]</f>
        <v>0</v>
      </c>
      <c r="AC135" s="72">
        <f>IF(AA135&gt;0,Ruimtestaat[[#This Row],[Prest. (m2 /jaar) weekend]]/Ruimtestaat[[#This Row],[Norm (m2/uur) weekend]],0)</f>
        <v>0</v>
      </c>
      <c r="AD135" s="109">
        <f>Ruimtestaat[[#This Row],[uren / jaar weekend]]*Tariefsopbouw!$D$40</f>
        <v>0</v>
      </c>
      <c r="AE135" s="108">
        <f>Ruimtestaat[[#This Row],[Prest. (m2 /jaar) weekend]]+Ruimtestaat[[#This Row],[Prest. (m2 /jaar) werkdagen]]</f>
        <v>8400</v>
      </c>
      <c r="AF135" s="108">
        <f>Ruimtestaat[[#This Row],[uren / jaar weekend]]+Ruimtestaat[[#This Row],[uren / jaar werkdagen]]</f>
        <v>0</v>
      </c>
      <c r="AG135" s="103">
        <f>Ruimtestaat[[#This Row],[kosten / jaar weekend]]+Ruimtestaat[[#This Row],[kosten / jaar werkdagen]]</f>
        <v>0</v>
      </c>
      <c r="AH135" s="103"/>
      <c r="AI135" s="110" t="str">
        <f>IF(Ruimtestaat[[#This Row],[Frequentie werkdagen]]="","",_xlfn.CONCAT(Ruimtestaat[[#This Row],[Ruimte code]],"-",Ruimtestaat[[#This Row],[Frequentie werkdagen]]," ",Ruimtestaat[[#This Row],[Vloer code]]))</f>
        <v>6-5w P</v>
      </c>
      <c r="AJ135" s="114" t="str">
        <f>_xlfn.IFNA(VLOOKUP($AI135,Programma!$F$3:$G$1101,2,0),"")</f>
        <v>_</v>
      </c>
      <c r="AK135" s="114" t="str">
        <f>_xlfn.IFNA(VLOOKUP($AI135,Programma!$F$3:$H$1101,3,0),"")</f>
        <v>_</v>
      </c>
      <c r="AL135" s="114" t="str">
        <f>_xlfn.IFNA(VLOOKUP($AI135,Programma!$F$3:$I$1101,4,0),"")</f>
        <v>5w</v>
      </c>
      <c r="AM135" s="114" t="str">
        <f>_xlfn.IFNA(VLOOKUP($AI135,Programma!$F$3:$J$1101,5,0),"")</f>
        <v>_</v>
      </c>
      <c r="AN135" s="114" t="str">
        <f>_xlfn.IFNA(VLOOKUP($AI135,Programma!$F$3:$K$1101,6,0),"")</f>
        <v>5w</v>
      </c>
      <c r="AO135" s="114" t="str">
        <f>_xlfn.IFNA(VLOOKUP($AI135,Programma!$F$3:$L$1101,7,0),"")</f>
        <v>_</v>
      </c>
      <c r="AP135" s="114" t="str">
        <f>_xlfn.IFNA(VLOOKUP($AI135,Programma!$F$3:$M$1101,8,0),"")</f>
        <v>_</v>
      </c>
      <c r="AQ135" s="114" t="str">
        <f>_xlfn.IFNA(VLOOKUP($AI135,Programma!$F$3:$N$1101,9,0),"")</f>
        <v>_</v>
      </c>
      <c r="AR135" s="114" t="str">
        <f>_xlfn.IFNA(VLOOKUP($AI135,Programma!$F$3:$O$1101,10,0),"")</f>
        <v>5w</v>
      </c>
      <c r="AS135" s="114" t="str">
        <f>_xlfn.IFNA(VLOOKUP($AI135,Programma!$F$3:$P$1101,11,0),"")</f>
        <v>5w</v>
      </c>
      <c r="AT135" s="114" t="str">
        <f>_xlfn.IFNA(VLOOKUP($AI135,Programma!$F$3:$Q$1101,12,0),"")</f>
        <v>1w</v>
      </c>
      <c r="AU135" s="114" t="str">
        <f>_xlfn.IFNA(VLOOKUP($AI135,Programma!$F$3:$R$1101,13,0),"")</f>
        <v>1w</v>
      </c>
      <c r="AV135" s="114" t="str">
        <f>_xlfn.IFNA(VLOOKUP($AI135,Programma!$F$3:$S$1101,14,0),"")</f>
        <v>1m</v>
      </c>
      <c r="AW135" s="114" t="str">
        <f>_xlfn.IFNA(VLOOKUP($AI135,Programma!$F$3:$T$1101,15,0),"")</f>
        <v>2j</v>
      </c>
      <c r="AX135" s="114" t="str">
        <f>_xlfn.IFNA(VLOOKUP($AI135,Programma!$F$3:$U$1101,16,0),"")</f>
        <v>1j</v>
      </c>
      <c r="AY135" s="114" t="str">
        <f>_xlfn.IFNA(VLOOKUP($AI135,Programma!$F$3:$V$1101,17,0),"")</f>
        <v>_</v>
      </c>
      <c r="AZ135" s="114" t="str">
        <f>_xlfn.IFNA(VLOOKUP($AI135,Programma!$F$3:$W$1101,18,0),"")</f>
        <v>_</v>
      </c>
      <c r="BA135" s="114" t="str">
        <f>_xlfn.IFNA(VLOOKUP($AI135,Programma!$F$3:$X$1101,19,0),"")</f>
        <v>_</v>
      </c>
      <c r="BB135" s="114" t="str">
        <f>_xlfn.IFNA(VLOOKUP($AI135,Programma!$F$3:$Y$1101,20,0),"")</f>
        <v>_</v>
      </c>
      <c r="BC135" s="111"/>
      <c r="BD135" s="110" t="str">
        <f>IF(Ruimtestaat[[#This Row],[Frequentie weekend]]="","",_xlfn.CONCAT(Ruimtestaat[[#This Row],[Ruimte code]],"-",Ruimtestaat[[#This Row],[Frequentie weekend]]," ",Ruimtestaat[[#This Row],[Vloer code]]))</f>
        <v/>
      </c>
      <c r="BE135" s="114" t="str">
        <f>_xlfn.IFNA(VLOOKUP($BD135,Programma!$F$3:$G$1101,2,0),"")</f>
        <v/>
      </c>
      <c r="BF135" s="114" t="str">
        <f>_xlfn.IFNA(VLOOKUP($BD135,Programma!$F$3:$H$1101,3,0),"")</f>
        <v/>
      </c>
      <c r="BG135" s="114" t="str">
        <f>_xlfn.IFNA(VLOOKUP($BD135,Programma!$F$3:$I$1101,4,0),"")</f>
        <v/>
      </c>
      <c r="BH135" s="114" t="str">
        <f>_xlfn.IFNA(VLOOKUP($BD135,Programma!$F$3:$J$1101,5,0),"")</f>
        <v/>
      </c>
      <c r="BI135" s="114" t="str">
        <f>_xlfn.IFNA(VLOOKUP($BD135,Programma!$F$3:$K$1101,6,0),"")</f>
        <v/>
      </c>
      <c r="BJ135" s="114" t="str">
        <f>_xlfn.IFNA(VLOOKUP($BD135,Programma!$F$3:$L$1101,7,0),"")</f>
        <v/>
      </c>
      <c r="BK135" s="114" t="str">
        <f>_xlfn.IFNA(VLOOKUP($BD135,Programma!$F$3:$M$1101,8,0),"")</f>
        <v/>
      </c>
      <c r="BL135" s="114" t="str">
        <f>_xlfn.IFNA(VLOOKUP($BD135,Programma!$F$3:$N$1101,9,0),"")</f>
        <v/>
      </c>
      <c r="BM135" s="114" t="str">
        <f>_xlfn.IFNA(VLOOKUP($BD135,Programma!$F$3:$O$1101,10,0),"")</f>
        <v/>
      </c>
      <c r="BN135" s="114" t="str">
        <f>_xlfn.IFNA(VLOOKUP($BD135,Programma!$F$3:$P$1101,11,0),"")</f>
        <v/>
      </c>
      <c r="BO135" s="114" t="str">
        <f>_xlfn.IFNA(VLOOKUP($BD135,Programma!$F$3:$Q$1101,12,0),"")</f>
        <v/>
      </c>
      <c r="BP135" s="114" t="str">
        <f>_xlfn.IFNA(VLOOKUP($BD135,Programma!$F$3:$R$1101,13,0),"")</f>
        <v/>
      </c>
      <c r="BQ135" s="114" t="str">
        <f>_xlfn.IFNA(VLOOKUP($BD135,Programma!$F$3:$S$1101,14,0),"")</f>
        <v/>
      </c>
      <c r="BR135" s="114" t="str">
        <f>_xlfn.IFNA(VLOOKUP($BD135,Programma!$F$3:$T$1101,15,0),"")</f>
        <v/>
      </c>
      <c r="BS135" s="114" t="str">
        <f>_xlfn.IFNA(VLOOKUP($BD135,Programma!$F$3:$U$1101,16,0),"")</f>
        <v/>
      </c>
      <c r="BT135" s="114" t="str">
        <f>_xlfn.IFNA(VLOOKUP($BD135,Programma!$F$3:$V$1101,17,0),"")</f>
        <v/>
      </c>
      <c r="BU135" s="114" t="str">
        <f>_xlfn.IFNA(VLOOKUP($BD135,Programma!$F$3:$W$1101,18,0),"")</f>
        <v/>
      </c>
      <c r="BV135" s="114" t="str">
        <f>_xlfn.IFNA(VLOOKUP($BD135,Programma!$F$3:$X$1101,19,0),"")</f>
        <v/>
      </c>
      <c r="BW135" s="114" t="str">
        <f>_xlfn.IFNA(VLOOKUP($BD135,Programma!$F$3:$Y$1101,20,0),"")</f>
        <v/>
      </c>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c r="FP135" s="28"/>
      <c r="FQ135" s="28"/>
      <c r="FR135" s="28"/>
      <c r="FS135" s="28"/>
      <c r="FT135" s="28"/>
      <c r="FU135" s="28"/>
      <c r="FV135" s="28"/>
      <c r="FW135" s="28"/>
      <c r="FX135" s="28"/>
      <c r="FY135" s="28"/>
      <c r="FZ135" s="28"/>
      <c r="GA135" s="28"/>
      <c r="GB135" s="28"/>
      <c r="GC135" s="28"/>
      <c r="GD135" s="28"/>
      <c r="GE135" s="28"/>
      <c r="GF135" s="28"/>
      <c r="GG135" s="28"/>
      <c r="GH135" s="28"/>
      <c r="GI135" s="28"/>
      <c r="GJ135" s="28"/>
      <c r="GK135" s="28"/>
      <c r="GL135" s="28"/>
      <c r="GM135" s="28"/>
      <c r="GN135" s="28"/>
      <c r="GO135" s="28"/>
      <c r="GP135" s="28"/>
      <c r="GQ135" s="28"/>
      <c r="GR135" s="28"/>
      <c r="GS135" s="28"/>
      <c r="GT135" s="28"/>
      <c r="GU135" s="28"/>
      <c r="GV135" s="28"/>
      <c r="GW135" s="28"/>
      <c r="GX135" s="28"/>
      <c r="GY135" s="28"/>
      <c r="GZ135" s="28"/>
      <c r="HA135" s="28"/>
      <c r="HB135" s="28"/>
      <c r="HC135" s="28"/>
      <c r="HD135" s="28"/>
      <c r="HE135" s="28"/>
      <c r="HF135" s="28"/>
      <c r="HG135" s="28"/>
      <c r="HH135" s="28"/>
      <c r="HI135" s="28"/>
      <c r="HJ135" s="28"/>
      <c r="HK135" s="28"/>
      <c r="HL135" s="28"/>
    </row>
    <row r="136" spans="1:220" ht="15" customHeight="1">
      <c r="A136" s="31">
        <v>3</v>
      </c>
      <c r="B136" s="105" t="str">
        <f>VLOOKUP(Ruimtestaat[[#This Row],[Code]],Locaties[[Code]:[Locatie]],2,FALSE)</f>
        <v>Sport IKC Het Startblok</v>
      </c>
      <c r="C136" s="105" t="str">
        <f>VLOOKUP(Ruimtestaat[[#This Row],[Code]],Locaties[[#All],[Code]:[Adres]],4,FALSE)</f>
        <v>Klapstraat 205</v>
      </c>
      <c r="D136" s="105" t="str">
        <f>VLOOKUP(Ruimtestaat[[#This Row],[Code]],Locaties[[#All],[Code]:[Postcode]],5,FALSE)</f>
        <v>6931 CH</v>
      </c>
      <c r="E136" s="105" t="str">
        <f>VLOOKUP(Ruimtestaat[[#This Row],[Code]],Locaties[#All],6,FALSE)</f>
        <v>Westervoort</v>
      </c>
      <c r="F136" s="73" t="s">
        <v>1795</v>
      </c>
      <c r="G136" s="73"/>
      <c r="H136" s="31" t="s">
        <v>1680</v>
      </c>
      <c r="I136" s="113" t="s">
        <v>1746</v>
      </c>
      <c r="J136" s="31">
        <v>16</v>
      </c>
      <c r="K136" s="113" t="str">
        <f>VLOOKUP(Ruimtestaat[[#This Row],[Ruimte code]],Ruimtegroepen[[#All],[Code]:[Ruimte omschrijving]],2,FALSE)</f>
        <v>Leslokalen</v>
      </c>
      <c r="L136" s="73" t="s">
        <v>102</v>
      </c>
      <c r="M136" s="273" t="s">
        <v>120</v>
      </c>
      <c r="N136" s="106">
        <v>56</v>
      </c>
      <c r="O136" s="112"/>
      <c r="P136" s="112"/>
      <c r="Q136" s="107" t="str">
        <f>VLOOKUP(Ruimtestaat[[#This Row],[Ruimte code]],Ruimtegroepen[],4,FALSE)</f>
        <v>Le</v>
      </c>
      <c r="R136" s="73">
        <v>40</v>
      </c>
      <c r="S136" s="73" t="s">
        <v>2</v>
      </c>
      <c r="T136" s="73">
        <f>IF(R136&gt;0,IF(RIGHT(Ruimtestaat[[#This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6" s="73">
        <f>IF(T136&gt;0,VLOOKUP($J136,Ruimtegroepen[],3,FALSE)*VLOOKUP($L136,Vloersoorten[],3,FALSE)*VLOOKUP($S136,Frequenties[],3,FALSE)*VLOOKUP($A136,Locaties[],3,FALSE),0)</f>
        <v>0</v>
      </c>
      <c r="V136" s="73">
        <f>Ruimtestaat[[#This Row],[Uitvoeringen werkdagen]]*Ruimtestaat[[#This Row],[Oppervlak (netto)]]</f>
        <v>11200</v>
      </c>
      <c r="W136" s="108">
        <f>IF(U136&gt;0,Ruimtestaat[[#This Row],[Prest. (m2 /jaar) werkdagen]]/Ruimtestaat[[#This Row],[Norm (m2/uur) werkdagen]],0)</f>
        <v>0</v>
      </c>
      <c r="X136" s="109">
        <f>Ruimtestaat[[#This Row],[uren / jaar werkdagen]]*Tariefsopbouw!$E$35</f>
        <v>0</v>
      </c>
      <c r="Y136" s="73"/>
      <c r="Z136" s="73">
        <f>IF(Ruimtestaat[[#This Row],[Frequentie weekend]]&gt;0,VALUE(LEFT(Y136,1))*R136,0)</f>
        <v>0</v>
      </c>
      <c r="AA136" s="72">
        <f>IF($Z136&gt;0,VLOOKUP($J136,Ruimtegroepen[],3,FALSE)*VLOOKUP($L136,Vloersoorten[],3,FALSE)*VLOOKUP($Y136,Frequenties[],3,FALSE)*VLOOKUP(Ruimtestaat[[#This Row],[Code]],Locaties[],3,FALSE),0)</f>
        <v>0</v>
      </c>
      <c r="AB136" s="72">
        <f>Ruimtestaat[[#This Row],[Uitvoeringen weekend]]*Ruimtestaat[[#This Row],[Oppervlak (netto)]]</f>
        <v>0</v>
      </c>
      <c r="AC136" s="72">
        <f>IF(AA136&gt;0,Ruimtestaat[[#This Row],[Prest. (m2 /jaar) weekend]]/Ruimtestaat[[#This Row],[Norm (m2/uur) weekend]],0)</f>
        <v>0</v>
      </c>
      <c r="AD136" s="109">
        <f>Ruimtestaat[[#This Row],[uren / jaar weekend]]*Tariefsopbouw!$D$40</f>
        <v>0</v>
      </c>
      <c r="AE136" s="108">
        <f>Ruimtestaat[[#This Row],[Prest. (m2 /jaar) weekend]]+Ruimtestaat[[#This Row],[Prest. (m2 /jaar) werkdagen]]</f>
        <v>11200</v>
      </c>
      <c r="AF136" s="108">
        <f>Ruimtestaat[[#This Row],[uren / jaar weekend]]+Ruimtestaat[[#This Row],[uren / jaar werkdagen]]</f>
        <v>0</v>
      </c>
      <c r="AG136" s="103">
        <f>Ruimtestaat[[#This Row],[kosten / jaar weekend]]+Ruimtestaat[[#This Row],[kosten / jaar werkdagen]]</f>
        <v>0</v>
      </c>
      <c r="AH136" s="103"/>
      <c r="AI136" s="110" t="str">
        <f>IF(Ruimtestaat[[#This Row],[Frequentie werkdagen]]="","",_xlfn.CONCAT(Ruimtestaat[[#This Row],[Ruimte code]],"-",Ruimtestaat[[#This Row],[Frequentie werkdagen]]," ",Ruimtestaat[[#This Row],[Vloer code]]))</f>
        <v>16-5w P</v>
      </c>
      <c r="AJ136" s="114" t="str">
        <f>_xlfn.IFNA(VLOOKUP($AI136,Programma!$F$3:$G$1101,2,0),"")</f>
        <v>_</v>
      </c>
      <c r="AK136" s="114" t="str">
        <f>_xlfn.IFNA(VLOOKUP($AI136,Programma!$F$3:$H$1101,3,0),"")</f>
        <v>_</v>
      </c>
      <c r="AL136" s="114" t="str">
        <f>_xlfn.IFNA(VLOOKUP($AI136,Programma!$F$3:$I$1101,4,0),"")</f>
        <v>4w</v>
      </c>
      <c r="AM136" s="114" t="str">
        <f>_xlfn.IFNA(VLOOKUP($AI136,Programma!$F$3:$J$1101,5,0),"")</f>
        <v>1w</v>
      </c>
      <c r="AN136" s="114" t="str">
        <f>_xlfn.IFNA(VLOOKUP($AI136,Programma!$F$3:$K$1101,6,0),"")</f>
        <v>1m</v>
      </c>
      <c r="AO136" s="114" t="str">
        <f>_xlfn.IFNA(VLOOKUP($AI136,Programma!$F$3:$L$1101,7,0),"")</f>
        <v>_</v>
      </c>
      <c r="AP136" s="114" t="str">
        <f>_xlfn.IFNA(VLOOKUP($AI136,Programma!$F$3:$M$1101,8,0),"")</f>
        <v>_</v>
      </c>
      <c r="AQ136" s="114" t="str">
        <f>_xlfn.IFNA(VLOOKUP($AI136,Programma!$F$3:$N$1101,9,0),"")</f>
        <v>_</v>
      </c>
      <c r="AR136" s="114" t="str">
        <f>_xlfn.IFNA(VLOOKUP($AI136,Programma!$F$3:$O$1101,10,0),"")</f>
        <v>5w</v>
      </c>
      <c r="AS136" s="114" t="str">
        <f>_xlfn.IFNA(VLOOKUP($AI136,Programma!$F$3:$P$1101,11,0),"")</f>
        <v>5w</v>
      </c>
      <c r="AT136" s="114" t="str">
        <f>_xlfn.IFNA(VLOOKUP($AI136,Programma!$F$3:$Q$1101,12,0),"")</f>
        <v>1w</v>
      </c>
      <c r="AU136" s="114" t="str">
        <f>_xlfn.IFNA(VLOOKUP($AI136,Programma!$F$3:$R$1101,13,0),"")</f>
        <v>1w</v>
      </c>
      <c r="AV136" s="114" t="str">
        <f>_xlfn.IFNA(VLOOKUP($AI136,Programma!$F$3:$S$1101,14,0),"")</f>
        <v>1m</v>
      </c>
      <c r="AW136" s="114" t="str">
        <f>_xlfn.IFNA(VLOOKUP($AI136,Programma!$F$3:$T$1101,15,0),"")</f>
        <v>2j</v>
      </c>
      <c r="AX136" s="114" t="str">
        <f>_xlfn.IFNA(VLOOKUP($AI136,Programma!$F$3:$U$1101,16,0),"")</f>
        <v>1j</v>
      </c>
      <c r="AY136" s="114" t="str">
        <f>_xlfn.IFNA(VLOOKUP($AI136,Programma!$F$3:$V$1101,17,0),"")</f>
        <v>_</v>
      </c>
      <c r="AZ136" s="114" t="str">
        <f>_xlfn.IFNA(VLOOKUP($AI136,Programma!$F$3:$W$1101,18,0),"")</f>
        <v>_</v>
      </c>
      <c r="BA136" s="114" t="str">
        <f>_xlfn.IFNA(VLOOKUP($AI136,Programma!$F$3:$X$1101,19,0),"")</f>
        <v>_</v>
      </c>
      <c r="BB136" s="114" t="str">
        <f>_xlfn.IFNA(VLOOKUP($AI136,Programma!$F$3:$Y$1101,20,0),"")</f>
        <v>_</v>
      </c>
      <c r="BC136" s="111"/>
      <c r="BD136" s="110" t="str">
        <f>IF(Ruimtestaat[[#This Row],[Frequentie weekend]]="","",_xlfn.CONCAT(Ruimtestaat[[#This Row],[Ruimte code]],"-",Ruimtestaat[[#This Row],[Frequentie weekend]]," ",Ruimtestaat[[#This Row],[Vloer code]]))</f>
        <v/>
      </c>
      <c r="BE136" s="114" t="str">
        <f>_xlfn.IFNA(VLOOKUP($BD136,Programma!$F$3:$G$1101,2,0),"")</f>
        <v/>
      </c>
      <c r="BF136" s="114" t="str">
        <f>_xlfn.IFNA(VLOOKUP($BD136,Programma!$F$3:$H$1101,3,0),"")</f>
        <v/>
      </c>
      <c r="BG136" s="114" t="str">
        <f>_xlfn.IFNA(VLOOKUP($BD136,Programma!$F$3:$I$1101,4,0),"")</f>
        <v/>
      </c>
      <c r="BH136" s="114" t="str">
        <f>_xlfn.IFNA(VLOOKUP($BD136,Programma!$F$3:$J$1101,5,0),"")</f>
        <v/>
      </c>
      <c r="BI136" s="114" t="str">
        <f>_xlfn.IFNA(VLOOKUP($BD136,Programma!$F$3:$K$1101,6,0),"")</f>
        <v/>
      </c>
      <c r="BJ136" s="114" t="str">
        <f>_xlfn.IFNA(VLOOKUP($BD136,Programma!$F$3:$L$1101,7,0),"")</f>
        <v/>
      </c>
      <c r="BK136" s="114" t="str">
        <f>_xlfn.IFNA(VLOOKUP($BD136,Programma!$F$3:$M$1101,8,0),"")</f>
        <v/>
      </c>
      <c r="BL136" s="114" t="str">
        <f>_xlfn.IFNA(VLOOKUP($BD136,Programma!$F$3:$N$1101,9,0),"")</f>
        <v/>
      </c>
      <c r="BM136" s="114" t="str">
        <f>_xlfn.IFNA(VLOOKUP($BD136,Programma!$F$3:$O$1101,10,0),"")</f>
        <v/>
      </c>
      <c r="BN136" s="114" t="str">
        <f>_xlfn.IFNA(VLOOKUP($BD136,Programma!$F$3:$P$1101,11,0),"")</f>
        <v/>
      </c>
      <c r="BO136" s="114" t="str">
        <f>_xlfn.IFNA(VLOOKUP($BD136,Programma!$F$3:$Q$1101,12,0),"")</f>
        <v/>
      </c>
      <c r="BP136" s="114" t="str">
        <f>_xlfn.IFNA(VLOOKUP($BD136,Programma!$F$3:$R$1101,13,0),"")</f>
        <v/>
      </c>
      <c r="BQ136" s="114" t="str">
        <f>_xlfn.IFNA(VLOOKUP($BD136,Programma!$F$3:$S$1101,14,0),"")</f>
        <v/>
      </c>
      <c r="BR136" s="114" t="str">
        <f>_xlfn.IFNA(VLOOKUP($BD136,Programma!$F$3:$T$1101,15,0),"")</f>
        <v/>
      </c>
      <c r="BS136" s="114" t="str">
        <f>_xlfn.IFNA(VLOOKUP($BD136,Programma!$F$3:$U$1101,16,0),"")</f>
        <v/>
      </c>
      <c r="BT136" s="114" t="str">
        <f>_xlfn.IFNA(VLOOKUP($BD136,Programma!$F$3:$V$1101,17,0),"")</f>
        <v/>
      </c>
      <c r="BU136" s="114" t="str">
        <f>_xlfn.IFNA(VLOOKUP($BD136,Programma!$F$3:$W$1101,18,0),"")</f>
        <v/>
      </c>
      <c r="BV136" s="114" t="str">
        <f>_xlfn.IFNA(VLOOKUP($BD136,Programma!$F$3:$X$1101,19,0),"")</f>
        <v/>
      </c>
      <c r="BW136" s="114" t="str">
        <f>_xlfn.IFNA(VLOOKUP($BD136,Programma!$F$3:$Y$1101,20,0),"")</f>
        <v/>
      </c>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c r="FP136" s="28"/>
      <c r="FQ136" s="28"/>
      <c r="FR136" s="28"/>
      <c r="FS136" s="28"/>
      <c r="FT136" s="28"/>
      <c r="FU136" s="28"/>
      <c r="FV136" s="28"/>
      <c r="FW136" s="28"/>
      <c r="FX136" s="28"/>
      <c r="FY136" s="28"/>
      <c r="FZ136" s="28"/>
      <c r="GA136" s="28"/>
      <c r="GB136" s="28"/>
      <c r="GC136" s="28"/>
      <c r="GD136" s="28"/>
      <c r="GE136" s="28"/>
      <c r="GF136" s="28"/>
      <c r="GG136" s="28"/>
      <c r="GH136" s="28"/>
      <c r="GI136" s="28"/>
      <c r="GJ136" s="28"/>
      <c r="GK136" s="28"/>
      <c r="GL136" s="28"/>
      <c r="GM136" s="28"/>
      <c r="GN136" s="28"/>
      <c r="GO136" s="28"/>
      <c r="GP136" s="28"/>
      <c r="GQ136" s="28"/>
      <c r="GR136" s="28"/>
      <c r="GS136" s="28"/>
      <c r="GT136" s="28"/>
      <c r="GU136" s="28"/>
      <c r="GV136" s="28"/>
      <c r="GW136" s="28"/>
      <c r="GX136" s="28"/>
      <c r="GY136" s="28"/>
      <c r="GZ136" s="28"/>
      <c r="HA136" s="28"/>
      <c r="HB136" s="28"/>
      <c r="HC136" s="28"/>
      <c r="HD136" s="28"/>
      <c r="HE136" s="28"/>
      <c r="HF136" s="28"/>
      <c r="HG136" s="28"/>
      <c r="HH136" s="28"/>
      <c r="HI136" s="28"/>
      <c r="HJ136" s="28"/>
      <c r="HK136" s="28"/>
      <c r="HL136" s="28"/>
    </row>
    <row r="137" spans="1:220" ht="15" customHeight="1">
      <c r="A137" s="31">
        <v>3</v>
      </c>
      <c r="B137" s="105" t="str">
        <f>VLOOKUP(Ruimtestaat[[#This Row],[Code]],Locaties[[Code]:[Locatie]],2,FALSE)</f>
        <v>Sport IKC Het Startblok</v>
      </c>
      <c r="C137" s="105" t="str">
        <f>VLOOKUP(Ruimtestaat[[#This Row],[Code]],Locaties[[#All],[Code]:[Adres]],4,FALSE)</f>
        <v>Klapstraat 205</v>
      </c>
      <c r="D137" s="105" t="str">
        <f>VLOOKUP(Ruimtestaat[[#This Row],[Code]],Locaties[[#All],[Code]:[Postcode]],5,FALSE)</f>
        <v>6931 CH</v>
      </c>
      <c r="E137" s="105" t="str">
        <f>VLOOKUP(Ruimtestaat[[#This Row],[Code]],Locaties[#All],6,FALSE)</f>
        <v>Westervoort</v>
      </c>
      <c r="F137" s="73" t="s">
        <v>1795</v>
      </c>
      <c r="G137" s="73"/>
      <c r="H137" s="31" t="s">
        <v>1681</v>
      </c>
      <c r="I137" s="113" t="s">
        <v>1779</v>
      </c>
      <c r="J137" s="73">
        <v>18</v>
      </c>
      <c r="K137" s="102" t="str">
        <f>VLOOKUP(Ruimtestaat[[#This Row],[Ruimte code]],Ruimtegroepen[[#All],[Code]:[Ruimte omschrijving]],2,FALSE)</f>
        <v>Gymzaal</v>
      </c>
      <c r="L137" s="73" t="s">
        <v>102</v>
      </c>
      <c r="M137" s="273" t="s">
        <v>120</v>
      </c>
      <c r="N137" s="106">
        <v>58</v>
      </c>
      <c r="O137" s="112"/>
      <c r="P137" s="112"/>
      <c r="Q137" s="107" t="str">
        <f>VLOOKUP(Ruimtestaat[[#This Row],[Ruimte code]],Ruimtegroepen[],4,FALSE)</f>
        <v>Sp</v>
      </c>
      <c r="R137" s="73">
        <v>40</v>
      </c>
      <c r="S137" s="73" t="s">
        <v>18</v>
      </c>
      <c r="T137" s="73">
        <f>IF(R137&gt;0,IF(RIGHT(Ruimtestaat[[#This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7" s="73">
        <f>IF(T137&gt;0,VLOOKUP($J137,Ruimtegroepen[],3,FALSE)*VLOOKUP($L137,Vloersoorten[],3,FALSE)*VLOOKUP($S137,Frequenties[],3,FALSE)*VLOOKUP($A137,Locaties[],3,FALSE),0)</f>
        <v>0</v>
      </c>
      <c r="V137" s="73">
        <f>Ruimtestaat[[#This Row],[Uitvoeringen werkdagen]]*Ruimtestaat[[#This Row],[Oppervlak (netto)]]</f>
        <v>6960</v>
      </c>
      <c r="W137" s="108">
        <f>IF(U137&gt;0,Ruimtestaat[[#This Row],[Prest. (m2 /jaar) werkdagen]]/Ruimtestaat[[#This Row],[Norm (m2/uur) werkdagen]],0)</f>
        <v>0</v>
      </c>
      <c r="X137" s="109">
        <f>Ruimtestaat[[#This Row],[uren / jaar werkdagen]]*Tariefsopbouw!$E$35</f>
        <v>0</v>
      </c>
      <c r="Y137" s="73"/>
      <c r="Z137" s="73">
        <f>IF(Ruimtestaat[[#This Row],[Frequentie weekend]]&gt;0,VALUE(LEFT(Y137,1))*R137,0)</f>
        <v>0</v>
      </c>
      <c r="AA137" s="72">
        <f>IF($Z137&gt;0,VLOOKUP($J137,Ruimtegroepen[],3,FALSE)*VLOOKUP($L137,Vloersoorten[],3,FALSE)*VLOOKUP($Y137,Frequenties[],3,FALSE)*VLOOKUP(Ruimtestaat[[#This Row],[Code]],Locaties[],3,FALSE),0)</f>
        <v>0</v>
      </c>
      <c r="AB137" s="72">
        <f>Ruimtestaat[[#This Row],[Uitvoeringen weekend]]*Ruimtestaat[[#This Row],[Oppervlak (netto)]]</f>
        <v>0</v>
      </c>
      <c r="AC137" s="72">
        <f>IF(AA137&gt;0,Ruimtestaat[[#This Row],[Prest. (m2 /jaar) weekend]]/Ruimtestaat[[#This Row],[Norm (m2/uur) weekend]],0)</f>
        <v>0</v>
      </c>
      <c r="AD137" s="109">
        <f>Ruimtestaat[[#This Row],[uren / jaar weekend]]*Tariefsopbouw!$D$40</f>
        <v>0</v>
      </c>
      <c r="AE137" s="108">
        <f>Ruimtestaat[[#This Row],[Prest. (m2 /jaar) weekend]]+Ruimtestaat[[#This Row],[Prest. (m2 /jaar) werkdagen]]</f>
        <v>6960</v>
      </c>
      <c r="AF137" s="108">
        <f>Ruimtestaat[[#This Row],[uren / jaar weekend]]+Ruimtestaat[[#This Row],[uren / jaar werkdagen]]</f>
        <v>0</v>
      </c>
      <c r="AG137" s="103">
        <f>Ruimtestaat[[#This Row],[kosten / jaar weekend]]+Ruimtestaat[[#This Row],[kosten / jaar werkdagen]]</f>
        <v>0</v>
      </c>
      <c r="AH137" s="103"/>
      <c r="AI137" s="110" t="str">
        <f>IF(Ruimtestaat[[#This Row],[Frequentie werkdagen]]="","",_xlfn.CONCAT(Ruimtestaat[[#This Row],[Ruimte code]],"-",Ruimtestaat[[#This Row],[Frequentie werkdagen]]," ",Ruimtestaat[[#This Row],[Vloer code]]))</f>
        <v>18-3w P</v>
      </c>
      <c r="AJ137" s="114" t="str">
        <f>_xlfn.IFNA(VLOOKUP($AI137,Programma!$F$3:$G$1101,2,0),"")</f>
        <v>_</v>
      </c>
      <c r="AK137" s="114" t="str">
        <f>_xlfn.IFNA(VLOOKUP($AI137,Programma!$F$3:$H$1101,3,0),"")</f>
        <v>_</v>
      </c>
      <c r="AL137" s="114" t="str">
        <f>_xlfn.IFNA(VLOOKUP($AI137,Programma!$F$3:$I$1101,4,0),"")</f>
        <v>2w</v>
      </c>
      <c r="AM137" s="114" t="str">
        <f>_xlfn.IFNA(VLOOKUP($AI137,Programma!$F$3:$J$1101,5,0),"")</f>
        <v>1w</v>
      </c>
      <c r="AN137" s="114" t="str">
        <f>_xlfn.IFNA(VLOOKUP($AI137,Programma!$F$3:$K$1101,6,0),"")</f>
        <v>4j</v>
      </c>
      <c r="AO137" s="114" t="str">
        <f>_xlfn.IFNA(VLOOKUP($AI137,Programma!$F$3:$L$1101,7,0),"")</f>
        <v>_</v>
      </c>
      <c r="AP137" s="114" t="str">
        <f>_xlfn.IFNA(VLOOKUP($AI137,Programma!$F$3:$M$1101,8,0),"")</f>
        <v>_</v>
      </c>
      <c r="AQ137" s="114" t="str">
        <f>_xlfn.IFNA(VLOOKUP($AI137,Programma!$F$3:$N$1101,9,0),"")</f>
        <v>_</v>
      </c>
      <c r="AR137" s="114" t="str">
        <f>_xlfn.IFNA(VLOOKUP($AI137,Programma!$F$3:$O$1101,10,0),"")</f>
        <v>3w</v>
      </c>
      <c r="AS137" s="114" t="str">
        <f>_xlfn.IFNA(VLOOKUP($AI137,Programma!$F$3:$P$1101,11,0),"")</f>
        <v>3w</v>
      </c>
      <c r="AT137" s="114" t="str">
        <f>_xlfn.IFNA(VLOOKUP($AI137,Programma!$F$3:$Q$1101,12,0),"")</f>
        <v>3w</v>
      </c>
      <c r="AU137" s="114" t="str">
        <f>_xlfn.IFNA(VLOOKUP($AI137,Programma!$F$3:$R$1101,13,0),"")</f>
        <v>1w</v>
      </c>
      <c r="AV137" s="114" t="str">
        <f>_xlfn.IFNA(VLOOKUP($AI137,Programma!$F$3:$S$1101,14,0),"")</f>
        <v>1m</v>
      </c>
      <c r="AW137" s="114" t="str">
        <f>_xlfn.IFNA(VLOOKUP($AI137,Programma!$F$3:$T$1101,15,0),"")</f>
        <v>2j</v>
      </c>
      <c r="AX137" s="114" t="str">
        <f>_xlfn.IFNA(VLOOKUP($AI137,Programma!$F$3:$U$1101,16,0),"")</f>
        <v>1j</v>
      </c>
      <c r="AY137" s="114" t="str">
        <f>_xlfn.IFNA(VLOOKUP($AI137,Programma!$F$3:$V$1101,17,0),"")</f>
        <v>_</v>
      </c>
      <c r="AZ137" s="114" t="str">
        <f>_xlfn.IFNA(VLOOKUP($AI137,Programma!$F$3:$W$1101,18,0),"")</f>
        <v>_</v>
      </c>
      <c r="BA137" s="114" t="str">
        <f>_xlfn.IFNA(VLOOKUP($AI137,Programma!$F$3:$X$1101,19,0),"")</f>
        <v>_</v>
      </c>
      <c r="BB137" s="114" t="str">
        <f>_xlfn.IFNA(VLOOKUP($AI137,Programma!$F$3:$Y$1101,20,0),"")</f>
        <v>_</v>
      </c>
      <c r="BC137" s="111"/>
      <c r="BD137" s="110" t="str">
        <f>IF(Ruimtestaat[[#This Row],[Frequentie weekend]]="","",_xlfn.CONCAT(Ruimtestaat[[#This Row],[Ruimte code]],"-",Ruimtestaat[[#This Row],[Frequentie weekend]]," ",Ruimtestaat[[#This Row],[Vloer code]]))</f>
        <v/>
      </c>
      <c r="BE137" s="114" t="str">
        <f>_xlfn.IFNA(VLOOKUP($BD137,Programma!$F$3:$G$1101,2,0),"")</f>
        <v/>
      </c>
      <c r="BF137" s="114" t="str">
        <f>_xlfn.IFNA(VLOOKUP($BD137,Programma!$F$3:$H$1101,3,0),"")</f>
        <v/>
      </c>
      <c r="BG137" s="114" t="str">
        <f>_xlfn.IFNA(VLOOKUP($BD137,Programma!$F$3:$I$1101,4,0),"")</f>
        <v/>
      </c>
      <c r="BH137" s="114" t="str">
        <f>_xlfn.IFNA(VLOOKUP($BD137,Programma!$F$3:$J$1101,5,0),"")</f>
        <v/>
      </c>
      <c r="BI137" s="114" t="str">
        <f>_xlfn.IFNA(VLOOKUP($BD137,Programma!$F$3:$K$1101,6,0),"")</f>
        <v/>
      </c>
      <c r="BJ137" s="114" t="str">
        <f>_xlfn.IFNA(VLOOKUP($BD137,Programma!$F$3:$L$1101,7,0),"")</f>
        <v/>
      </c>
      <c r="BK137" s="114" t="str">
        <f>_xlfn.IFNA(VLOOKUP($BD137,Programma!$F$3:$M$1101,8,0),"")</f>
        <v/>
      </c>
      <c r="BL137" s="114" t="str">
        <f>_xlfn.IFNA(VLOOKUP($BD137,Programma!$F$3:$N$1101,9,0),"")</f>
        <v/>
      </c>
      <c r="BM137" s="114" t="str">
        <f>_xlfn.IFNA(VLOOKUP($BD137,Programma!$F$3:$O$1101,10,0),"")</f>
        <v/>
      </c>
      <c r="BN137" s="114" t="str">
        <f>_xlfn.IFNA(VLOOKUP($BD137,Programma!$F$3:$P$1101,11,0),"")</f>
        <v/>
      </c>
      <c r="BO137" s="114" t="str">
        <f>_xlfn.IFNA(VLOOKUP($BD137,Programma!$F$3:$Q$1101,12,0),"")</f>
        <v/>
      </c>
      <c r="BP137" s="114" t="str">
        <f>_xlfn.IFNA(VLOOKUP($BD137,Programma!$F$3:$R$1101,13,0),"")</f>
        <v/>
      </c>
      <c r="BQ137" s="114" t="str">
        <f>_xlfn.IFNA(VLOOKUP($BD137,Programma!$F$3:$S$1101,14,0),"")</f>
        <v/>
      </c>
      <c r="BR137" s="114" t="str">
        <f>_xlfn.IFNA(VLOOKUP($BD137,Programma!$F$3:$T$1101,15,0),"")</f>
        <v/>
      </c>
      <c r="BS137" s="114" t="str">
        <f>_xlfn.IFNA(VLOOKUP($BD137,Programma!$F$3:$U$1101,16,0),"")</f>
        <v/>
      </c>
      <c r="BT137" s="114" t="str">
        <f>_xlfn.IFNA(VLOOKUP($BD137,Programma!$F$3:$V$1101,17,0),"")</f>
        <v/>
      </c>
      <c r="BU137" s="114" t="str">
        <f>_xlfn.IFNA(VLOOKUP($BD137,Programma!$F$3:$W$1101,18,0),"")</f>
        <v/>
      </c>
      <c r="BV137" s="114" t="str">
        <f>_xlfn.IFNA(VLOOKUP($BD137,Programma!$F$3:$X$1101,19,0),"")</f>
        <v/>
      </c>
      <c r="BW137" s="114" t="str">
        <f>_xlfn.IFNA(VLOOKUP($BD137,Programma!$F$3:$Y$1101,20,0),"")</f>
        <v/>
      </c>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c r="FP137" s="28"/>
      <c r="FQ137" s="28"/>
      <c r="FR137" s="28"/>
      <c r="FS137" s="28"/>
      <c r="FT137" s="28"/>
      <c r="FU137" s="28"/>
      <c r="FV137" s="28"/>
      <c r="FW137" s="28"/>
      <c r="FX137" s="28"/>
      <c r="FY137" s="28"/>
      <c r="FZ137" s="28"/>
      <c r="GA137" s="28"/>
      <c r="GB137" s="28"/>
      <c r="GC137" s="28"/>
      <c r="GD137" s="28"/>
      <c r="GE137" s="28"/>
      <c r="GF137" s="28"/>
      <c r="GG137" s="28"/>
      <c r="GH137" s="28"/>
      <c r="GI137" s="28"/>
      <c r="GJ137" s="28"/>
      <c r="GK137" s="28"/>
      <c r="GL137" s="28"/>
      <c r="GM137" s="28"/>
      <c r="GN137" s="28"/>
      <c r="GO137" s="28"/>
      <c r="GP137" s="28"/>
      <c r="GQ137" s="28"/>
      <c r="GR137" s="28"/>
      <c r="GS137" s="28"/>
      <c r="GT137" s="28"/>
      <c r="GU137" s="28"/>
      <c r="GV137" s="28"/>
      <c r="GW137" s="28"/>
      <c r="GX137" s="28"/>
      <c r="GY137" s="28"/>
      <c r="GZ137" s="28"/>
      <c r="HA137" s="28"/>
      <c r="HB137" s="28"/>
      <c r="HC137" s="28"/>
      <c r="HD137" s="28"/>
      <c r="HE137" s="28"/>
      <c r="HF137" s="28"/>
      <c r="HG137" s="28"/>
      <c r="HH137" s="28"/>
      <c r="HI137" s="28"/>
      <c r="HJ137" s="28"/>
      <c r="HK137" s="28"/>
      <c r="HL137" s="28"/>
    </row>
    <row r="138" spans="1:220" ht="15" customHeight="1">
      <c r="A138" s="31">
        <v>3</v>
      </c>
      <c r="B138" s="105" t="str">
        <f>VLOOKUP(Ruimtestaat[[#This Row],[Code]],Locaties[[Code]:[Locatie]],2,FALSE)</f>
        <v>Sport IKC Het Startblok</v>
      </c>
      <c r="C138" s="105" t="str">
        <f>VLOOKUP(Ruimtestaat[[#This Row],[Code]],Locaties[[#All],[Code]:[Adres]],4,FALSE)</f>
        <v>Klapstraat 205</v>
      </c>
      <c r="D138" s="105" t="str">
        <f>VLOOKUP(Ruimtestaat[[#This Row],[Code]],Locaties[[#All],[Code]:[Postcode]],5,FALSE)</f>
        <v>6931 CH</v>
      </c>
      <c r="E138" s="105" t="str">
        <f>VLOOKUP(Ruimtestaat[[#This Row],[Code]],Locaties[#All],6,FALSE)</f>
        <v>Westervoort</v>
      </c>
      <c r="F138" s="73" t="s">
        <v>1795</v>
      </c>
      <c r="G138" s="73"/>
      <c r="H138" s="31" t="s">
        <v>1682</v>
      </c>
      <c r="I138" s="113" t="s">
        <v>1780</v>
      </c>
      <c r="J138" s="73">
        <v>7</v>
      </c>
      <c r="K138" s="113" t="str">
        <f>VLOOKUP(Ruimtestaat[[#This Row],[Ruimte code]],Ruimtegroepen[[#All],[Code]:[Ruimte omschrijving]],2,FALSE)</f>
        <v>Entree</v>
      </c>
      <c r="L138" s="73" t="s">
        <v>99</v>
      </c>
      <c r="M138" s="273" t="s">
        <v>1978</v>
      </c>
      <c r="N138" s="106">
        <v>7.2</v>
      </c>
      <c r="O138" s="112"/>
      <c r="P138" s="73"/>
      <c r="Q138" s="107" t="str">
        <f>VLOOKUP(Ruimtestaat[[#This Row],[Ruimte code]],Ruimtegroepen[],4,FALSE)</f>
        <v>Ve</v>
      </c>
      <c r="R138" s="73">
        <v>40</v>
      </c>
      <c r="S138" s="73" t="s">
        <v>2</v>
      </c>
      <c r="T138" s="73">
        <f>IF(R138&gt;0,IF(RIGHT(Ruimtestaat[[#This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8" s="73">
        <f>IF(T138&gt;0,VLOOKUP($J138,Ruimtegroepen[],3,FALSE)*VLOOKUP($L138,Vloersoorten[],3,FALSE)*VLOOKUP($S138,Frequenties[],3,FALSE)*VLOOKUP($A138,Locaties[],3,FALSE),0)</f>
        <v>0</v>
      </c>
      <c r="V138" s="73">
        <f>Ruimtestaat[[#This Row],[Uitvoeringen werkdagen]]*Ruimtestaat[[#This Row],[Oppervlak (netto)]]</f>
        <v>1440</v>
      </c>
      <c r="W138" s="108">
        <f>IF(U138&gt;0,Ruimtestaat[[#This Row],[Prest. (m2 /jaar) werkdagen]]/Ruimtestaat[[#This Row],[Norm (m2/uur) werkdagen]],0)</f>
        <v>0</v>
      </c>
      <c r="X138" s="109">
        <f>Ruimtestaat[[#This Row],[uren / jaar werkdagen]]*Tariefsopbouw!$E$35</f>
        <v>0</v>
      </c>
      <c r="Y138" s="73"/>
      <c r="Z138" s="73">
        <f>IF(Ruimtestaat[[#This Row],[Frequentie weekend]]&gt;0,VALUE(LEFT(Y138,1))*R138,0)</f>
        <v>0</v>
      </c>
      <c r="AA138" s="72">
        <f>IF($Z138&gt;0,VLOOKUP($J138,Ruimtegroepen[],3,FALSE)*VLOOKUP($L138,Vloersoorten[],3,FALSE)*VLOOKUP($Y138,Frequenties[],3,FALSE)*VLOOKUP(Ruimtestaat[[#This Row],[Code]],Locaties[],3,FALSE),0)</f>
        <v>0</v>
      </c>
      <c r="AB138" s="72">
        <f>Ruimtestaat[[#This Row],[Uitvoeringen weekend]]*Ruimtestaat[[#This Row],[Oppervlak (netto)]]</f>
        <v>0</v>
      </c>
      <c r="AC138" s="72">
        <f>IF(AA138&gt;0,Ruimtestaat[[#This Row],[Prest. (m2 /jaar) weekend]]/Ruimtestaat[[#This Row],[Norm (m2/uur) weekend]],0)</f>
        <v>0</v>
      </c>
      <c r="AD138" s="109">
        <f>Ruimtestaat[[#This Row],[uren / jaar weekend]]*Tariefsopbouw!$D$40</f>
        <v>0</v>
      </c>
      <c r="AE138" s="108">
        <f>Ruimtestaat[[#This Row],[Prest. (m2 /jaar) weekend]]+Ruimtestaat[[#This Row],[Prest. (m2 /jaar) werkdagen]]</f>
        <v>1440</v>
      </c>
      <c r="AF138" s="108">
        <f>Ruimtestaat[[#This Row],[uren / jaar weekend]]+Ruimtestaat[[#This Row],[uren / jaar werkdagen]]</f>
        <v>0</v>
      </c>
      <c r="AG138" s="103">
        <f>Ruimtestaat[[#This Row],[kosten / jaar weekend]]+Ruimtestaat[[#This Row],[kosten / jaar werkdagen]]</f>
        <v>0</v>
      </c>
      <c r="AH138" s="103"/>
      <c r="AI138" s="110" t="str">
        <f>IF(Ruimtestaat[[#This Row],[Frequentie werkdagen]]="","",_xlfn.CONCAT(Ruimtestaat[[#This Row],[Ruimte code]],"-",Ruimtestaat[[#This Row],[Frequentie werkdagen]]," ",Ruimtestaat[[#This Row],[Vloer code]]))</f>
        <v>7-5w T</v>
      </c>
      <c r="AJ138" s="114" t="str">
        <f>_xlfn.IFNA(VLOOKUP($AI138,Programma!$F$3:$G$1101,2,0),"")</f>
        <v>_</v>
      </c>
      <c r="AK138" s="114" t="str">
        <f>_xlfn.IFNA(VLOOKUP($AI138,Programma!$F$3:$H$1101,3,0),"")</f>
        <v>5w</v>
      </c>
      <c r="AL138" s="114" t="str">
        <f>_xlfn.IFNA(VLOOKUP($AI138,Programma!$F$3:$I$1101,4,0),"")</f>
        <v>_</v>
      </c>
      <c r="AM138" s="114" t="str">
        <f>_xlfn.IFNA(VLOOKUP($AI138,Programma!$F$3:$J$1101,5,0),"")</f>
        <v>_</v>
      </c>
      <c r="AN138" s="114" t="str">
        <f>_xlfn.IFNA(VLOOKUP($AI138,Programma!$F$3:$K$1101,6,0),"")</f>
        <v>_</v>
      </c>
      <c r="AO138" s="114" t="str">
        <f>_xlfn.IFNA(VLOOKUP($AI138,Programma!$F$3:$L$1101,7,0),"")</f>
        <v>_</v>
      </c>
      <c r="AP138" s="114" t="str">
        <f>_xlfn.IFNA(VLOOKUP($AI138,Programma!$F$3:$M$1101,8,0),"")</f>
        <v>_</v>
      </c>
      <c r="AQ138" s="114" t="str">
        <f>_xlfn.IFNA(VLOOKUP($AI138,Programma!$F$3:$N$1101,9,0),"")</f>
        <v>_</v>
      </c>
      <c r="AR138" s="114" t="str">
        <f>_xlfn.IFNA(VLOOKUP($AI138,Programma!$F$3:$O$1101,10,0),"")</f>
        <v>5w</v>
      </c>
      <c r="AS138" s="114" t="str">
        <f>_xlfn.IFNA(VLOOKUP($AI138,Programma!$F$3:$P$1101,11,0),"")</f>
        <v>5w</v>
      </c>
      <c r="AT138" s="114" t="str">
        <f>_xlfn.IFNA(VLOOKUP($AI138,Programma!$F$3:$Q$1101,12,0),"")</f>
        <v>1w</v>
      </c>
      <c r="AU138" s="114" t="str">
        <f>_xlfn.IFNA(VLOOKUP($AI138,Programma!$F$3:$R$1101,13,0),"")</f>
        <v>1w</v>
      </c>
      <c r="AV138" s="114" t="str">
        <f>_xlfn.IFNA(VLOOKUP($AI138,Programma!$F$3:$S$1101,14,0),"")</f>
        <v>1m</v>
      </c>
      <c r="AW138" s="114" t="str">
        <f>_xlfn.IFNA(VLOOKUP($AI138,Programma!$F$3:$T$1101,15,0),"")</f>
        <v>2j</v>
      </c>
      <c r="AX138" s="114" t="str">
        <f>_xlfn.IFNA(VLOOKUP($AI138,Programma!$F$3:$U$1101,16,0),"")</f>
        <v>1j</v>
      </c>
      <c r="AY138" s="114" t="str">
        <f>_xlfn.IFNA(VLOOKUP($AI138,Programma!$F$3:$V$1101,17,0),"")</f>
        <v>_</v>
      </c>
      <c r="AZ138" s="114" t="str">
        <f>_xlfn.IFNA(VLOOKUP($AI138,Programma!$F$3:$W$1101,18,0),"")</f>
        <v>_</v>
      </c>
      <c r="BA138" s="114" t="str">
        <f>_xlfn.IFNA(VLOOKUP($AI138,Programma!$F$3:$X$1101,19,0),"")</f>
        <v>_</v>
      </c>
      <c r="BB138" s="114" t="str">
        <f>_xlfn.IFNA(VLOOKUP($AI138,Programma!$F$3:$Y$1101,20,0),"")</f>
        <v>_</v>
      </c>
      <c r="BC138" s="111"/>
      <c r="BD138" s="110" t="str">
        <f>IF(Ruimtestaat[[#This Row],[Frequentie weekend]]="","",_xlfn.CONCAT(Ruimtestaat[[#This Row],[Ruimte code]],"-",Ruimtestaat[[#This Row],[Frequentie weekend]]," ",Ruimtestaat[[#This Row],[Vloer code]]))</f>
        <v/>
      </c>
      <c r="BE138" s="114" t="str">
        <f>_xlfn.IFNA(VLOOKUP($BD138,Programma!$F$3:$G$1101,2,0),"")</f>
        <v/>
      </c>
      <c r="BF138" s="114" t="str">
        <f>_xlfn.IFNA(VLOOKUP($BD138,Programma!$F$3:$H$1101,3,0),"")</f>
        <v/>
      </c>
      <c r="BG138" s="114" t="str">
        <f>_xlfn.IFNA(VLOOKUP($BD138,Programma!$F$3:$I$1101,4,0),"")</f>
        <v/>
      </c>
      <c r="BH138" s="114" t="str">
        <f>_xlfn.IFNA(VLOOKUP($BD138,Programma!$F$3:$J$1101,5,0),"")</f>
        <v/>
      </c>
      <c r="BI138" s="114" t="str">
        <f>_xlfn.IFNA(VLOOKUP($BD138,Programma!$F$3:$K$1101,6,0),"")</f>
        <v/>
      </c>
      <c r="BJ138" s="114" t="str">
        <f>_xlfn.IFNA(VLOOKUP($BD138,Programma!$F$3:$L$1101,7,0),"")</f>
        <v/>
      </c>
      <c r="BK138" s="114" t="str">
        <f>_xlfn.IFNA(VLOOKUP($BD138,Programma!$F$3:$M$1101,8,0),"")</f>
        <v/>
      </c>
      <c r="BL138" s="114" t="str">
        <f>_xlfn.IFNA(VLOOKUP($BD138,Programma!$F$3:$N$1101,9,0),"")</f>
        <v/>
      </c>
      <c r="BM138" s="114" t="str">
        <f>_xlfn.IFNA(VLOOKUP($BD138,Programma!$F$3:$O$1101,10,0),"")</f>
        <v/>
      </c>
      <c r="BN138" s="114" t="str">
        <f>_xlfn.IFNA(VLOOKUP($BD138,Programma!$F$3:$P$1101,11,0),"")</f>
        <v/>
      </c>
      <c r="BO138" s="114" t="str">
        <f>_xlfn.IFNA(VLOOKUP($BD138,Programma!$F$3:$Q$1101,12,0),"")</f>
        <v/>
      </c>
      <c r="BP138" s="114" t="str">
        <f>_xlfn.IFNA(VLOOKUP($BD138,Programma!$F$3:$R$1101,13,0),"")</f>
        <v/>
      </c>
      <c r="BQ138" s="114" t="str">
        <f>_xlfn.IFNA(VLOOKUP($BD138,Programma!$F$3:$S$1101,14,0),"")</f>
        <v/>
      </c>
      <c r="BR138" s="114" t="str">
        <f>_xlfn.IFNA(VLOOKUP($BD138,Programma!$F$3:$T$1101,15,0),"")</f>
        <v/>
      </c>
      <c r="BS138" s="114" t="str">
        <f>_xlfn.IFNA(VLOOKUP($BD138,Programma!$F$3:$U$1101,16,0),"")</f>
        <v/>
      </c>
      <c r="BT138" s="114" t="str">
        <f>_xlfn.IFNA(VLOOKUP($BD138,Programma!$F$3:$V$1101,17,0),"")</f>
        <v/>
      </c>
      <c r="BU138" s="114" t="str">
        <f>_xlfn.IFNA(VLOOKUP($BD138,Programma!$F$3:$W$1101,18,0),"")</f>
        <v/>
      </c>
      <c r="BV138" s="114" t="str">
        <f>_xlfn.IFNA(VLOOKUP($BD138,Programma!$F$3:$X$1101,19,0),"")</f>
        <v/>
      </c>
      <c r="BW138" s="114" t="str">
        <f>_xlfn.IFNA(VLOOKUP($BD138,Programma!$F$3:$Y$1101,20,0),"")</f>
        <v/>
      </c>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c r="GG138" s="28"/>
      <c r="GH138" s="28"/>
      <c r="GI138" s="28"/>
      <c r="GJ138" s="28"/>
      <c r="GK138" s="28"/>
      <c r="GL138" s="28"/>
      <c r="GM138" s="28"/>
      <c r="GN138" s="28"/>
      <c r="GO138" s="28"/>
      <c r="GP138" s="28"/>
      <c r="GQ138" s="28"/>
      <c r="GR138" s="28"/>
      <c r="GS138" s="28"/>
      <c r="GT138" s="28"/>
      <c r="GU138" s="28"/>
      <c r="GV138" s="28"/>
      <c r="GW138" s="28"/>
      <c r="GX138" s="28"/>
      <c r="GY138" s="28"/>
      <c r="GZ138" s="28"/>
      <c r="HA138" s="28"/>
      <c r="HB138" s="28"/>
      <c r="HC138" s="28"/>
      <c r="HD138" s="28"/>
      <c r="HE138" s="28"/>
      <c r="HF138" s="28"/>
      <c r="HG138" s="28"/>
      <c r="HH138" s="28"/>
      <c r="HI138" s="28"/>
      <c r="HJ138" s="28"/>
      <c r="HK138" s="28"/>
      <c r="HL138" s="28"/>
    </row>
    <row r="139" spans="1:220" ht="15" customHeight="1">
      <c r="A139" s="31">
        <v>3</v>
      </c>
      <c r="B139" s="105" t="str">
        <f>VLOOKUP(Ruimtestaat[[#This Row],[Code]],Locaties[[Code]:[Locatie]],2,FALSE)</f>
        <v>Sport IKC Het Startblok</v>
      </c>
      <c r="C139" s="105" t="str">
        <f>VLOOKUP(Ruimtestaat[[#This Row],[Code]],Locaties[[#All],[Code]:[Adres]],4,FALSE)</f>
        <v>Klapstraat 205</v>
      </c>
      <c r="D139" s="105" t="str">
        <f>VLOOKUP(Ruimtestaat[[#This Row],[Code]],Locaties[[#All],[Code]:[Postcode]],5,FALSE)</f>
        <v>6931 CH</v>
      </c>
      <c r="E139" s="105" t="str">
        <f>VLOOKUP(Ruimtestaat[[#This Row],[Code]],Locaties[#All],6,FALSE)</f>
        <v>Westervoort</v>
      </c>
      <c r="F139" s="73" t="s">
        <v>1795</v>
      </c>
      <c r="G139" s="73"/>
      <c r="H139" s="31" t="s">
        <v>1683</v>
      </c>
      <c r="I139" s="113" t="s">
        <v>1781</v>
      </c>
      <c r="J139" s="31">
        <v>2</v>
      </c>
      <c r="K139" s="113" t="str">
        <f>VLOOKUP(Ruimtestaat[[#This Row],[Ruimte code]],Ruimtegroepen[[#All],[Code]:[Ruimte omschrijving]],2,FALSE)</f>
        <v>Kantoren</v>
      </c>
      <c r="L139" s="73" t="s">
        <v>102</v>
      </c>
      <c r="M139" s="273" t="s">
        <v>120</v>
      </c>
      <c r="N139" s="106">
        <v>10</v>
      </c>
      <c r="O139" s="112"/>
      <c r="P139" s="112"/>
      <c r="Q139" s="107" t="str">
        <f>VLOOKUP(Ruimtestaat[[#This Row],[Ruimte code]],Ruimtegroepen[],4,FALSE)</f>
        <v>Bu</v>
      </c>
      <c r="R139" s="73">
        <v>40</v>
      </c>
      <c r="S139" s="73" t="s">
        <v>15</v>
      </c>
      <c r="T139" s="73">
        <f>IF(R139&gt;0,IF(RIGHT(Ruimtestaat[[#This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39" s="73">
        <f>IF(T139&gt;0,VLOOKUP($J139,Ruimtegroepen[],3,FALSE)*VLOOKUP($L139,Vloersoorten[],3,FALSE)*VLOOKUP($S139,Frequenties[],3,FALSE)*VLOOKUP($A139,Locaties[],3,FALSE),0)</f>
        <v>0</v>
      </c>
      <c r="V139" s="73">
        <f>Ruimtestaat[[#This Row],[Uitvoeringen werkdagen]]*Ruimtestaat[[#This Row],[Oppervlak (netto)]]</f>
        <v>400</v>
      </c>
      <c r="W139" s="108">
        <f>IF(U139&gt;0,Ruimtestaat[[#This Row],[Prest. (m2 /jaar) werkdagen]]/Ruimtestaat[[#This Row],[Norm (m2/uur) werkdagen]],0)</f>
        <v>0</v>
      </c>
      <c r="X139" s="109">
        <f>Ruimtestaat[[#This Row],[uren / jaar werkdagen]]*Tariefsopbouw!$E$35</f>
        <v>0</v>
      </c>
      <c r="Y139" s="73"/>
      <c r="Z139" s="73">
        <f>IF(Ruimtestaat[[#This Row],[Frequentie weekend]]&gt;0,VALUE(LEFT(Y139,1))*R139,0)</f>
        <v>0</v>
      </c>
      <c r="AA139" s="72">
        <f>IF($Z139&gt;0,VLOOKUP($J139,Ruimtegroepen[],3,FALSE)*VLOOKUP($L139,Vloersoorten[],3,FALSE)*VLOOKUP($Y139,Frequenties[],3,FALSE)*VLOOKUP(Ruimtestaat[[#This Row],[Code]],Locaties[],3,FALSE),0)</f>
        <v>0</v>
      </c>
      <c r="AB139" s="72">
        <f>Ruimtestaat[[#This Row],[Uitvoeringen weekend]]*Ruimtestaat[[#This Row],[Oppervlak (netto)]]</f>
        <v>0</v>
      </c>
      <c r="AC139" s="72">
        <f>IF(AA139&gt;0,Ruimtestaat[[#This Row],[Prest. (m2 /jaar) weekend]]/Ruimtestaat[[#This Row],[Norm (m2/uur) weekend]],0)</f>
        <v>0</v>
      </c>
      <c r="AD139" s="109">
        <f>Ruimtestaat[[#This Row],[uren / jaar weekend]]*Tariefsopbouw!$D$40</f>
        <v>0</v>
      </c>
      <c r="AE139" s="108">
        <f>Ruimtestaat[[#This Row],[Prest. (m2 /jaar) weekend]]+Ruimtestaat[[#This Row],[Prest. (m2 /jaar) werkdagen]]</f>
        <v>400</v>
      </c>
      <c r="AF139" s="108">
        <f>Ruimtestaat[[#This Row],[uren / jaar weekend]]+Ruimtestaat[[#This Row],[uren / jaar werkdagen]]</f>
        <v>0</v>
      </c>
      <c r="AG139" s="103">
        <f>Ruimtestaat[[#This Row],[kosten / jaar weekend]]+Ruimtestaat[[#This Row],[kosten / jaar werkdagen]]</f>
        <v>0</v>
      </c>
      <c r="AH139" s="103"/>
      <c r="AI139" s="110" t="str">
        <f>IF(Ruimtestaat[[#This Row],[Frequentie werkdagen]]="","",_xlfn.CONCAT(Ruimtestaat[[#This Row],[Ruimte code]],"-",Ruimtestaat[[#This Row],[Frequentie werkdagen]]," ",Ruimtestaat[[#This Row],[Vloer code]]))</f>
        <v>2-1w P</v>
      </c>
      <c r="AJ139" s="114" t="str">
        <f>_xlfn.IFNA(VLOOKUP($AI139,Programma!$F$3:$G$1101,2,0),"")</f>
        <v>_</v>
      </c>
      <c r="AK139" s="114" t="str">
        <f>_xlfn.IFNA(VLOOKUP($AI139,Programma!$F$3:$H$1101,3,0),"")</f>
        <v>_</v>
      </c>
      <c r="AL139" s="114" t="str">
        <f>_xlfn.IFNA(VLOOKUP($AI139,Programma!$F$3:$I$1101,4,0),"")</f>
        <v>_</v>
      </c>
      <c r="AM139" s="114" t="str">
        <f>_xlfn.IFNA(VLOOKUP($AI139,Programma!$F$3:$J$1101,5,0),"")</f>
        <v>1w</v>
      </c>
      <c r="AN139" s="114" t="str">
        <f>_xlfn.IFNA(VLOOKUP($AI139,Programma!$F$3:$K$1101,6,0),"")</f>
        <v>1j</v>
      </c>
      <c r="AO139" s="114" t="str">
        <f>_xlfn.IFNA(VLOOKUP($AI139,Programma!$F$3:$L$1101,7,0),"")</f>
        <v>_</v>
      </c>
      <c r="AP139" s="114" t="str">
        <f>_xlfn.IFNA(VLOOKUP($AI139,Programma!$F$3:$M$1101,8,0),"")</f>
        <v>_</v>
      </c>
      <c r="AQ139" s="114" t="str">
        <f>_xlfn.IFNA(VLOOKUP($AI139,Programma!$F$3:$N$1101,9,0),"")</f>
        <v>_</v>
      </c>
      <c r="AR139" s="114" t="str">
        <f>_xlfn.IFNA(VLOOKUP($AI139,Programma!$F$3:$O$1101,10,0),"")</f>
        <v>1w</v>
      </c>
      <c r="AS139" s="114" t="str">
        <f>_xlfn.IFNA(VLOOKUP($AI139,Programma!$F$3:$P$1101,11,0),"")</f>
        <v>1w</v>
      </c>
      <c r="AT139" s="114" t="str">
        <f>_xlfn.IFNA(VLOOKUP($AI139,Programma!$F$3:$Q$1101,12,0),"")</f>
        <v>1w</v>
      </c>
      <c r="AU139" s="114" t="str">
        <f>_xlfn.IFNA(VLOOKUP($AI139,Programma!$F$3:$R$1101,13,0),"")</f>
        <v>1w</v>
      </c>
      <c r="AV139" s="114" t="str">
        <f>_xlfn.IFNA(VLOOKUP($AI139,Programma!$F$3:$S$1101,14,0),"")</f>
        <v>1m</v>
      </c>
      <c r="AW139" s="114" t="str">
        <f>_xlfn.IFNA(VLOOKUP($AI139,Programma!$F$3:$T$1101,15,0),"")</f>
        <v>2j</v>
      </c>
      <c r="AX139" s="114" t="str">
        <f>_xlfn.IFNA(VLOOKUP($AI139,Programma!$F$3:$U$1101,16,0),"")</f>
        <v>1j</v>
      </c>
      <c r="AY139" s="114" t="str">
        <f>_xlfn.IFNA(VLOOKUP($AI139,Programma!$F$3:$V$1101,17,0),"")</f>
        <v>_</v>
      </c>
      <c r="AZ139" s="114" t="str">
        <f>_xlfn.IFNA(VLOOKUP($AI139,Programma!$F$3:$W$1101,18,0),"")</f>
        <v>_</v>
      </c>
      <c r="BA139" s="114" t="str">
        <f>_xlfn.IFNA(VLOOKUP($AI139,Programma!$F$3:$X$1101,19,0),"")</f>
        <v>_</v>
      </c>
      <c r="BB139" s="114" t="str">
        <f>_xlfn.IFNA(VLOOKUP($AI139,Programma!$F$3:$Y$1101,20,0),"")</f>
        <v>_</v>
      </c>
      <c r="BC139" s="111"/>
      <c r="BD139" s="110" t="str">
        <f>IF(Ruimtestaat[[#This Row],[Frequentie weekend]]="","",_xlfn.CONCAT(Ruimtestaat[[#This Row],[Ruimte code]],"-",Ruimtestaat[[#This Row],[Frequentie weekend]]," ",Ruimtestaat[[#This Row],[Vloer code]]))</f>
        <v/>
      </c>
      <c r="BE139" s="114" t="str">
        <f>_xlfn.IFNA(VLOOKUP($BD139,Programma!$F$3:$G$1101,2,0),"")</f>
        <v/>
      </c>
      <c r="BF139" s="114" t="str">
        <f>_xlfn.IFNA(VLOOKUP($BD139,Programma!$F$3:$H$1101,3,0),"")</f>
        <v/>
      </c>
      <c r="BG139" s="114" t="str">
        <f>_xlfn.IFNA(VLOOKUP($BD139,Programma!$F$3:$I$1101,4,0),"")</f>
        <v/>
      </c>
      <c r="BH139" s="114" t="str">
        <f>_xlfn.IFNA(VLOOKUP($BD139,Programma!$F$3:$J$1101,5,0),"")</f>
        <v/>
      </c>
      <c r="BI139" s="114" t="str">
        <f>_xlfn.IFNA(VLOOKUP($BD139,Programma!$F$3:$K$1101,6,0),"")</f>
        <v/>
      </c>
      <c r="BJ139" s="114" t="str">
        <f>_xlfn.IFNA(VLOOKUP($BD139,Programma!$F$3:$L$1101,7,0),"")</f>
        <v/>
      </c>
      <c r="BK139" s="114" t="str">
        <f>_xlfn.IFNA(VLOOKUP($BD139,Programma!$F$3:$M$1101,8,0),"")</f>
        <v/>
      </c>
      <c r="BL139" s="114" t="str">
        <f>_xlfn.IFNA(VLOOKUP($BD139,Programma!$F$3:$N$1101,9,0),"")</f>
        <v/>
      </c>
      <c r="BM139" s="114" t="str">
        <f>_xlfn.IFNA(VLOOKUP($BD139,Programma!$F$3:$O$1101,10,0),"")</f>
        <v/>
      </c>
      <c r="BN139" s="114" t="str">
        <f>_xlfn.IFNA(VLOOKUP($BD139,Programma!$F$3:$P$1101,11,0),"")</f>
        <v/>
      </c>
      <c r="BO139" s="114" t="str">
        <f>_xlfn.IFNA(VLOOKUP($BD139,Programma!$F$3:$Q$1101,12,0),"")</f>
        <v/>
      </c>
      <c r="BP139" s="114" t="str">
        <f>_xlfn.IFNA(VLOOKUP($BD139,Programma!$F$3:$R$1101,13,0),"")</f>
        <v/>
      </c>
      <c r="BQ139" s="114" t="str">
        <f>_xlfn.IFNA(VLOOKUP($BD139,Programma!$F$3:$S$1101,14,0),"")</f>
        <v/>
      </c>
      <c r="BR139" s="114" t="str">
        <f>_xlfn.IFNA(VLOOKUP($BD139,Programma!$F$3:$T$1101,15,0),"")</f>
        <v/>
      </c>
      <c r="BS139" s="114" t="str">
        <f>_xlfn.IFNA(VLOOKUP($BD139,Programma!$F$3:$U$1101,16,0),"")</f>
        <v/>
      </c>
      <c r="BT139" s="114" t="str">
        <f>_xlfn.IFNA(VLOOKUP($BD139,Programma!$F$3:$V$1101,17,0),"")</f>
        <v/>
      </c>
      <c r="BU139" s="114" t="str">
        <f>_xlfn.IFNA(VLOOKUP($BD139,Programma!$F$3:$W$1101,18,0),"")</f>
        <v/>
      </c>
      <c r="BV139" s="114" t="str">
        <f>_xlfn.IFNA(VLOOKUP($BD139,Programma!$F$3:$X$1101,19,0),"")</f>
        <v/>
      </c>
      <c r="BW139" s="114" t="str">
        <f>_xlfn.IFNA(VLOOKUP($BD139,Programma!$F$3:$Y$1101,20,0),"")</f>
        <v/>
      </c>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c r="FJ139" s="28"/>
      <c r="FK139" s="28"/>
      <c r="FL139" s="28"/>
      <c r="FM139" s="28"/>
      <c r="FN139" s="28"/>
      <c r="FO139" s="28"/>
      <c r="FP139" s="28"/>
      <c r="FQ139" s="28"/>
      <c r="FR139" s="28"/>
      <c r="FS139" s="28"/>
      <c r="FT139" s="28"/>
      <c r="FU139" s="28"/>
      <c r="FV139" s="28"/>
      <c r="FW139" s="28"/>
      <c r="FX139" s="28"/>
      <c r="FY139" s="28"/>
      <c r="FZ139" s="28"/>
      <c r="GA139" s="28"/>
      <c r="GB139" s="28"/>
      <c r="GC139" s="28"/>
      <c r="GD139" s="28"/>
      <c r="GE139" s="28"/>
      <c r="GF139" s="28"/>
      <c r="GG139" s="28"/>
      <c r="GH139" s="28"/>
      <c r="GI139" s="28"/>
      <c r="GJ139" s="28"/>
      <c r="GK139" s="28"/>
      <c r="GL139" s="28"/>
      <c r="GM139" s="28"/>
      <c r="GN139" s="28"/>
      <c r="GO139" s="28"/>
      <c r="GP139" s="28"/>
      <c r="GQ139" s="28"/>
      <c r="GR139" s="28"/>
      <c r="GS139" s="28"/>
      <c r="GT139" s="28"/>
      <c r="GU139" s="28"/>
      <c r="GV139" s="28"/>
      <c r="GW139" s="28"/>
      <c r="GX139" s="28"/>
      <c r="GY139" s="28"/>
      <c r="GZ139" s="28"/>
      <c r="HA139" s="28"/>
      <c r="HB139" s="28"/>
      <c r="HC139" s="28"/>
      <c r="HD139" s="28"/>
      <c r="HE139" s="28"/>
      <c r="HF139" s="28"/>
      <c r="HG139" s="28"/>
      <c r="HH139" s="28"/>
      <c r="HI139" s="28"/>
      <c r="HJ139" s="28"/>
      <c r="HK139" s="28"/>
      <c r="HL139" s="28"/>
    </row>
    <row r="140" spans="1:220" ht="15" customHeight="1">
      <c r="A140" s="31">
        <v>3</v>
      </c>
      <c r="B140" s="105" t="str">
        <f>VLOOKUP(Ruimtestaat[[#This Row],[Code]],Locaties[[Code]:[Locatie]],2,FALSE)</f>
        <v>Sport IKC Het Startblok</v>
      </c>
      <c r="C140" s="105" t="str">
        <f>VLOOKUP(Ruimtestaat[[#This Row],[Code]],Locaties[[#All],[Code]:[Adres]],4,FALSE)</f>
        <v>Klapstraat 205</v>
      </c>
      <c r="D140" s="105" t="str">
        <f>VLOOKUP(Ruimtestaat[[#This Row],[Code]],Locaties[[#All],[Code]:[Postcode]],5,FALSE)</f>
        <v>6931 CH</v>
      </c>
      <c r="E140" s="105" t="str">
        <f>VLOOKUP(Ruimtestaat[[#This Row],[Code]],Locaties[#All],6,FALSE)</f>
        <v>Westervoort</v>
      </c>
      <c r="F140" s="73" t="s">
        <v>1795</v>
      </c>
      <c r="G140" s="73"/>
      <c r="H140" s="31" t="s">
        <v>1684</v>
      </c>
      <c r="I140" s="113" t="s">
        <v>1722</v>
      </c>
      <c r="J140" s="31">
        <v>20</v>
      </c>
      <c r="K140" s="113" t="str">
        <f>VLOOKUP(Ruimtestaat[[#This Row],[Ruimte code]],Ruimtegroepen[[#All],[Code]:[Ruimte omschrijving]],2,FALSE)</f>
        <v>Niet in Onderhoud</v>
      </c>
      <c r="L140" s="73"/>
      <c r="M140" s="273"/>
      <c r="N140" s="106"/>
      <c r="O140" s="112"/>
      <c r="P140" s="112"/>
      <c r="Q140" s="107">
        <f>VLOOKUP(Ruimtestaat[[#This Row],[Ruimte code]],Ruimtegroepen[],4,FALSE)</f>
        <v>0</v>
      </c>
      <c r="R140" s="73"/>
      <c r="S140" s="73"/>
      <c r="T140" s="73">
        <f>IF(R140&gt;0,IF(RIGHT(Ruimtestaat[[#This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0" s="73">
        <f>IF(T140&gt;0,VLOOKUP($J140,Ruimtegroepen[],3,FALSE)*VLOOKUP($L140,Vloersoorten[],3,FALSE)*VLOOKUP($S140,Frequenties[],3,FALSE)*VLOOKUP($A140,Locaties[],3,FALSE),0)</f>
        <v>0</v>
      </c>
      <c r="V140" s="73">
        <f>Ruimtestaat[[#This Row],[Uitvoeringen werkdagen]]*Ruimtestaat[[#This Row],[Oppervlak (netto)]]</f>
        <v>0</v>
      </c>
      <c r="W140" s="108">
        <f>IF(U140&gt;0,Ruimtestaat[[#This Row],[Prest. (m2 /jaar) werkdagen]]/Ruimtestaat[[#This Row],[Norm (m2/uur) werkdagen]],0)</f>
        <v>0</v>
      </c>
      <c r="X140" s="109">
        <f>Ruimtestaat[[#This Row],[uren / jaar werkdagen]]*Tariefsopbouw!$E$35</f>
        <v>0</v>
      </c>
      <c r="Y140" s="73"/>
      <c r="Z140" s="73">
        <f>IF(Ruimtestaat[[#This Row],[Frequentie weekend]]&gt;0,VALUE(LEFT(Y140,1))*R140,0)</f>
        <v>0</v>
      </c>
      <c r="AA140" s="72">
        <f>IF($Z140&gt;0,VLOOKUP($J140,Ruimtegroepen[],3,FALSE)*VLOOKUP($L140,Vloersoorten[],3,FALSE)*VLOOKUP($Y140,Frequenties[],3,FALSE)*VLOOKUP(Ruimtestaat[[#This Row],[Code]],Locaties[],3,FALSE),0)</f>
        <v>0</v>
      </c>
      <c r="AB140" s="72">
        <f>Ruimtestaat[[#This Row],[Uitvoeringen weekend]]*Ruimtestaat[[#This Row],[Oppervlak (netto)]]</f>
        <v>0</v>
      </c>
      <c r="AC140" s="72">
        <f>IF(AA140&gt;0,Ruimtestaat[[#This Row],[Prest. (m2 /jaar) weekend]]/Ruimtestaat[[#This Row],[Norm (m2/uur) weekend]],0)</f>
        <v>0</v>
      </c>
      <c r="AD140" s="109">
        <f>Ruimtestaat[[#This Row],[uren / jaar weekend]]*Tariefsopbouw!$D$40</f>
        <v>0</v>
      </c>
      <c r="AE140" s="108">
        <f>Ruimtestaat[[#This Row],[Prest. (m2 /jaar) weekend]]+Ruimtestaat[[#This Row],[Prest. (m2 /jaar) werkdagen]]</f>
        <v>0</v>
      </c>
      <c r="AF140" s="108">
        <f>Ruimtestaat[[#This Row],[uren / jaar weekend]]+Ruimtestaat[[#This Row],[uren / jaar werkdagen]]</f>
        <v>0</v>
      </c>
      <c r="AG140" s="103">
        <f>Ruimtestaat[[#This Row],[kosten / jaar weekend]]+Ruimtestaat[[#This Row],[kosten / jaar werkdagen]]</f>
        <v>0</v>
      </c>
      <c r="AH140" s="103"/>
      <c r="AI140" s="110" t="str">
        <f>IF(Ruimtestaat[[#This Row],[Frequentie werkdagen]]="","",_xlfn.CONCAT(Ruimtestaat[[#This Row],[Ruimte code]],"-",Ruimtestaat[[#This Row],[Frequentie werkdagen]]," ",Ruimtestaat[[#This Row],[Vloer code]]))</f>
        <v/>
      </c>
      <c r="AJ140" s="114" t="str">
        <f>_xlfn.IFNA(VLOOKUP($AI140,Programma!$F$3:$G$1101,2,0),"")</f>
        <v/>
      </c>
      <c r="AK140" s="114" t="str">
        <f>_xlfn.IFNA(VLOOKUP($AI140,Programma!$F$3:$H$1101,3,0),"")</f>
        <v/>
      </c>
      <c r="AL140" s="114" t="str">
        <f>_xlfn.IFNA(VLOOKUP($AI140,Programma!$F$3:$I$1101,4,0),"")</f>
        <v/>
      </c>
      <c r="AM140" s="114" t="str">
        <f>_xlfn.IFNA(VLOOKUP($AI140,Programma!$F$3:$J$1101,5,0),"")</f>
        <v/>
      </c>
      <c r="AN140" s="114" t="str">
        <f>_xlfn.IFNA(VLOOKUP($AI140,Programma!$F$3:$K$1101,6,0),"")</f>
        <v/>
      </c>
      <c r="AO140" s="114" t="str">
        <f>_xlfn.IFNA(VLOOKUP($AI140,Programma!$F$3:$L$1101,7,0),"")</f>
        <v/>
      </c>
      <c r="AP140" s="114" t="str">
        <f>_xlfn.IFNA(VLOOKUP($AI140,Programma!$F$3:$M$1101,8,0),"")</f>
        <v/>
      </c>
      <c r="AQ140" s="114" t="str">
        <f>_xlfn.IFNA(VLOOKUP($AI140,Programma!$F$3:$N$1101,9,0),"")</f>
        <v/>
      </c>
      <c r="AR140" s="114" t="str">
        <f>_xlfn.IFNA(VLOOKUP($AI140,Programma!$F$3:$O$1101,10,0),"")</f>
        <v/>
      </c>
      <c r="AS140" s="114" t="str">
        <f>_xlfn.IFNA(VLOOKUP($AI140,Programma!$F$3:$P$1101,11,0),"")</f>
        <v/>
      </c>
      <c r="AT140" s="114" t="str">
        <f>_xlfn.IFNA(VLOOKUP($AI140,Programma!$F$3:$Q$1101,12,0),"")</f>
        <v/>
      </c>
      <c r="AU140" s="114" t="str">
        <f>_xlfn.IFNA(VLOOKUP($AI140,Programma!$F$3:$R$1101,13,0),"")</f>
        <v/>
      </c>
      <c r="AV140" s="114" t="str">
        <f>_xlfn.IFNA(VLOOKUP($AI140,Programma!$F$3:$S$1101,14,0),"")</f>
        <v/>
      </c>
      <c r="AW140" s="114" t="str">
        <f>_xlfn.IFNA(VLOOKUP($AI140,Programma!$F$3:$T$1101,15,0),"")</f>
        <v/>
      </c>
      <c r="AX140" s="114" t="str">
        <f>_xlfn.IFNA(VLOOKUP($AI140,Programma!$F$3:$U$1101,16,0),"")</f>
        <v/>
      </c>
      <c r="AY140" s="114" t="str">
        <f>_xlfn.IFNA(VLOOKUP($AI140,Programma!$F$3:$V$1101,17,0),"")</f>
        <v/>
      </c>
      <c r="AZ140" s="114" t="str">
        <f>_xlfn.IFNA(VLOOKUP($AI140,Programma!$F$3:$W$1101,18,0),"")</f>
        <v/>
      </c>
      <c r="BA140" s="114" t="str">
        <f>_xlfn.IFNA(VLOOKUP($AI140,Programma!$F$3:$X$1101,19,0),"")</f>
        <v/>
      </c>
      <c r="BB140" s="114" t="str">
        <f>_xlfn.IFNA(VLOOKUP($AI140,Programma!$F$3:$Y$1101,20,0),"")</f>
        <v/>
      </c>
      <c r="BC140" s="111"/>
      <c r="BD140" s="110" t="str">
        <f>IF(Ruimtestaat[[#This Row],[Frequentie weekend]]="","",_xlfn.CONCAT(Ruimtestaat[[#This Row],[Ruimte code]],"-",Ruimtestaat[[#This Row],[Frequentie weekend]]," ",Ruimtestaat[[#This Row],[Vloer code]]))</f>
        <v/>
      </c>
      <c r="BE140" s="114" t="str">
        <f>_xlfn.IFNA(VLOOKUP($BD140,Programma!$F$3:$G$1101,2,0),"")</f>
        <v/>
      </c>
      <c r="BF140" s="114" t="str">
        <f>_xlfn.IFNA(VLOOKUP($BD140,Programma!$F$3:$H$1101,3,0),"")</f>
        <v/>
      </c>
      <c r="BG140" s="114" t="str">
        <f>_xlfn.IFNA(VLOOKUP($BD140,Programma!$F$3:$I$1101,4,0),"")</f>
        <v/>
      </c>
      <c r="BH140" s="114" t="str">
        <f>_xlfn.IFNA(VLOOKUP($BD140,Programma!$F$3:$J$1101,5,0),"")</f>
        <v/>
      </c>
      <c r="BI140" s="114" t="str">
        <f>_xlfn.IFNA(VLOOKUP($BD140,Programma!$F$3:$K$1101,6,0),"")</f>
        <v/>
      </c>
      <c r="BJ140" s="114" t="str">
        <f>_xlfn.IFNA(VLOOKUP($BD140,Programma!$F$3:$L$1101,7,0),"")</f>
        <v/>
      </c>
      <c r="BK140" s="114" t="str">
        <f>_xlfn.IFNA(VLOOKUP($BD140,Programma!$F$3:$M$1101,8,0),"")</f>
        <v/>
      </c>
      <c r="BL140" s="114" t="str">
        <f>_xlfn.IFNA(VLOOKUP($BD140,Programma!$F$3:$N$1101,9,0),"")</f>
        <v/>
      </c>
      <c r="BM140" s="114" t="str">
        <f>_xlfn.IFNA(VLOOKUP($BD140,Programma!$F$3:$O$1101,10,0),"")</f>
        <v/>
      </c>
      <c r="BN140" s="114" t="str">
        <f>_xlfn.IFNA(VLOOKUP($BD140,Programma!$F$3:$P$1101,11,0),"")</f>
        <v/>
      </c>
      <c r="BO140" s="114" t="str">
        <f>_xlfn.IFNA(VLOOKUP($BD140,Programma!$F$3:$Q$1101,12,0),"")</f>
        <v/>
      </c>
      <c r="BP140" s="114" t="str">
        <f>_xlfn.IFNA(VLOOKUP($BD140,Programma!$F$3:$R$1101,13,0),"")</f>
        <v/>
      </c>
      <c r="BQ140" s="114" t="str">
        <f>_xlfn.IFNA(VLOOKUP($BD140,Programma!$F$3:$S$1101,14,0),"")</f>
        <v/>
      </c>
      <c r="BR140" s="114" t="str">
        <f>_xlfn.IFNA(VLOOKUP($BD140,Programma!$F$3:$T$1101,15,0),"")</f>
        <v/>
      </c>
      <c r="BS140" s="114" t="str">
        <f>_xlfn.IFNA(VLOOKUP($BD140,Programma!$F$3:$U$1101,16,0),"")</f>
        <v/>
      </c>
      <c r="BT140" s="114" t="str">
        <f>_xlfn.IFNA(VLOOKUP($BD140,Programma!$F$3:$V$1101,17,0),"")</f>
        <v/>
      </c>
      <c r="BU140" s="114" t="str">
        <f>_xlfn.IFNA(VLOOKUP($BD140,Programma!$F$3:$W$1101,18,0),"")</f>
        <v/>
      </c>
      <c r="BV140" s="114" t="str">
        <f>_xlfn.IFNA(VLOOKUP($BD140,Programma!$F$3:$X$1101,19,0),"")</f>
        <v/>
      </c>
      <c r="BW140" s="114" t="str">
        <f>_xlfn.IFNA(VLOOKUP($BD140,Programma!$F$3:$Y$1101,20,0),"")</f>
        <v/>
      </c>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c r="HL140" s="28"/>
    </row>
    <row r="141" spans="1:220" ht="15" customHeight="1">
      <c r="A141" s="31">
        <v>3</v>
      </c>
      <c r="B141" s="105" t="str">
        <f>VLOOKUP(Ruimtestaat[[#This Row],[Code]],Locaties[[Code]:[Locatie]],2,FALSE)</f>
        <v>Sport IKC Het Startblok</v>
      </c>
      <c r="C141" s="105" t="str">
        <f>VLOOKUP(Ruimtestaat[[#This Row],[Code]],Locaties[[#All],[Code]:[Adres]],4,FALSE)</f>
        <v>Klapstraat 205</v>
      </c>
      <c r="D141" s="105" t="str">
        <f>VLOOKUP(Ruimtestaat[[#This Row],[Code]],Locaties[[#All],[Code]:[Postcode]],5,FALSE)</f>
        <v>6931 CH</v>
      </c>
      <c r="E141" s="105" t="str">
        <f>VLOOKUP(Ruimtestaat[[#This Row],[Code]],Locaties[#All],6,FALSE)</f>
        <v>Westervoort</v>
      </c>
      <c r="F141" s="73" t="s">
        <v>1795</v>
      </c>
      <c r="G141" s="73"/>
      <c r="H141" s="31" t="s">
        <v>1685</v>
      </c>
      <c r="I141" s="113" t="s">
        <v>1782</v>
      </c>
      <c r="J141" s="31">
        <v>1</v>
      </c>
      <c r="K141" s="113" t="str">
        <f>VLOOKUP(Ruimtestaat[[#This Row],[Ruimte code]],Ruimtegroepen[[#All],[Code]:[Ruimte omschrijving]],2,FALSE)</f>
        <v>Magazijnen/bergingen</v>
      </c>
      <c r="L141" s="73" t="s">
        <v>102</v>
      </c>
      <c r="M141" s="273" t="s">
        <v>120</v>
      </c>
      <c r="N141" s="106">
        <v>6.6000000000000005</v>
      </c>
      <c r="O141" s="112"/>
      <c r="P141" s="73"/>
      <c r="Q141" s="107" t="str">
        <f>VLOOKUP(Ruimtestaat[[#This Row],[Ruimte code]],Ruimtegroepen[],4,FALSE)</f>
        <v>Ve</v>
      </c>
      <c r="R141" s="73">
        <v>40</v>
      </c>
      <c r="S141" s="73" t="s">
        <v>16</v>
      </c>
      <c r="T141" s="73">
        <f>IF(R141&gt;0,IF(RIGHT(Ruimtestaat[[#This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41" s="73">
        <f>IF(T141&gt;0,VLOOKUP($J141,Ruimtegroepen[],3,FALSE)*VLOOKUP($L141,Vloersoorten[],3,FALSE)*VLOOKUP($S141,Frequenties[],3,FALSE)*VLOOKUP($A141,Locaties[],3,FALSE),0)</f>
        <v>0</v>
      </c>
      <c r="V141" s="73">
        <f>Ruimtestaat[[#This Row],[Uitvoeringen werkdagen]]*Ruimtestaat[[#This Row],[Oppervlak (netto)]]</f>
        <v>79.2</v>
      </c>
      <c r="W141" s="108">
        <f>IF(U141&gt;0,Ruimtestaat[[#This Row],[Prest. (m2 /jaar) werkdagen]]/Ruimtestaat[[#This Row],[Norm (m2/uur) werkdagen]],0)</f>
        <v>0</v>
      </c>
      <c r="X141" s="109">
        <f>Ruimtestaat[[#This Row],[uren / jaar werkdagen]]*Tariefsopbouw!$E$35</f>
        <v>0</v>
      </c>
      <c r="Y141" s="73"/>
      <c r="Z141" s="73">
        <f>IF(Ruimtestaat[[#This Row],[Frequentie weekend]]&gt;0,VALUE(LEFT(Y141,1))*R141,0)</f>
        <v>0</v>
      </c>
      <c r="AA141" s="72">
        <f>IF($Z141&gt;0,VLOOKUP($J141,Ruimtegroepen[],3,FALSE)*VLOOKUP($L141,Vloersoorten[],3,FALSE)*VLOOKUP($Y141,Frequenties[],3,FALSE)*VLOOKUP(Ruimtestaat[[#This Row],[Code]],Locaties[],3,FALSE),0)</f>
        <v>0</v>
      </c>
      <c r="AB141" s="72">
        <f>Ruimtestaat[[#This Row],[Uitvoeringen weekend]]*Ruimtestaat[[#This Row],[Oppervlak (netto)]]</f>
        <v>0</v>
      </c>
      <c r="AC141" s="72">
        <f>IF(AA141&gt;0,Ruimtestaat[[#This Row],[Prest. (m2 /jaar) weekend]]/Ruimtestaat[[#This Row],[Norm (m2/uur) weekend]],0)</f>
        <v>0</v>
      </c>
      <c r="AD141" s="109">
        <f>Ruimtestaat[[#This Row],[uren / jaar weekend]]*Tariefsopbouw!$D$40</f>
        <v>0</v>
      </c>
      <c r="AE141" s="108">
        <f>Ruimtestaat[[#This Row],[Prest. (m2 /jaar) weekend]]+Ruimtestaat[[#This Row],[Prest. (m2 /jaar) werkdagen]]</f>
        <v>79.2</v>
      </c>
      <c r="AF141" s="108">
        <f>Ruimtestaat[[#This Row],[uren / jaar weekend]]+Ruimtestaat[[#This Row],[uren / jaar werkdagen]]</f>
        <v>0</v>
      </c>
      <c r="AG141" s="103">
        <f>Ruimtestaat[[#This Row],[kosten / jaar weekend]]+Ruimtestaat[[#This Row],[kosten / jaar werkdagen]]</f>
        <v>0</v>
      </c>
      <c r="AH141" s="103"/>
      <c r="AI141" s="110" t="str">
        <f>IF(Ruimtestaat[[#This Row],[Frequentie werkdagen]]="","",_xlfn.CONCAT(Ruimtestaat[[#This Row],[Ruimte code]],"-",Ruimtestaat[[#This Row],[Frequentie werkdagen]]," ",Ruimtestaat[[#This Row],[Vloer code]]))</f>
        <v>1-1m P</v>
      </c>
      <c r="AJ141" s="114" t="str">
        <f>_xlfn.IFNA(VLOOKUP($AI141,Programma!$F$3:$G$1101,2,0),"")</f>
        <v>_</v>
      </c>
      <c r="AK141" s="114" t="str">
        <f>_xlfn.IFNA(VLOOKUP($AI141,Programma!$F$3:$H$1101,3,0),"")</f>
        <v>_</v>
      </c>
      <c r="AL141" s="114" t="str">
        <f>_xlfn.IFNA(VLOOKUP($AI141,Programma!$F$3:$I$1101,4,0),"")</f>
        <v>1m</v>
      </c>
      <c r="AM141" s="114" t="str">
        <f>_xlfn.IFNA(VLOOKUP($AI141,Programma!$F$3:$J$1101,5,0),"")</f>
        <v>1m</v>
      </c>
      <c r="AN141" s="114" t="str">
        <f>_xlfn.IFNA(VLOOKUP($AI141,Programma!$F$3:$K$1101,6,0),"")</f>
        <v>1j</v>
      </c>
      <c r="AO141" s="114" t="str">
        <f>_xlfn.IFNA(VLOOKUP($AI141,Programma!$F$3:$L$1101,7,0),"")</f>
        <v>_</v>
      </c>
      <c r="AP141" s="114" t="str">
        <f>_xlfn.IFNA(VLOOKUP($AI141,Programma!$F$3:$M$1101,8,0),"")</f>
        <v>_</v>
      </c>
      <c r="AQ141" s="114" t="str">
        <f>_xlfn.IFNA(VLOOKUP($AI141,Programma!$F$3:$N$1101,9,0),"")</f>
        <v>_</v>
      </c>
      <c r="AR141" s="114" t="str">
        <f>_xlfn.IFNA(VLOOKUP($AI141,Programma!$F$3:$O$1101,10,0),"")</f>
        <v>_</v>
      </c>
      <c r="AS141" s="114" t="str">
        <f>_xlfn.IFNA(VLOOKUP($AI141,Programma!$F$3:$P$1101,11,0),"")</f>
        <v>_</v>
      </c>
      <c r="AT141" s="114" t="str">
        <f>_xlfn.IFNA(VLOOKUP($AI141,Programma!$F$3:$Q$1101,12,0),"")</f>
        <v>_</v>
      </c>
      <c r="AU141" s="114" t="str">
        <f>_xlfn.IFNA(VLOOKUP($AI141,Programma!$F$3:$R$1101,13,0),"")</f>
        <v>_</v>
      </c>
      <c r="AV141" s="114" t="str">
        <f>_xlfn.IFNA(VLOOKUP($AI141,Programma!$F$3:$S$1101,14,0),"")</f>
        <v>1m</v>
      </c>
      <c r="AW141" s="114" t="str">
        <f>_xlfn.IFNA(VLOOKUP($AI141,Programma!$F$3:$T$1101,15,0),"")</f>
        <v>4j</v>
      </c>
      <c r="AX141" s="114" t="str">
        <f>_xlfn.IFNA(VLOOKUP($AI141,Programma!$F$3:$U$1101,16,0),"")</f>
        <v>4j</v>
      </c>
      <c r="AY141" s="114" t="str">
        <f>_xlfn.IFNA(VLOOKUP($AI141,Programma!$F$3:$V$1101,17,0),"")</f>
        <v>_</v>
      </c>
      <c r="AZ141" s="114" t="str">
        <f>_xlfn.IFNA(VLOOKUP($AI141,Programma!$F$3:$W$1101,18,0),"")</f>
        <v>_</v>
      </c>
      <c r="BA141" s="114" t="str">
        <f>_xlfn.IFNA(VLOOKUP($AI141,Programma!$F$3:$X$1101,19,0),"")</f>
        <v>_</v>
      </c>
      <c r="BB141" s="114" t="str">
        <f>_xlfn.IFNA(VLOOKUP($AI141,Programma!$F$3:$Y$1101,20,0),"")</f>
        <v>_</v>
      </c>
      <c r="BC141" s="111"/>
      <c r="BD141" s="110" t="str">
        <f>IF(Ruimtestaat[[#This Row],[Frequentie weekend]]="","",_xlfn.CONCAT(Ruimtestaat[[#This Row],[Ruimte code]],"-",Ruimtestaat[[#This Row],[Frequentie weekend]]," ",Ruimtestaat[[#This Row],[Vloer code]]))</f>
        <v/>
      </c>
      <c r="BE141" s="114" t="str">
        <f>_xlfn.IFNA(VLOOKUP($BD141,Programma!$F$3:$G$1101,2,0),"")</f>
        <v/>
      </c>
      <c r="BF141" s="114" t="str">
        <f>_xlfn.IFNA(VLOOKUP($BD141,Programma!$F$3:$H$1101,3,0),"")</f>
        <v/>
      </c>
      <c r="BG141" s="114" t="str">
        <f>_xlfn.IFNA(VLOOKUP($BD141,Programma!$F$3:$I$1101,4,0),"")</f>
        <v/>
      </c>
      <c r="BH141" s="114" t="str">
        <f>_xlfn.IFNA(VLOOKUP($BD141,Programma!$F$3:$J$1101,5,0),"")</f>
        <v/>
      </c>
      <c r="BI141" s="114" t="str">
        <f>_xlfn.IFNA(VLOOKUP($BD141,Programma!$F$3:$K$1101,6,0),"")</f>
        <v/>
      </c>
      <c r="BJ141" s="114" t="str">
        <f>_xlfn.IFNA(VLOOKUP($BD141,Programma!$F$3:$L$1101,7,0),"")</f>
        <v/>
      </c>
      <c r="BK141" s="114" t="str">
        <f>_xlfn.IFNA(VLOOKUP($BD141,Programma!$F$3:$M$1101,8,0),"")</f>
        <v/>
      </c>
      <c r="BL141" s="114" t="str">
        <f>_xlfn.IFNA(VLOOKUP($BD141,Programma!$F$3:$N$1101,9,0),"")</f>
        <v/>
      </c>
      <c r="BM141" s="114" t="str">
        <f>_xlfn.IFNA(VLOOKUP($BD141,Programma!$F$3:$O$1101,10,0),"")</f>
        <v/>
      </c>
      <c r="BN141" s="114" t="str">
        <f>_xlfn.IFNA(VLOOKUP($BD141,Programma!$F$3:$P$1101,11,0),"")</f>
        <v/>
      </c>
      <c r="BO141" s="114" t="str">
        <f>_xlfn.IFNA(VLOOKUP($BD141,Programma!$F$3:$Q$1101,12,0),"")</f>
        <v/>
      </c>
      <c r="BP141" s="114" t="str">
        <f>_xlfn.IFNA(VLOOKUP($BD141,Programma!$F$3:$R$1101,13,0),"")</f>
        <v/>
      </c>
      <c r="BQ141" s="114" t="str">
        <f>_xlfn.IFNA(VLOOKUP($BD141,Programma!$F$3:$S$1101,14,0),"")</f>
        <v/>
      </c>
      <c r="BR141" s="114" t="str">
        <f>_xlfn.IFNA(VLOOKUP($BD141,Programma!$F$3:$T$1101,15,0),"")</f>
        <v/>
      </c>
      <c r="BS141" s="114" t="str">
        <f>_xlfn.IFNA(VLOOKUP($BD141,Programma!$F$3:$U$1101,16,0),"")</f>
        <v/>
      </c>
      <c r="BT141" s="114" t="str">
        <f>_xlfn.IFNA(VLOOKUP($BD141,Programma!$F$3:$V$1101,17,0),"")</f>
        <v/>
      </c>
      <c r="BU141" s="114" t="str">
        <f>_xlfn.IFNA(VLOOKUP($BD141,Programma!$F$3:$W$1101,18,0),"")</f>
        <v/>
      </c>
      <c r="BV141" s="114" t="str">
        <f>_xlfn.IFNA(VLOOKUP($BD141,Programma!$F$3:$X$1101,19,0),"")</f>
        <v/>
      </c>
      <c r="BW141" s="114" t="str">
        <f>_xlfn.IFNA(VLOOKUP($BD141,Programma!$F$3:$Y$1101,20,0),"")</f>
        <v/>
      </c>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c r="FJ141" s="28"/>
      <c r="FK141" s="28"/>
      <c r="FL141" s="28"/>
      <c r="FM141" s="28"/>
      <c r="FN141" s="28"/>
      <c r="FO141" s="28"/>
      <c r="FP141" s="28"/>
      <c r="FQ141" s="28"/>
      <c r="FR141" s="28"/>
      <c r="FS141" s="28"/>
      <c r="FT141" s="28"/>
      <c r="FU141" s="28"/>
      <c r="FV141" s="28"/>
      <c r="FW141" s="28"/>
      <c r="FX141" s="28"/>
      <c r="FY141" s="28"/>
      <c r="FZ141" s="28"/>
      <c r="GA141" s="28"/>
      <c r="GB141" s="28"/>
      <c r="GC141" s="28"/>
      <c r="GD141" s="28"/>
      <c r="GE141" s="28"/>
      <c r="GF141" s="28"/>
      <c r="GG141" s="28"/>
      <c r="GH141" s="28"/>
      <c r="GI141" s="28"/>
      <c r="GJ141" s="28"/>
      <c r="GK141" s="28"/>
      <c r="GL141" s="28"/>
      <c r="GM141" s="28"/>
      <c r="GN141" s="28"/>
      <c r="GO141" s="28"/>
      <c r="GP141" s="28"/>
      <c r="GQ141" s="28"/>
      <c r="GR141" s="28"/>
      <c r="GS141" s="28"/>
      <c r="GT141" s="28"/>
      <c r="GU141" s="28"/>
      <c r="GV141" s="28"/>
      <c r="GW141" s="28"/>
      <c r="GX141" s="28"/>
      <c r="GY141" s="28"/>
      <c r="GZ141" s="28"/>
      <c r="HA141" s="28"/>
      <c r="HB141" s="28"/>
      <c r="HC141" s="28"/>
      <c r="HD141" s="28"/>
      <c r="HE141" s="28"/>
      <c r="HF141" s="28"/>
      <c r="HG141" s="28"/>
      <c r="HH141" s="28"/>
      <c r="HI141" s="28"/>
      <c r="HJ141" s="28"/>
      <c r="HK141" s="28"/>
      <c r="HL141" s="28"/>
    </row>
    <row r="142" spans="1:220" ht="15" customHeight="1">
      <c r="A142" s="31">
        <v>3</v>
      </c>
      <c r="B142" s="105" t="str">
        <f>VLOOKUP(Ruimtestaat[[#This Row],[Code]],Locaties[[Code]:[Locatie]],2,FALSE)</f>
        <v>Sport IKC Het Startblok</v>
      </c>
      <c r="C142" s="105" t="str">
        <f>VLOOKUP(Ruimtestaat[[#This Row],[Code]],Locaties[[#All],[Code]:[Adres]],4,FALSE)</f>
        <v>Klapstraat 205</v>
      </c>
      <c r="D142" s="105" t="str">
        <f>VLOOKUP(Ruimtestaat[[#This Row],[Code]],Locaties[[#All],[Code]:[Postcode]],5,FALSE)</f>
        <v>6931 CH</v>
      </c>
      <c r="E142" s="105" t="str">
        <f>VLOOKUP(Ruimtestaat[[#This Row],[Code]],Locaties[#All],6,FALSE)</f>
        <v>Westervoort</v>
      </c>
      <c r="F142" s="73" t="s">
        <v>1795</v>
      </c>
      <c r="G142" s="73"/>
      <c r="H142" s="31" t="s">
        <v>1686</v>
      </c>
      <c r="I142" s="113" t="s">
        <v>1783</v>
      </c>
      <c r="J142" s="31">
        <v>5</v>
      </c>
      <c r="K142" s="113" t="str">
        <f>VLOOKUP(Ruimtestaat[[#This Row],[Ruimte code]],Ruimtegroepen[[#All],[Code]:[Ruimte omschrijving]],2,FALSE)</f>
        <v>Sanitair</v>
      </c>
      <c r="L142" s="73" t="s">
        <v>102</v>
      </c>
      <c r="M142" s="273" t="s">
        <v>120</v>
      </c>
      <c r="N142" s="106">
        <v>6.6</v>
      </c>
      <c r="O142" s="112"/>
      <c r="P142" s="112"/>
      <c r="Q142" s="107" t="str">
        <f>VLOOKUP(Ruimtestaat[[#This Row],[Ruimte code]],Ruimtegroepen[],4,FALSE)</f>
        <v>Sa</v>
      </c>
      <c r="R142" s="73">
        <v>40</v>
      </c>
      <c r="S142" s="73" t="s">
        <v>2</v>
      </c>
      <c r="T142" s="73">
        <f>IF(R142&gt;0,IF(RIGHT(Ruimtestaat[[#This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2" s="73">
        <f>IF(T142&gt;0,VLOOKUP($J142,Ruimtegroepen[],3,FALSE)*VLOOKUP($L142,Vloersoorten[],3,FALSE)*VLOOKUP($S142,Frequenties[],3,FALSE)*VLOOKUP($A142,Locaties[],3,FALSE),0)</f>
        <v>0</v>
      </c>
      <c r="V142" s="73">
        <f>Ruimtestaat[[#This Row],[Uitvoeringen werkdagen]]*Ruimtestaat[[#This Row],[Oppervlak (netto)]]</f>
        <v>1320</v>
      </c>
      <c r="W142" s="108">
        <f>IF(U142&gt;0,Ruimtestaat[[#This Row],[Prest. (m2 /jaar) werkdagen]]/Ruimtestaat[[#This Row],[Norm (m2/uur) werkdagen]],0)</f>
        <v>0</v>
      </c>
      <c r="X142" s="109">
        <f>Ruimtestaat[[#This Row],[uren / jaar werkdagen]]*Tariefsopbouw!$E$35</f>
        <v>0</v>
      </c>
      <c r="Y142" s="73"/>
      <c r="Z142" s="73">
        <f>IF(Ruimtestaat[[#This Row],[Frequentie weekend]]&gt;0,VALUE(LEFT(Y142,1))*R142,0)</f>
        <v>0</v>
      </c>
      <c r="AA142" s="72">
        <f>IF($Z142&gt;0,VLOOKUP($J142,Ruimtegroepen[],3,FALSE)*VLOOKUP($L142,Vloersoorten[],3,FALSE)*VLOOKUP($Y142,Frequenties[],3,FALSE)*VLOOKUP(Ruimtestaat[[#This Row],[Code]],Locaties[],3,FALSE),0)</f>
        <v>0</v>
      </c>
      <c r="AB142" s="72">
        <f>Ruimtestaat[[#This Row],[Uitvoeringen weekend]]*Ruimtestaat[[#This Row],[Oppervlak (netto)]]</f>
        <v>0</v>
      </c>
      <c r="AC142" s="72">
        <f>IF(AA142&gt;0,Ruimtestaat[[#This Row],[Prest. (m2 /jaar) weekend]]/Ruimtestaat[[#This Row],[Norm (m2/uur) weekend]],0)</f>
        <v>0</v>
      </c>
      <c r="AD142" s="109">
        <f>Ruimtestaat[[#This Row],[uren / jaar weekend]]*Tariefsopbouw!$D$40</f>
        <v>0</v>
      </c>
      <c r="AE142" s="108">
        <f>Ruimtestaat[[#This Row],[Prest. (m2 /jaar) weekend]]+Ruimtestaat[[#This Row],[Prest. (m2 /jaar) werkdagen]]</f>
        <v>1320</v>
      </c>
      <c r="AF142" s="108">
        <f>Ruimtestaat[[#This Row],[uren / jaar weekend]]+Ruimtestaat[[#This Row],[uren / jaar werkdagen]]</f>
        <v>0</v>
      </c>
      <c r="AG142" s="103">
        <f>Ruimtestaat[[#This Row],[kosten / jaar weekend]]+Ruimtestaat[[#This Row],[kosten / jaar werkdagen]]</f>
        <v>0</v>
      </c>
      <c r="AH142" s="103"/>
      <c r="AI142" s="110" t="str">
        <f>IF(Ruimtestaat[[#This Row],[Frequentie werkdagen]]="","",_xlfn.CONCAT(Ruimtestaat[[#This Row],[Ruimte code]],"-",Ruimtestaat[[#This Row],[Frequentie werkdagen]]," ",Ruimtestaat[[#This Row],[Vloer code]]))</f>
        <v>5-5w P</v>
      </c>
      <c r="AJ142" s="114" t="str">
        <f>_xlfn.IFNA(VLOOKUP($AI142,Programma!$F$3:$G$1101,2,0),"")</f>
        <v>_</v>
      </c>
      <c r="AK142" s="114" t="str">
        <f>_xlfn.IFNA(VLOOKUP($AI142,Programma!$F$3:$H$1101,3,0),"")</f>
        <v>_</v>
      </c>
      <c r="AL142" s="114" t="str">
        <f>_xlfn.IFNA(VLOOKUP($AI142,Programma!$F$3:$I$1101,4,0),"")</f>
        <v>_</v>
      </c>
      <c r="AM142" s="114" t="str">
        <f>_xlfn.IFNA(VLOOKUP($AI142,Programma!$F$3:$J$1101,5,0),"")</f>
        <v>4w</v>
      </c>
      <c r="AN142" s="114" t="str">
        <f>_xlfn.IFNA(VLOOKUP($AI142,Programma!$F$3:$K$1101,6,0),"")</f>
        <v>1w</v>
      </c>
      <c r="AO142" s="114" t="str">
        <f>_xlfn.IFNA(VLOOKUP($AI142,Programma!$F$3:$L$1101,7,0),"")</f>
        <v>_</v>
      </c>
      <c r="AP142" s="114" t="str">
        <f>_xlfn.IFNA(VLOOKUP($AI142,Programma!$F$3:$M$1101,8,0),"")</f>
        <v>_</v>
      </c>
      <c r="AQ142" s="114" t="str">
        <f>_xlfn.IFNA(VLOOKUP($AI142,Programma!$F$3:$N$1101,9,0),"")</f>
        <v>_</v>
      </c>
      <c r="AR142" s="114" t="str">
        <f>_xlfn.IFNA(VLOOKUP($AI142,Programma!$F$3:$O$1101,10,0),"")</f>
        <v>_</v>
      </c>
      <c r="AS142" s="114" t="str">
        <f>_xlfn.IFNA(VLOOKUP($AI142,Programma!$F$3:$P$1101,11,0),"")</f>
        <v>_</v>
      </c>
      <c r="AT142" s="114" t="str">
        <f>_xlfn.IFNA(VLOOKUP($AI142,Programma!$F$3:$Q$1101,12,0),"")</f>
        <v>_</v>
      </c>
      <c r="AU142" s="114" t="str">
        <f>_xlfn.IFNA(VLOOKUP($AI142,Programma!$F$3:$R$1101,13,0),"")</f>
        <v>_</v>
      </c>
      <c r="AV142" s="114" t="str">
        <f>_xlfn.IFNA(VLOOKUP($AI142,Programma!$F$3:$S$1101,14,0),"")</f>
        <v>_</v>
      </c>
      <c r="AW142" s="114" t="str">
        <f>_xlfn.IFNA(VLOOKUP($AI142,Programma!$F$3:$T$1101,15,0),"")</f>
        <v>_</v>
      </c>
      <c r="AX142" s="114" t="str">
        <f>_xlfn.IFNA(VLOOKUP($AI142,Programma!$F$3:$U$1101,16,0),"")</f>
        <v>_</v>
      </c>
      <c r="AY142" s="114" t="str">
        <f>_xlfn.IFNA(VLOOKUP($AI142,Programma!$F$3:$V$1101,17,0),"")</f>
        <v>_</v>
      </c>
      <c r="AZ142" s="114" t="str">
        <f>_xlfn.IFNA(VLOOKUP($AI142,Programma!$F$3:$W$1101,18,0),"")</f>
        <v>4w</v>
      </c>
      <c r="BA142" s="114" t="str">
        <f>_xlfn.IFNA(VLOOKUP($AI142,Programma!$F$3:$X$1101,19,0),"")</f>
        <v>1w</v>
      </c>
      <c r="BB142" s="114" t="str">
        <f>_xlfn.IFNA(VLOOKUP($AI142,Programma!$F$3:$Y$1101,20,0),"")</f>
        <v>_</v>
      </c>
      <c r="BC142" s="111"/>
      <c r="BD142" s="110" t="str">
        <f>IF(Ruimtestaat[[#This Row],[Frequentie weekend]]="","",_xlfn.CONCAT(Ruimtestaat[[#This Row],[Ruimte code]],"-",Ruimtestaat[[#This Row],[Frequentie weekend]]," ",Ruimtestaat[[#This Row],[Vloer code]]))</f>
        <v/>
      </c>
      <c r="BE142" s="114" t="str">
        <f>_xlfn.IFNA(VLOOKUP($BD142,Programma!$F$3:$G$1101,2,0),"")</f>
        <v/>
      </c>
      <c r="BF142" s="114" t="str">
        <f>_xlfn.IFNA(VLOOKUP($BD142,Programma!$F$3:$H$1101,3,0),"")</f>
        <v/>
      </c>
      <c r="BG142" s="114" t="str">
        <f>_xlfn.IFNA(VLOOKUP($BD142,Programma!$F$3:$I$1101,4,0),"")</f>
        <v/>
      </c>
      <c r="BH142" s="114" t="str">
        <f>_xlfn.IFNA(VLOOKUP($BD142,Programma!$F$3:$J$1101,5,0),"")</f>
        <v/>
      </c>
      <c r="BI142" s="114" t="str">
        <f>_xlfn.IFNA(VLOOKUP($BD142,Programma!$F$3:$K$1101,6,0),"")</f>
        <v/>
      </c>
      <c r="BJ142" s="114" t="str">
        <f>_xlfn.IFNA(VLOOKUP($BD142,Programma!$F$3:$L$1101,7,0),"")</f>
        <v/>
      </c>
      <c r="BK142" s="114" t="str">
        <f>_xlfn.IFNA(VLOOKUP($BD142,Programma!$F$3:$M$1101,8,0),"")</f>
        <v/>
      </c>
      <c r="BL142" s="114" t="str">
        <f>_xlfn.IFNA(VLOOKUP($BD142,Programma!$F$3:$N$1101,9,0),"")</f>
        <v/>
      </c>
      <c r="BM142" s="114" t="str">
        <f>_xlfn.IFNA(VLOOKUP($BD142,Programma!$F$3:$O$1101,10,0),"")</f>
        <v/>
      </c>
      <c r="BN142" s="114" t="str">
        <f>_xlfn.IFNA(VLOOKUP($BD142,Programma!$F$3:$P$1101,11,0),"")</f>
        <v/>
      </c>
      <c r="BO142" s="114" t="str">
        <f>_xlfn.IFNA(VLOOKUP($BD142,Programma!$F$3:$Q$1101,12,0),"")</f>
        <v/>
      </c>
      <c r="BP142" s="114" t="str">
        <f>_xlfn.IFNA(VLOOKUP($BD142,Programma!$F$3:$R$1101,13,0),"")</f>
        <v/>
      </c>
      <c r="BQ142" s="114" t="str">
        <f>_xlfn.IFNA(VLOOKUP($BD142,Programma!$F$3:$S$1101,14,0),"")</f>
        <v/>
      </c>
      <c r="BR142" s="114" t="str">
        <f>_xlfn.IFNA(VLOOKUP($BD142,Programma!$F$3:$T$1101,15,0),"")</f>
        <v/>
      </c>
      <c r="BS142" s="114" t="str">
        <f>_xlfn.IFNA(VLOOKUP($BD142,Programma!$F$3:$U$1101,16,0),"")</f>
        <v/>
      </c>
      <c r="BT142" s="114" t="str">
        <f>_xlfn.IFNA(VLOOKUP($BD142,Programma!$F$3:$V$1101,17,0),"")</f>
        <v/>
      </c>
      <c r="BU142" s="114" t="str">
        <f>_xlfn.IFNA(VLOOKUP($BD142,Programma!$F$3:$W$1101,18,0),"")</f>
        <v/>
      </c>
      <c r="BV142" s="114" t="str">
        <f>_xlfn.IFNA(VLOOKUP($BD142,Programma!$F$3:$X$1101,19,0),"")</f>
        <v/>
      </c>
      <c r="BW142" s="114" t="str">
        <f>_xlfn.IFNA(VLOOKUP($BD142,Programma!$F$3:$Y$1101,20,0),"")</f>
        <v/>
      </c>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c r="FJ142" s="28"/>
      <c r="FK142" s="28"/>
      <c r="FL142" s="28"/>
      <c r="FM142" s="28"/>
      <c r="FN142" s="28"/>
      <c r="FO142" s="28"/>
      <c r="FP142" s="28"/>
      <c r="FQ142" s="28"/>
      <c r="FR142" s="28"/>
      <c r="FS142" s="28"/>
      <c r="FT142" s="28"/>
      <c r="FU142" s="28"/>
      <c r="FV142" s="28"/>
      <c r="FW142" s="28"/>
      <c r="FX142" s="28"/>
      <c r="FY142" s="28"/>
      <c r="FZ142" s="28"/>
      <c r="GA142" s="28"/>
      <c r="GB142" s="28"/>
      <c r="GC142" s="28"/>
      <c r="GD142" s="28"/>
      <c r="GE142" s="28"/>
      <c r="GF142" s="28"/>
      <c r="GG142" s="28"/>
      <c r="GH142" s="28"/>
      <c r="GI142" s="28"/>
      <c r="GJ142" s="28"/>
      <c r="GK142" s="28"/>
      <c r="GL142" s="28"/>
      <c r="GM142" s="28"/>
      <c r="GN142" s="28"/>
      <c r="GO142" s="28"/>
      <c r="GP142" s="28"/>
      <c r="GQ142" s="28"/>
      <c r="GR142" s="28"/>
      <c r="GS142" s="28"/>
      <c r="GT142" s="28"/>
      <c r="GU142" s="28"/>
      <c r="GV142" s="28"/>
      <c r="GW142" s="28"/>
      <c r="GX142" s="28"/>
      <c r="GY142" s="28"/>
      <c r="GZ142" s="28"/>
      <c r="HA142" s="28"/>
      <c r="HB142" s="28"/>
      <c r="HC142" s="28"/>
      <c r="HD142" s="28"/>
      <c r="HE142" s="28"/>
      <c r="HF142" s="28"/>
      <c r="HG142" s="28"/>
      <c r="HH142" s="28"/>
      <c r="HI142" s="28"/>
      <c r="HJ142" s="28"/>
      <c r="HK142" s="28"/>
      <c r="HL142" s="28"/>
    </row>
    <row r="143" spans="1:220" ht="15" customHeight="1">
      <c r="A143" s="31">
        <v>3</v>
      </c>
      <c r="B143" s="105" t="str">
        <f>VLOOKUP(Ruimtestaat[[#This Row],[Code]],Locaties[[Code]:[Locatie]],2,FALSE)</f>
        <v>Sport IKC Het Startblok</v>
      </c>
      <c r="C143" s="105" t="str">
        <f>VLOOKUP(Ruimtestaat[[#This Row],[Code]],Locaties[[#All],[Code]:[Adres]],4,FALSE)</f>
        <v>Klapstraat 205</v>
      </c>
      <c r="D143" s="105" t="str">
        <f>VLOOKUP(Ruimtestaat[[#This Row],[Code]],Locaties[[#All],[Code]:[Postcode]],5,FALSE)</f>
        <v>6931 CH</v>
      </c>
      <c r="E143" s="105" t="str">
        <f>VLOOKUP(Ruimtestaat[[#This Row],[Code]],Locaties[#All],6,FALSE)</f>
        <v>Westervoort</v>
      </c>
      <c r="F143" s="73" t="s">
        <v>1795</v>
      </c>
      <c r="G143" s="73"/>
      <c r="H143" s="31" t="s">
        <v>1687</v>
      </c>
      <c r="I143" s="113" t="s">
        <v>1785</v>
      </c>
      <c r="J143" s="31">
        <v>5</v>
      </c>
      <c r="K143" s="113" t="str">
        <f>VLOOKUP(Ruimtestaat[[#This Row],[Ruimte code]],Ruimtegroepen[[#All],[Code]:[Ruimte omschrijving]],2,FALSE)</f>
        <v>Sanitair</v>
      </c>
      <c r="L143" s="73" t="s">
        <v>102</v>
      </c>
      <c r="M143" s="273" t="s">
        <v>120</v>
      </c>
      <c r="N143" s="106">
        <v>6.6</v>
      </c>
      <c r="O143" s="112"/>
      <c r="P143" s="112"/>
      <c r="Q143" s="107" t="str">
        <f>VLOOKUP(Ruimtestaat[[#This Row],[Ruimte code]],Ruimtegroepen[],4,FALSE)</f>
        <v>Sa</v>
      </c>
      <c r="R143" s="73">
        <v>40</v>
      </c>
      <c r="S143" s="73" t="s">
        <v>2</v>
      </c>
      <c r="T143" s="73">
        <f>IF(R143&gt;0,IF(RIGHT(Ruimtestaat[[#This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3" s="73">
        <f>IF(T143&gt;0,VLOOKUP($J143,Ruimtegroepen[],3,FALSE)*VLOOKUP($L143,Vloersoorten[],3,FALSE)*VLOOKUP($S143,Frequenties[],3,FALSE)*VLOOKUP($A143,Locaties[],3,FALSE),0)</f>
        <v>0</v>
      </c>
      <c r="V143" s="73">
        <f>Ruimtestaat[[#This Row],[Uitvoeringen werkdagen]]*Ruimtestaat[[#This Row],[Oppervlak (netto)]]</f>
        <v>1320</v>
      </c>
      <c r="W143" s="108">
        <f>IF(U143&gt;0,Ruimtestaat[[#This Row],[Prest. (m2 /jaar) werkdagen]]/Ruimtestaat[[#This Row],[Norm (m2/uur) werkdagen]],0)</f>
        <v>0</v>
      </c>
      <c r="X143" s="109">
        <f>Ruimtestaat[[#This Row],[uren / jaar werkdagen]]*Tariefsopbouw!$E$35</f>
        <v>0</v>
      </c>
      <c r="Y143" s="73"/>
      <c r="Z143" s="73">
        <f>IF(Ruimtestaat[[#This Row],[Frequentie weekend]]&gt;0,VALUE(LEFT(Y143,1))*R143,0)</f>
        <v>0</v>
      </c>
      <c r="AA143" s="72">
        <f>IF($Z143&gt;0,VLOOKUP($J143,Ruimtegroepen[],3,FALSE)*VLOOKUP($L143,Vloersoorten[],3,FALSE)*VLOOKUP($Y143,Frequenties[],3,FALSE)*VLOOKUP(Ruimtestaat[[#This Row],[Code]],Locaties[],3,FALSE),0)</f>
        <v>0</v>
      </c>
      <c r="AB143" s="72">
        <f>Ruimtestaat[[#This Row],[Uitvoeringen weekend]]*Ruimtestaat[[#This Row],[Oppervlak (netto)]]</f>
        <v>0</v>
      </c>
      <c r="AC143" s="72">
        <f>IF(AA143&gt;0,Ruimtestaat[[#This Row],[Prest. (m2 /jaar) weekend]]/Ruimtestaat[[#This Row],[Norm (m2/uur) weekend]],0)</f>
        <v>0</v>
      </c>
      <c r="AD143" s="109">
        <f>Ruimtestaat[[#This Row],[uren / jaar weekend]]*Tariefsopbouw!$D$40</f>
        <v>0</v>
      </c>
      <c r="AE143" s="108">
        <f>Ruimtestaat[[#This Row],[Prest. (m2 /jaar) weekend]]+Ruimtestaat[[#This Row],[Prest. (m2 /jaar) werkdagen]]</f>
        <v>1320</v>
      </c>
      <c r="AF143" s="108">
        <f>Ruimtestaat[[#This Row],[uren / jaar weekend]]+Ruimtestaat[[#This Row],[uren / jaar werkdagen]]</f>
        <v>0</v>
      </c>
      <c r="AG143" s="103">
        <f>Ruimtestaat[[#This Row],[kosten / jaar weekend]]+Ruimtestaat[[#This Row],[kosten / jaar werkdagen]]</f>
        <v>0</v>
      </c>
      <c r="AH143" s="103"/>
      <c r="AI143" s="110" t="str">
        <f>IF(Ruimtestaat[[#This Row],[Frequentie werkdagen]]="","",_xlfn.CONCAT(Ruimtestaat[[#This Row],[Ruimte code]],"-",Ruimtestaat[[#This Row],[Frequentie werkdagen]]," ",Ruimtestaat[[#This Row],[Vloer code]]))</f>
        <v>5-5w P</v>
      </c>
      <c r="AJ143" s="114" t="str">
        <f>_xlfn.IFNA(VLOOKUP($AI143,Programma!$F$3:$G$1101,2,0),"")</f>
        <v>_</v>
      </c>
      <c r="AK143" s="114" t="str">
        <f>_xlfn.IFNA(VLOOKUP($AI143,Programma!$F$3:$H$1101,3,0),"")</f>
        <v>_</v>
      </c>
      <c r="AL143" s="114" t="str">
        <f>_xlfn.IFNA(VLOOKUP($AI143,Programma!$F$3:$I$1101,4,0),"")</f>
        <v>_</v>
      </c>
      <c r="AM143" s="114" t="str">
        <f>_xlfn.IFNA(VLOOKUP($AI143,Programma!$F$3:$J$1101,5,0),"")</f>
        <v>4w</v>
      </c>
      <c r="AN143" s="114" t="str">
        <f>_xlfn.IFNA(VLOOKUP($AI143,Programma!$F$3:$K$1101,6,0),"")</f>
        <v>1w</v>
      </c>
      <c r="AO143" s="114" t="str">
        <f>_xlfn.IFNA(VLOOKUP($AI143,Programma!$F$3:$L$1101,7,0),"")</f>
        <v>_</v>
      </c>
      <c r="AP143" s="114" t="str">
        <f>_xlfn.IFNA(VLOOKUP($AI143,Programma!$F$3:$M$1101,8,0),"")</f>
        <v>_</v>
      </c>
      <c r="AQ143" s="114" t="str">
        <f>_xlfn.IFNA(VLOOKUP($AI143,Programma!$F$3:$N$1101,9,0),"")</f>
        <v>_</v>
      </c>
      <c r="AR143" s="114" t="str">
        <f>_xlfn.IFNA(VLOOKUP($AI143,Programma!$F$3:$O$1101,10,0),"")</f>
        <v>_</v>
      </c>
      <c r="AS143" s="114" t="str">
        <f>_xlfn.IFNA(VLOOKUP($AI143,Programma!$F$3:$P$1101,11,0),"")</f>
        <v>_</v>
      </c>
      <c r="AT143" s="114" t="str">
        <f>_xlfn.IFNA(VLOOKUP($AI143,Programma!$F$3:$Q$1101,12,0),"")</f>
        <v>_</v>
      </c>
      <c r="AU143" s="114" t="str">
        <f>_xlfn.IFNA(VLOOKUP($AI143,Programma!$F$3:$R$1101,13,0),"")</f>
        <v>_</v>
      </c>
      <c r="AV143" s="114" t="str">
        <f>_xlfn.IFNA(VLOOKUP($AI143,Programma!$F$3:$S$1101,14,0),"")</f>
        <v>_</v>
      </c>
      <c r="AW143" s="114" t="str">
        <f>_xlfn.IFNA(VLOOKUP($AI143,Programma!$F$3:$T$1101,15,0),"")</f>
        <v>_</v>
      </c>
      <c r="AX143" s="114" t="str">
        <f>_xlfn.IFNA(VLOOKUP($AI143,Programma!$F$3:$U$1101,16,0),"")</f>
        <v>_</v>
      </c>
      <c r="AY143" s="114" t="str">
        <f>_xlfn.IFNA(VLOOKUP($AI143,Programma!$F$3:$V$1101,17,0),"")</f>
        <v>_</v>
      </c>
      <c r="AZ143" s="114" t="str">
        <f>_xlfn.IFNA(VLOOKUP($AI143,Programma!$F$3:$W$1101,18,0),"")</f>
        <v>4w</v>
      </c>
      <c r="BA143" s="114" t="str">
        <f>_xlfn.IFNA(VLOOKUP($AI143,Programma!$F$3:$X$1101,19,0),"")</f>
        <v>1w</v>
      </c>
      <c r="BB143" s="114" t="str">
        <f>_xlfn.IFNA(VLOOKUP($AI143,Programma!$F$3:$Y$1101,20,0),"")</f>
        <v>_</v>
      </c>
      <c r="BC143" s="111"/>
      <c r="BD143" s="110" t="str">
        <f>IF(Ruimtestaat[[#This Row],[Frequentie weekend]]="","",_xlfn.CONCAT(Ruimtestaat[[#This Row],[Ruimte code]],"-",Ruimtestaat[[#This Row],[Frequentie weekend]]," ",Ruimtestaat[[#This Row],[Vloer code]]))</f>
        <v/>
      </c>
      <c r="BE143" s="114" t="str">
        <f>_xlfn.IFNA(VLOOKUP($BD143,Programma!$F$3:$G$1101,2,0),"")</f>
        <v/>
      </c>
      <c r="BF143" s="114" t="str">
        <f>_xlfn.IFNA(VLOOKUP($BD143,Programma!$F$3:$H$1101,3,0),"")</f>
        <v/>
      </c>
      <c r="BG143" s="114" t="str">
        <f>_xlfn.IFNA(VLOOKUP($BD143,Programma!$F$3:$I$1101,4,0),"")</f>
        <v/>
      </c>
      <c r="BH143" s="114" t="str">
        <f>_xlfn.IFNA(VLOOKUP($BD143,Programma!$F$3:$J$1101,5,0),"")</f>
        <v/>
      </c>
      <c r="BI143" s="114" t="str">
        <f>_xlfn.IFNA(VLOOKUP($BD143,Programma!$F$3:$K$1101,6,0),"")</f>
        <v/>
      </c>
      <c r="BJ143" s="114" t="str">
        <f>_xlfn.IFNA(VLOOKUP($BD143,Programma!$F$3:$L$1101,7,0),"")</f>
        <v/>
      </c>
      <c r="BK143" s="114" t="str">
        <f>_xlfn.IFNA(VLOOKUP($BD143,Programma!$F$3:$M$1101,8,0),"")</f>
        <v/>
      </c>
      <c r="BL143" s="114" t="str">
        <f>_xlfn.IFNA(VLOOKUP($BD143,Programma!$F$3:$N$1101,9,0),"")</f>
        <v/>
      </c>
      <c r="BM143" s="114" t="str">
        <f>_xlfn.IFNA(VLOOKUP($BD143,Programma!$F$3:$O$1101,10,0),"")</f>
        <v/>
      </c>
      <c r="BN143" s="114" t="str">
        <f>_xlfn.IFNA(VLOOKUP($BD143,Programma!$F$3:$P$1101,11,0),"")</f>
        <v/>
      </c>
      <c r="BO143" s="114" t="str">
        <f>_xlfn.IFNA(VLOOKUP($BD143,Programma!$F$3:$Q$1101,12,0),"")</f>
        <v/>
      </c>
      <c r="BP143" s="114" t="str">
        <f>_xlfn.IFNA(VLOOKUP($BD143,Programma!$F$3:$R$1101,13,0),"")</f>
        <v/>
      </c>
      <c r="BQ143" s="114" t="str">
        <f>_xlfn.IFNA(VLOOKUP($BD143,Programma!$F$3:$S$1101,14,0),"")</f>
        <v/>
      </c>
      <c r="BR143" s="114" t="str">
        <f>_xlfn.IFNA(VLOOKUP($BD143,Programma!$F$3:$T$1101,15,0),"")</f>
        <v/>
      </c>
      <c r="BS143" s="114" t="str">
        <f>_xlfn.IFNA(VLOOKUP($BD143,Programma!$F$3:$U$1101,16,0),"")</f>
        <v/>
      </c>
      <c r="BT143" s="114" t="str">
        <f>_xlfn.IFNA(VLOOKUP($BD143,Programma!$F$3:$V$1101,17,0),"")</f>
        <v/>
      </c>
      <c r="BU143" s="114" t="str">
        <f>_xlfn.IFNA(VLOOKUP($BD143,Programma!$F$3:$W$1101,18,0),"")</f>
        <v/>
      </c>
      <c r="BV143" s="114" t="str">
        <f>_xlfn.IFNA(VLOOKUP($BD143,Programma!$F$3:$X$1101,19,0),"")</f>
        <v/>
      </c>
      <c r="BW143" s="114" t="str">
        <f>_xlfn.IFNA(VLOOKUP($BD143,Programma!$F$3:$Y$1101,20,0),"")</f>
        <v/>
      </c>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c r="HG143" s="28"/>
      <c r="HH143" s="28"/>
      <c r="HI143" s="28"/>
      <c r="HJ143" s="28"/>
      <c r="HK143" s="28"/>
      <c r="HL143" s="28"/>
    </row>
    <row r="144" spans="1:220" ht="15" customHeight="1">
      <c r="A144" s="31">
        <v>3</v>
      </c>
      <c r="B144" s="105" t="str">
        <f>VLOOKUP(Ruimtestaat[[#This Row],[Code]],Locaties[[Code]:[Locatie]],2,FALSE)</f>
        <v>Sport IKC Het Startblok</v>
      </c>
      <c r="C144" s="105" t="str">
        <f>VLOOKUP(Ruimtestaat[[#This Row],[Code]],Locaties[[#All],[Code]:[Adres]],4,FALSE)</f>
        <v>Klapstraat 205</v>
      </c>
      <c r="D144" s="105" t="str">
        <f>VLOOKUP(Ruimtestaat[[#This Row],[Code]],Locaties[[#All],[Code]:[Postcode]],5,FALSE)</f>
        <v>6931 CH</v>
      </c>
      <c r="E144" s="105" t="str">
        <f>VLOOKUP(Ruimtestaat[[#This Row],[Code]],Locaties[#All],6,FALSE)</f>
        <v>Westervoort</v>
      </c>
      <c r="F144" s="73" t="s">
        <v>1795</v>
      </c>
      <c r="G144" s="73"/>
      <c r="H144" s="31" t="s">
        <v>1688</v>
      </c>
      <c r="I144" s="113" t="s">
        <v>1786</v>
      </c>
      <c r="J144" s="31">
        <v>1</v>
      </c>
      <c r="K144" s="113" t="str">
        <f>VLOOKUP(Ruimtestaat[[#This Row],[Ruimte code]],Ruimtegroepen[[#All],[Code]:[Ruimte omschrijving]],2,FALSE)</f>
        <v>Magazijnen/bergingen</v>
      </c>
      <c r="L144" s="73" t="s">
        <v>102</v>
      </c>
      <c r="M144" s="273" t="s">
        <v>120</v>
      </c>
      <c r="N144" s="106">
        <v>6</v>
      </c>
      <c r="O144" s="112"/>
      <c r="P144" s="73"/>
      <c r="Q144" s="107" t="str">
        <f>VLOOKUP(Ruimtestaat[[#This Row],[Ruimte code]],Ruimtegroepen[],4,FALSE)</f>
        <v>Ve</v>
      </c>
      <c r="R144" s="73">
        <v>40</v>
      </c>
      <c r="S144" s="73" t="s">
        <v>16</v>
      </c>
      <c r="T144" s="73">
        <f>IF(R144&gt;0,IF(RIGHT(Ruimtestaat[[#This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44" s="73">
        <f>IF(T144&gt;0,VLOOKUP($J144,Ruimtegroepen[],3,FALSE)*VLOOKUP($L144,Vloersoorten[],3,FALSE)*VLOOKUP($S144,Frequenties[],3,FALSE)*VLOOKUP($A144,Locaties[],3,FALSE),0)</f>
        <v>0</v>
      </c>
      <c r="V144" s="73">
        <f>Ruimtestaat[[#This Row],[Uitvoeringen werkdagen]]*Ruimtestaat[[#This Row],[Oppervlak (netto)]]</f>
        <v>72</v>
      </c>
      <c r="W144" s="108">
        <f>IF(U144&gt;0,Ruimtestaat[[#This Row],[Prest. (m2 /jaar) werkdagen]]/Ruimtestaat[[#This Row],[Norm (m2/uur) werkdagen]],0)</f>
        <v>0</v>
      </c>
      <c r="X144" s="109">
        <f>Ruimtestaat[[#This Row],[uren / jaar werkdagen]]*Tariefsopbouw!$E$35</f>
        <v>0</v>
      </c>
      <c r="Y144" s="73"/>
      <c r="Z144" s="73">
        <f>IF(Ruimtestaat[[#This Row],[Frequentie weekend]]&gt;0,VALUE(LEFT(Y144,1))*R144,0)</f>
        <v>0</v>
      </c>
      <c r="AA144" s="72">
        <f>IF($Z144&gt;0,VLOOKUP($J144,Ruimtegroepen[],3,FALSE)*VLOOKUP($L144,Vloersoorten[],3,FALSE)*VLOOKUP($Y144,Frequenties[],3,FALSE)*VLOOKUP(Ruimtestaat[[#This Row],[Code]],Locaties[],3,FALSE),0)</f>
        <v>0</v>
      </c>
      <c r="AB144" s="72">
        <f>Ruimtestaat[[#This Row],[Uitvoeringen weekend]]*Ruimtestaat[[#This Row],[Oppervlak (netto)]]</f>
        <v>0</v>
      </c>
      <c r="AC144" s="72">
        <f>IF(AA144&gt;0,Ruimtestaat[[#This Row],[Prest. (m2 /jaar) weekend]]/Ruimtestaat[[#This Row],[Norm (m2/uur) weekend]],0)</f>
        <v>0</v>
      </c>
      <c r="AD144" s="109">
        <f>Ruimtestaat[[#This Row],[uren / jaar weekend]]*Tariefsopbouw!$D$40</f>
        <v>0</v>
      </c>
      <c r="AE144" s="108">
        <f>Ruimtestaat[[#This Row],[Prest. (m2 /jaar) weekend]]+Ruimtestaat[[#This Row],[Prest. (m2 /jaar) werkdagen]]</f>
        <v>72</v>
      </c>
      <c r="AF144" s="108">
        <f>Ruimtestaat[[#This Row],[uren / jaar weekend]]+Ruimtestaat[[#This Row],[uren / jaar werkdagen]]</f>
        <v>0</v>
      </c>
      <c r="AG144" s="103">
        <f>Ruimtestaat[[#This Row],[kosten / jaar weekend]]+Ruimtestaat[[#This Row],[kosten / jaar werkdagen]]</f>
        <v>0</v>
      </c>
      <c r="AH144" s="103"/>
      <c r="AI144" s="110" t="str">
        <f>IF(Ruimtestaat[[#This Row],[Frequentie werkdagen]]="","",_xlfn.CONCAT(Ruimtestaat[[#This Row],[Ruimte code]],"-",Ruimtestaat[[#This Row],[Frequentie werkdagen]]," ",Ruimtestaat[[#This Row],[Vloer code]]))</f>
        <v>1-1m P</v>
      </c>
      <c r="AJ144" s="114" t="str">
        <f>_xlfn.IFNA(VLOOKUP($AI144,Programma!$F$3:$G$1101,2,0),"")</f>
        <v>_</v>
      </c>
      <c r="AK144" s="114" t="str">
        <f>_xlfn.IFNA(VLOOKUP($AI144,Programma!$F$3:$H$1101,3,0),"")</f>
        <v>_</v>
      </c>
      <c r="AL144" s="114" t="str">
        <f>_xlfn.IFNA(VLOOKUP($AI144,Programma!$F$3:$I$1101,4,0),"")</f>
        <v>1m</v>
      </c>
      <c r="AM144" s="114" t="str">
        <f>_xlfn.IFNA(VLOOKUP($AI144,Programma!$F$3:$J$1101,5,0),"")</f>
        <v>1m</v>
      </c>
      <c r="AN144" s="114" t="str">
        <f>_xlfn.IFNA(VLOOKUP($AI144,Programma!$F$3:$K$1101,6,0),"")</f>
        <v>1j</v>
      </c>
      <c r="AO144" s="114" t="str">
        <f>_xlfn.IFNA(VLOOKUP($AI144,Programma!$F$3:$L$1101,7,0),"")</f>
        <v>_</v>
      </c>
      <c r="AP144" s="114" t="str">
        <f>_xlfn.IFNA(VLOOKUP($AI144,Programma!$F$3:$M$1101,8,0),"")</f>
        <v>_</v>
      </c>
      <c r="AQ144" s="114" t="str">
        <f>_xlfn.IFNA(VLOOKUP($AI144,Programma!$F$3:$N$1101,9,0),"")</f>
        <v>_</v>
      </c>
      <c r="AR144" s="114" t="str">
        <f>_xlfn.IFNA(VLOOKUP($AI144,Programma!$F$3:$O$1101,10,0),"")</f>
        <v>_</v>
      </c>
      <c r="AS144" s="114" t="str">
        <f>_xlfn.IFNA(VLOOKUP($AI144,Programma!$F$3:$P$1101,11,0),"")</f>
        <v>_</v>
      </c>
      <c r="AT144" s="114" t="str">
        <f>_xlfn.IFNA(VLOOKUP($AI144,Programma!$F$3:$Q$1101,12,0),"")</f>
        <v>_</v>
      </c>
      <c r="AU144" s="114" t="str">
        <f>_xlfn.IFNA(VLOOKUP($AI144,Programma!$F$3:$R$1101,13,0),"")</f>
        <v>_</v>
      </c>
      <c r="AV144" s="114" t="str">
        <f>_xlfn.IFNA(VLOOKUP($AI144,Programma!$F$3:$S$1101,14,0),"")</f>
        <v>1m</v>
      </c>
      <c r="AW144" s="114" t="str">
        <f>_xlfn.IFNA(VLOOKUP($AI144,Programma!$F$3:$T$1101,15,0),"")</f>
        <v>4j</v>
      </c>
      <c r="AX144" s="114" t="str">
        <f>_xlfn.IFNA(VLOOKUP($AI144,Programma!$F$3:$U$1101,16,0),"")</f>
        <v>4j</v>
      </c>
      <c r="AY144" s="114" t="str">
        <f>_xlfn.IFNA(VLOOKUP($AI144,Programma!$F$3:$V$1101,17,0),"")</f>
        <v>_</v>
      </c>
      <c r="AZ144" s="114" t="str">
        <f>_xlfn.IFNA(VLOOKUP($AI144,Programma!$F$3:$W$1101,18,0),"")</f>
        <v>_</v>
      </c>
      <c r="BA144" s="114" t="str">
        <f>_xlfn.IFNA(VLOOKUP($AI144,Programma!$F$3:$X$1101,19,0),"")</f>
        <v>_</v>
      </c>
      <c r="BB144" s="114" t="str">
        <f>_xlfn.IFNA(VLOOKUP($AI144,Programma!$F$3:$Y$1101,20,0),"")</f>
        <v>_</v>
      </c>
      <c r="BC144" s="111"/>
      <c r="BD144" s="110" t="str">
        <f>IF(Ruimtestaat[[#This Row],[Frequentie weekend]]="","",_xlfn.CONCAT(Ruimtestaat[[#This Row],[Ruimte code]],"-",Ruimtestaat[[#This Row],[Frequentie weekend]]," ",Ruimtestaat[[#This Row],[Vloer code]]))</f>
        <v/>
      </c>
      <c r="BE144" s="114" t="str">
        <f>_xlfn.IFNA(VLOOKUP($BD144,Programma!$F$3:$G$1101,2,0),"")</f>
        <v/>
      </c>
      <c r="BF144" s="114" t="str">
        <f>_xlfn.IFNA(VLOOKUP($BD144,Programma!$F$3:$H$1101,3,0),"")</f>
        <v/>
      </c>
      <c r="BG144" s="114" t="str">
        <f>_xlfn.IFNA(VLOOKUP($BD144,Programma!$F$3:$I$1101,4,0),"")</f>
        <v/>
      </c>
      <c r="BH144" s="114" t="str">
        <f>_xlfn.IFNA(VLOOKUP($BD144,Programma!$F$3:$J$1101,5,0),"")</f>
        <v/>
      </c>
      <c r="BI144" s="114" t="str">
        <f>_xlfn.IFNA(VLOOKUP($BD144,Programma!$F$3:$K$1101,6,0),"")</f>
        <v/>
      </c>
      <c r="BJ144" s="114" t="str">
        <f>_xlfn.IFNA(VLOOKUP($BD144,Programma!$F$3:$L$1101,7,0),"")</f>
        <v/>
      </c>
      <c r="BK144" s="114" t="str">
        <f>_xlfn.IFNA(VLOOKUP($BD144,Programma!$F$3:$M$1101,8,0),"")</f>
        <v/>
      </c>
      <c r="BL144" s="114" t="str">
        <f>_xlfn.IFNA(VLOOKUP($BD144,Programma!$F$3:$N$1101,9,0),"")</f>
        <v/>
      </c>
      <c r="BM144" s="114" t="str">
        <f>_xlfn.IFNA(VLOOKUP($BD144,Programma!$F$3:$O$1101,10,0),"")</f>
        <v/>
      </c>
      <c r="BN144" s="114" t="str">
        <f>_xlfn.IFNA(VLOOKUP($BD144,Programma!$F$3:$P$1101,11,0),"")</f>
        <v/>
      </c>
      <c r="BO144" s="114" t="str">
        <f>_xlfn.IFNA(VLOOKUP($BD144,Programma!$F$3:$Q$1101,12,0),"")</f>
        <v/>
      </c>
      <c r="BP144" s="114" t="str">
        <f>_xlfn.IFNA(VLOOKUP($BD144,Programma!$F$3:$R$1101,13,0),"")</f>
        <v/>
      </c>
      <c r="BQ144" s="114" t="str">
        <f>_xlfn.IFNA(VLOOKUP($BD144,Programma!$F$3:$S$1101,14,0),"")</f>
        <v/>
      </c>
      <c r="BR144" s="114" t="str">
        <f>_xlfn.IFNA(VLOOKUP($BD144,Programma!$F$3:$T$1101,15,0),"")</f>
        <v/>
      </c>
      <c r="BS144" s="114" t="str">
        <f>_xlfn.IFNA(VLOOKUP($BD144,Programma!$F$3:$U$1101,16,0),"")</f>
        <v/>
      </c>
      <c r="BT144" s="114" t="str">
        <f>_xlfn.IFNA(VLOOKUP($BD144,Programma!$F$3:$V$1101,17,0),"")</f>
        <v/>
      </c>
      <c r="BU144" s="114" t="str">
        <f>_xlfn.IFNA(VLOOKUP($BD144,Programma!$F$3:$W$1101,18,0),"")</f>
        <v/>
      </c>
      <c r="BV144" s="114" t="str">
        <f>_xlfn.IFNA(VLOOKUP($BD144,Programma!$F$3:$X$1101,19,0),"")</f>
        <v/>
      </c>
      <c r="BW144" s="114" t="str">
        <f>_xlfn.IFNA(VLOOKUP($BD144,Programma!$F$3:$Y$1101,20,0),"")</f>
        <v/>
      </c>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c r="ET144" s="28"/>
      <c r="EU144" s="28"/>
      <c r="EV144" s="28"/>
      <c r="EW144" s="28"/>
      <c r="EX144" s="28"/>
      <c r="EY144" s="28"/>
      <c r="EZ144" s="28"/>
      <c r="FA144" s="28"/>
      <c r="FB144" s="28"/>
      <c r="FC144" s="28"/>
      <c r="FD144" s="28"/>
      <c r="FE144" s="28"/>
      <c r="FF144" s="28"/>
      <c r="FG144" s="28"/>
      <c r="FH144" s="28"/>
      <c r="FI144" s="28"/>
      <c r="FJ144" s="28"/>
      <c r="FK144" s="28"/>
      <c r="FL144" s="28"/>
      <c r="FM144" s="28"/>
      <c r="FN144" s="28"/>
      <c r="FO144" s="28"/>
      <c r="FP144" s="28"/>
      <c r="FQ144" s="28"/>
      <c r="FR144" s="28"/>
      <c r="FS144" s="28"/>
      <c r="FT144" s="28"/>
      <c r="FU144" s="28"/>
      <c r="FV144" s="28"/>
      <c r="FW144" s="28"/>
      <c r="FX144" s="28"/>
      <c r="FY144" s="28"/>
      <c r="FZ144" s="28"/>
      <c r="GA144" s="28"/>
      <c r="GB144" s="28"/>
      <c r="GC144" s="28"/>
      <c r="GD144" s="28"/>
      <c r="GE144" s="28"/>
      <c r="GF144" s="28"/>
      <c r="GG144" s="28"/>
      <c r="GH144" s="28"/>
      <c r="GI144" s="28"/>
      <c r="GJ144" s="28"/>
      <c r="GK144" s="28"/>
      <c r="GL144" s="28"/>
      <c r="GM144" s="28"/>
      <c r="GN144" s="28"/>
      <c r="GO144" s="28"/>
      <c r="GP144" s="28"/>
      <c r="GQ144" s="28"/>
      <c r="GR144" s="28"/>
      <c r="GS144" s="28"/>
      <c r="GT144" s="28"/>
      <c r="GU144" s="28"/>
      <c r="GV144" s="28"/>
      <c r="GW144" s="28"/>
      <c r="GX144" s="28"/>
      <c r="GY144" s="28"/>
      <c r="GZ144" s="28"/>
      <c r="HA144" s="28"/>
      <c r="HB144" s="28"/>
      <c r="HC144" s="28"/>
      <c r="HD144" s="28"/>
      <c r="HE144" s="28"/>
      <c r="HF144" s="28"/>
      <c r="HG144" s="28"/>
      <c r="HH144" s="28"/>
      <c r="HI144" s="28"/>
      <c r="HJ144" s="28"/>
      <c r="HK144" s="28"/>
      <c r="HL144" s="28"/>
    </row>
    <row r="145" spans="1:220" ht="15" customHeight="1">
      <c r="A145" s="31">
        <v>3</v>
      </c>
      <c r="B145" s="105" t="str">
        <f>VLOOKUP(Ruimtestaat[[#This Row],[Code]],Locaties[[Code]:[Locatie]],2,FALSE)</f>
        <v>Sport IKC Het Startblok</v>
      </c>
      <c r="C145" s="105" t="str">
        <f>VLOOKUP(Ruimtestaat[[#This Row],[Code]],Locaties[[#All],[Code]:[Adres]],4,FALSE)</f>
        <v>Klapstraat 205</v>
      </c>
      <c r="D145" s="105" t="str">
        <f>VLOOKUP(Ruimtestaat[[#This Row],[Code]],Locaties[[#All],[Code]:[Postcode]],5,FALSE)</f>
        <v>6931 CH</v>
      </c>
      <c r="E145" s="105" t="str">
        <f>VLOOKUP(Ruimtestaat[[#This Row],[Code]],Locaties[#All],6,FALSE)</f>
        <v>Westervoort</v>
      </c>
      <c r="F145" s="73" t="s">
        <v>1795</v>
      </c>
      <c r="G145" s="73"/>
      <c r="H145" s="31" t="s">
        <v>1689</v>
      </c>
      <c r="I145" s="113" t="s">
        <v>1787</v>
      </c>
      <c r="J145" s="31">
        <v>16</v>
      </c>
      <c r="K145" s="113" t="str">
        <f>VLOOKUP(Ruimtestaat[[#This Row],[Ruimte code]],Ruimtegroepen[[#All],[Code]:[Ruimte omschrijving]],2,FALSE)</f>
        <v>Leslokalen</v>
      </c>
      <c r="L145" s="73" t="s">
        <v>102</v>
      </c>
      <c r="M145" s="273" t="s">
        <v>120</v>
      </c>
      <c r="N145" s="106">
        <v>56</v>
      </c>
      <c r="O145" s="112"/>
      <c r="P145" s="112"/>
      <c r="Q145" s="107" t="str">
        <f>VLOOKUP(Ruimtestaat[[#This Row],[Ruimte code]],Ruimtegroepen[],4,FALSE)</f>
        <v>Le</v>
      </c>
      <c r="R145" s="73">
        <v>40</v>
      </c>
      <c r="S145" s="73" t="s">
        <v>2</v>
      </c>
      <c r="T145" s="73">
        <f>IF(R145&gt;0,IF(RIGHT(Ruimtestaat[[#This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5" s="73">
        <f>IF(T145&gt;0,VLOOKUP($J145,Ruimtegroepen[],3,FALSE)*VLOOKUP($L145,Vloersoorten[],3,FALSE)*VLOOKUP($S145,Frequenties[],3,FALSE)*VLOOKUP($A145,Locaties[],3,FALSE),0)</f>
        <v>0</v>
      </c>
      <c r="V145" s="73">
        <f>Ruimtestaat[[#This Row],[Uitvoeringen werkdagen]]*Ruimtestaat[[#This Row],[Oppervlak (netto)]]</f>
        <v>11200</v>
      </c>
      <c r="W145" s="108">
        <f>IF(U145&gt;0,Ruimtestaat[[#This Row],[Prest. (m2 /jaar) werkdagen]]/Ruimtestaat[[#This Row],[Norm (m2/uur) werkdagen]],0)</f>
        <v>0</v>
      </c>
      <c r="X145" s="109">
        <f>Ruimtestaat[[#This Row],[uren / jaar werkdagen]]*Tariefsopbouw!$E$35</f>
        <v>0</v>
      </c>
      <c r="Y145" s="73"/>
      <c r="Z145" s="73">
        <f>IF(Ruimtestaat[[#This Row],[Frequentie weekend]]&gt;0,VALUE(LEFT(Y145,1))*R145,0)</f>
        <v>0</v>
      </c>
      <c r="AA145" s="72">
        <f>IF($Z145&gt;0,VLOOKUP($J145,Ruimtegroepen[],3,FALSE)*VLOOKUP($L145,Vloersoorten[],3,FALSE)*VLOOKUP($Y145,Frequenties[],3,FALSE)*VLOOKUP(Ruimtestaat[[#This Row],[Code]],Locaties[],3,FALSE),0)</f>
        <v>0</v>
      </c>
      <c r="AB145" s="72">
        <f>Ruimtestaat[[#This Row],[Uitvoeringen weekend]]*Ruimtestaat[[#This Row],[Oppervlak (netto)]]</f>
        <v>0</v>
      </c>
      <c r="AC145" s="72">
        <f>IF(AA145&gt;0,Ruimtestaat[[#This Row],[Prest. (m2 /jaar) weekend]]/Ruimtestaat[[#This Row],[Norm (m2/uur) weekend]],0)</f>
        <v>0</v>
      </c>
      <c r="AD145" s="109">
        <f>Ruimtestaat[[#This Row],[uren / jaar weekend]]*Tariefsopbouw!$D$40</f>
        <v>0</v>
      </c>
      <c r="AE145" s="108">
        <f>Ruimtestaat[[#This Row],[Prest. (m2 /jaar) weekend]]+Ruimtestaat[[#This Row],[Prest. (m2 /jaar) werkdagen]]</f>
        <v>11200</v>
      </c>
      <c r="AF145" s="108">
        <f>Ruimtestaat[[#This Row],[uren / jaar weekend]]+Ruimtestaat[[#This Row],[uren / jaar werkdagen]]</f>
        <v>0</v>
      </c>
      <c r="AG145" s="103">
        <f>Ruimtestaat[[#This Row],[kosten / jaar weekend]]+Ruimtestaat[[#This Row],[kosten / jaar werkdagen]]</f>
        <v>0</v>
      </c>
      <c r="AH145" s="103"/>
      <c r="AI145" s="110" t="str">
        <f>IF(Ruimtestaat[[#This Row],[Frequentie werkdagen]]="","",_xlfn.CONCAT(Ruimtestaat[[#This Row],[Ruimte code]],"-",Ruimtestaat[[#This Row],[Frequentie werkdagen]]," ",Ruimtestaat[[#This Row],[Vloer code]]))</f>
        <v>16-5w P</v>
      </c>
      <c r="AJ145" s="114" t="str">
        <f>_xlfn.IFNA(VLOOKUP($AI145,Programma!$F$3:$G$1101,2,0),"")</f>
        <v>_</v>
      </c>
      <c r="AK145" s="114" t="str">
        <f>_xlfn.IFNA(VLOOKUP($AI145,Programma!$F$3:$H$1101,3,0),"")</f>
        <v>_</v>
      </c>
      <c r="AL145" s="114" t="str">
        <f>_xlfn.IFNA(VLOOKUP($AI145,Programma!$F$3:$I$1101,4,0),"")</f>
        <v>4w</v>
      </c>
      <c r="AM145" s="114" t="str">
        <f>_xlfn.IFNA(VLOOKUP($AI145,Programma!$F$3:$J$1101,5,0),"")</f>
        <v>1w</v>
      </c>
      <c r="AN145" s="114" t="str">
        <f>_xlfn.IFNA(VLOOKUP($AI145,Programma!$F$3:$K$1101,6,0),"")</f>
        <v>1m</v>
      </c>
      <c r="AO145" s="114" t="str">
        <f>_xlfn.IFNA(VLOOKUP($AI145,Programma!$F$3:$L$1101,7,0),"")</f>
        <v>_</v>
      </c>
      <c r="AP145" s="114" t="str">
        <f>_xlfn.IFNA(VLOOKUP($AI145,Programma!$F$3:$M$1101,8,0),"")</f>
        <v>_</v>
      </c>
      <c r="AQ145" s="114" t="str">
        <f>_xlfn.IFNA(VLOOKUP($AI145,Programma!$F$3:$N$1101,9,0),"")</f>
        <v>_</v>
      </c>
      <c r="AR145" s="114" t="str">
        <f>_xlfn.IFNA(VLOOKUP($AI145,Programma!$F$3:$O$1101,10,0),"")</f>
        <v>5w</v>
      </c>
      <c r="AS145" s="114" t="str">
        <f>_xlfn.IFNA(VLOOKUP($AI145,Programma!$F$3:$P$1101,11,0),"")</f>
        <v>5w</v>
      </c>
      <c r="AT145" s="114" t="str">
        <f>_xlfn.IFNA(VLOOKUP($AI145,Programma!$F$3:$Q$1101,12,0),"")</f>
        <v>1w</v>
      </c>
      <c r="AU145" s="114" t="str">
        <f>_xlfn.IFNA(VLOOKUP($AI145,Programma!$F$3:$R$1101,13,0),"")</f>
        <v>1w</v>
      </c>
      <c r="AV145" s="114" t="str">
        <f>_xlfn.IFNA(VLOOKUP($AI145,Programma!$F$3:$S$1101,14,0),"")</f>
        <v>1m</v>
      </c>
      <c r="AW145" s="114" t="str">
        <f>_xlfn.IFNA(VLOOKUP($AI145,Programma!$F$3:$T$1101,15,0),"")</f>
        <v>2j</v>
      </c>
      <c r="AX145" s="114" t="str">
        <f>_xlfn.IFNA(VLOOKUP($AI145,Programma!$F$3:$U$1101,16,0),"")</f>
        <v>1j</v>
      </c>
      <c r="AY145" s="114" t="str">
        <f>_xlfn.IFNA(VLOOKUP($AI145,Programma!$F$3:$V$1101,17,0),"")</f>
        <v>_</v>
      </c>
      <c r="AZ145" s="114" t="str">
        <f>_xlfn.IFNA(VLOOKUP($AI145,Programma!$F$3:$W$1101,18,0),"")</f>
        <v>_</v>
      </c>
      <c r="BA145" s="114" t="str">
        <f>_xlfn.IFNA(VLOOKUP($AI145,Programma!$F$3:$X$1101,19,0),"")</f>
        <v>_</v>
      </c>
      <c r="BB145" s="114" t="str">
        <f>_xlfn.IFNA(VLOOKUP($AI145,Programma!$F$3:$Y$1101,20,0),"")</f>
        <v>_</v>
      </c>
      <c r="BC145" s="111"/>
      <c r="BD145" s="110" t="str">
        <f>IF(Ruimtestaat[[#This Row],[Frequentie weekend]]="","",_xlfn.CONCAT(Ruimtestaat[[#This Row],[Ruimte code]],"-",Ruimtestaat[[#This Row],[Frequentie weekend]]," ",Ruimtestaat[[#This Row],[Vloer code]]))</f>
        <v/>
      </c>
      <c r="BE145" s="114" t="str">
        <f>_xlfn.IFNA(VLOOKUP($BD145,Programma!$F$3:$G$1101,2,0),"")</f>
        <v/>
      </c>
      <c r="BF145" s="114" t="str">
        <f>_xlfn.IFNA(VLOOKUP($BD145,Programma!$F$3:$H$1101,3,0),"")</f>
        <v/>
      </c>
      <c r="BG145" s="114" t="str">
        <f>_xlfn.IFNA(VLOOKUP($BD145,Programma!$F$3:$I$1101,4,0),"")</f>
        <v/>
      </c>
      <c r="BH145" s="114" t="str">
        <f>_xlfn.IFNA(VLOOKUP($BD145,Programma!$F$3:$J$1101,5,0),"")</f>
        <v/>
      </c>
      <c r="BI145" s="114" t="str">
        <f>_xlfn.IFNA(VLOOKUP($BD145,Programma!$F$3:$K$1101,6,0),"")</f>
        <v/>
      </c>
      <c r="BJ145" s="114" t="str">
        <f>_xlfn.IFNA(VLOOKUP($BD145,Programma!$F$3:$L$1101,7,0),"")</f>
        <v/>
      </c>
      <c r="BK145" s="114" t="str">
        <f>_xlfn.IFNA(VLOOKUP($BD145,Programma!$F$3:$M$1101,8,0),"")</f>
        <v/>
      </c>
      <c r="BL145" s="114" t="str">
        <f>_xlfn.IFNA(VLOOKUP($BD145,Programma!$F$3:$N$1101,9,0),"")</f>
        <v/>
      </c>
      <c r="BM145" s="114" t="str">
        <f>_xlfn.IFNA(VLOOKUP($BD145,Programma!$F$3:$O$1101,10,0),"")</f>
        <v/>
      </c>
      <c r="BN145" s="114" t="str">
        <f>_xlfn.IFNA(VLOOKUP($BD145,Programma!$F$3:$P$1101,11,0),"")</f>
        <v/>
      </c>
      <c r="BO145" s="114" t="str">
        <f>_xlfn.IFNA(VLOOKUP($BD145,Programma!$F$3:$Q$1101,12,0),"")</f>
        <v/>
      </c>
      <c r="BP145" s="114" t="str">
        <f>_xlfn.IFNA(VLOOKUP($BD145,Programma!$F$3:$R$1101,13,0),"")</f>
        <v/>
      </c>
      <c r="BQ145" s="114" t="str">
        <f>_xlfn.IFNA(VLOOKUP($BD145,Programma!$F$3:$S$1101,14,0),"")</f>
        <v/>
      </c>
      <c r="BR145" s="114" t="str">
        <f>_xlfn.IFNA(VLOOKUP($BD145,Programma!$F$3:$T$1101,15,0),"")</f>
        <v/>
      </c>
      <c r="BS145" s="114" t="str">
        <f>_xlfn.IFNA(VLOOKUP($BD145,Programma!$F$3:$U$1101,16,0),"")</f>
        <v/>
      </c>
      <c r="BT145" s="114" t="str">
        <f>_xlfn.IFNA(VLOOKUP($BD145,Programma!$F$3:$V$1101,17,0),"")</f>
        <v/>
      </c>
      <c r="BU145" s="114" t="str">
        <f>_xlfn.IFNA(VLOOKUP($BD145,Programma!$F$3:$W$1101,18,0),"")</f>
        <v/>
      </c>
      <c r="BV145" s="114" t="str">
        <f>_xlfn.IFNA(VLOOKUP($BD145,Programma!$F$3:$X$1101,19,0),"")</f>
        <v/>
      </c>
      <c r="BW145" s="114" t="str">
        <f>_xlfn.IFNA(VLOOKUP($BD145,Programma!$F$3:$Y$1101,20,0),"")</f>
        <v/>
      </c>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c r="EO145" s="28"/>
      <c r="EP145" s="28"/>
      <c r="EQ145" s="28"/>
      <c r="ER145" s="28"/>
      <c r="ES145" s="28"/>
      <c r="ET145" s="28"/>
      <c r="EU145" s="28"/>
      <c r="EV145" s="28"/>
      <c r="EW145" s="28"/>
      <c r="EX145" s="28"/>
      <c r="EY145" s="28"/>
      <c r="EZ145" s="28"/>
      <c r="FA145" s="28"/>
      <c r="FB145" s="28"/>
      <c r="FC145" s="28"/>
      <c r="FD145" s="28"/>
      <c r="FE145" s="28"/>
      <c r="FF145" s="28"/>
      <c r="FG145" s="28"/>
      <c r="FH145" s="28"/>
      <c r="FI145" s="28"/>
      <c r="FJ145" s="28"/>
      <c r="FK145" s="28"/>
      <c r="FL145" s="28"/>
      <c r="FM145" s="28"/>
      <c r="FN145" s="28"/>
      <c r="FO145" s="28"/>
      <c r="FP145" s="28"/>
      <c r="FQ145" s="28"/>
      <c r="FR145" s="28"/>
      <c r="FS145" s="28"/>
      <c r="FT145" s="28"/>
      <c r="FU145" s="28"/>
      <c r="FV145" s="28"/>
      <c r="FW145" s="28"/>
      <c r="FX145" s="28"/>
      <c r="FY145" s="28"/>
      <c r="FZ145" s="28"/>
      <c r="GA145" s="28"/>
      <c r="GB145" s="28"/>
      <c r="GC145" s="28"/>
      <c r="GD145" s="28"/>
      <c r="GE145" s="28"/>
      <c r="GF145" s="28"/>
      <c r="GG145" s="28"/>
      <c r="GH145" s="28"/>
      <c r="GI145" s="28"/>
      <c r="GJ145" s="28"/>
      <c r="GK145" s="28"/>
      <c r="GL145" s="28"/>
      <c r="GM145" s="28"/>
      <c r="GN145" s="28"/>
      <c r="GO145" s="28"/>
      <c r="GP145" s="28"/>
      <c r="GQ145" s="28"/>
      <c r="GR145" s="28"/>
      <c r="GS145" s="28"/>
      <c r="GT145" s="28"/>
      <c r="GU145" s="28"/>
      <c r="GV145" s="28"/>
      <c r="GW145" s="28"/>
      <c r="GX145" s="28"/>
      <c r="GY145" s="28"/>
      <c r="GZ145" s="28"/>
      <c r="HA145" s="28"/>
      <c r="HB145" s="28"/>
      <c r="HC145" s="28"/>
      <c r="HD145" s="28"/>
      <c r="HE145" s="28"/>
      <c r="HF145" s="28"/>
      <c r="HG145" s="28"/>
      <c r="HH145" s="28"/>
      <c r="HI145" s="28"/>
      <c r="HJ145" s="28"/>
      <c r="HK145" s="28"/>
      <c r="HL145" s="28"/>
    </row>
    <row r="146" spans="1:220" ht="15" customHeight="1">
      <c r="A146" s="31">
        <v>3</v>
      </c>
      <c r="B146" s="105" t="str">
        <f>VLOOKUP(Ruimtestaat[[#This Row],[Code]],Locaties[[Code]:[Locatie]],2,FALSE)</f>
        <v>Sport IKC Het Startblok</v>
      </c>
      <c r="C146" s="105" t="str">
        <f>VLOOKUP(Ruimtestaat[[#This Row],[Code]],Locaties[[#All],[Code]:[Adres]],4,FALSE)</f>
        <v>Klapstraat 205</v>
      </c>
      <c r="D146" s="105" t="str">
        <f>VLOOKUP(Ruimtestaat[[#This Row],[Code]],Locaties[[#All],[Code]:[Postcode]],5,FALSE)</f>
        <v>6931 CH</v>
      </c>
      <c r="E146" s="105" t="str">
        <f>VLOOKUP(Ruimtestaat[[#This Row],[Code]],Locaties[#All],6,FALSE)</f>
        <v>Westervoort</v>
      </c>
      <c r="F146" s="73" t="s">
        <v>1795</v>
      </c>
      <c r="G146" s="73"/>
      <c r="H146" s="31" t="s">
        <v>1690</v>
      </c>
      <c r="I146" s="113" t="s">
        <v>1788</v>
      </c>
      <c r="J146" s="31">
        <v>16</v>
      </c>
      <c r="K146" s="113" t="str">
        <f>VLOOKUP(Ruimtestaat[[#This Row],[Ruimte code]],Ruimtegroepen[[#All],[Code]:[Ruimte omschrijving]],2,FALSE)</f>
        <v>Leslokalen</v>
      </c>
      <c r="L146" s="73" t="s">
        <v>102</v>
      </c>
      <c r="M146" s="273" t="s">
        <v>120</v>
      </c>
      <c r="N146" s="106">
        <v>56</v>
      </c>
      <c r="O146" s="112"/>
      <c r="P146" s="112"/>
      <c r="Q146" s="107" t="str">
        <f>VLOOKUP(Ruimtestaat[[#This Row],[Ruimte code]],Ruimtegroepen[],4,FALSE)</f>
        <v>Le</v>
      </c>
      <c r="R146" s="73">
        <v>40</v>
      </c>
      <c r="S146" s="73" t="s">
        <v>2</v>
      </c>
      <c r="T146" s="73">
        <f>IF(R146&gt;0,IF(RIGHT(Ruimtestaat[[#This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6" s="73">
        <f>IF(T146&gt;0,VLOOKUP($J146,Ruimtegroepen[],3,FALSE)*VLOOKUP($L146,Vloersoorten[],3,FALSE)*VLOOKUP($S146,Frequenties[],3,FALSE)*VLOOKUP($A146,Locaties[],3,FALSE),0)</f>
        <v>0</v>
      </c>
      <c r="V146" s="73">
        <f>Ruimtestaat[[#This Row],[Uitvoeringen werkdagen]]*Ruimtestaat[[#This Row],[Oppervlak (netto)]]</f>
        <v>11200</v>
      </c>
      <c r="W146" s="108">
        <f>IF(U146&gt;0,Ruimtestaat[[#This Row],[Prest. (m2 /jaar) werkdagen]]/Ruimtestaat[[#This Row],[Norm (m2/uur) werkdagen]],0)</f>
        <v>0</v>
      </c>
      <c r="X146" s="109">
        <f>Ruimtestaat[[#This Row],[uren / jaar werkdagen]]*Tariefsopbouw!$E$35</f>
        <v>0</v>
      </c>
      <c r="Y146" s="73"/>
      <c r="Z146" s="73">
        <f>IF(Ruimtestaat[[#This Row],[Frequentie weekend]]&gt;0,VALUE(LEFT(Y146,1))*R146,0)</f>
        <v>0</v>
      </c>
      <c r="AA146" s="72">
        <f>IF($Z146&gt;0,VLOOKUP($J146,Ruimtegroepen[],3,FALSE)*VLOOKUP($L146,Vloersoorten[],3,FALSE)*VLOOKUP($Y146,Frequenties[],3,FALSE)*VLOOKUP(Ruimtestaat[[#This Row],[Code]],Locaties[],3,FALSE),0)</f>
        <v>0</v>
      </c>
      <c r="AB146" s="72">
        <f>Ruimtestaat[[#This Row],[Uitvoeringen weekend]]*Ruimtestaat[[#This Row],[Oppervlak (netto)]]</f>
        <v>0</v>
      </c>
      <c r="AC146" s="72">
        <f>IF(AA146&gt;0,Ruimtestaat[[#This Row],[Prest. (m2 /jaar) weekend]]/Ruimtestaat[[#This Row],[Norm (m2/uur) weekend]],0)</f>
        <v>0</v>
      </c>
      <c r="AD146" s="109">
        <f>Ruimtestaat[[#This Row],[uren / jaar weekend]]*Tariefsopbouw!$D$40</f>
        <v>0</v>
      </c>
      <c r="AE146" s="108">
        <f>Ruimtestaat[[#This Row],[Prest. (m2 /jaar) weekend]]+Ruimtestaat[[#This Row],[Prest. (m2 /jaar) werkdagen]]</f>
        <v>11200</v>
      </c>
      <c r="AF146" s="108">
        <f>Ruimtestaat[[#This Row],[uren / jaar weekend]]+Ruimtestaat[[#This Row],[uren / jaar werkdagen]]</f>
        <v>0</v>
      </c>
      <c r="AG146" s="103">
        <f>Ruimtestaat[[#This Row],[kosten / jaar weekend]]+Ruimtestaat[[#This Row],[kosten / jaar werkdagen]]</f>
        <v>0</v>
      </c>
      <c r="AH146" s="103"/>
      <c r="AI146" s="110" t="str">
        <f>IF(Ruimtestaat[[#This Row],[Frequentie werkdagen]]="","",_xlfn.CONCAT(Ruimtestaat[[#This Row],[Ruimte code]],"-",Ruimtestaat[[#This Row],[Frequentie werkdagen]]," ",Ruimtestaat[[#This Row],[Vloer code]]))</f>
        <v>16-5w P</v>
      </c>
      <c r="AJ146" s="114" t="str">
        <f>_xlfn.IFNA(VLOOKUP($AI146,Programma!$F$3:$G$1101,2,0),"")</f>
        <v>_</v>
      </c>
      <c r="AK146" s="114" t="str">
        <f>_xlfn.IFNA(VLOOKUP($AI146,Programma!$F$3:$H$1101,3,0),"")</f>
        <v>_</v>
      </c>
      <c r="AL146" s="114" t="str">
        <f>_xlfn.IFNA(VLOOKUP($AI146,Programma!$F$3:$I$1101,4,0),"")</f>
        <v>4w</v>
      </c>
      <c r="AM146" s="114" t="str">
        <f>_xlfn.IFNA(VLOOKUP($AI146,Programma!$F$3:$J$1101,5,0),"")</f>
        <v>1w</v>
      </c>
      <c r="AN146" s="114" t="str">
        <f>_xlfn.IFNA(VLOOKUP($AI146,Programma!$F$3:$K$1101,6,0),"")</f>
        <v>1m</v>
      </c>
      <c r="AO146" s="114" t="str">
        <f>_xlfn.IFNA(VLOOKUP($AI146,Programma!$F$3:$L$1101,7,0),"")</f>
        <v>_</v>
      </c>
      <c r="AP146" s="114" t="str">
        <f>_xlfn.IFNA(VLOOKUP($AI146,Programma!$F$3:$M$1101,8,0),"")</f>
        <v>_</v>
      </c>
      <c r="AQ146" s="114" t="str">
        <f>_xlfn.IFNA(VLOOKUP($AI146,Programma!$F$3:$N$1101,9,0),"")</f>
        <v>_</v>
      </c>
      <c r="AR146" s="114" t="str">
        <f>_xlfn.IFNA(VLOOKUP($AI146,Programma!$F$3:$O$1101,10,0),"")</f>
        <v>5w</v>
      </c>
      <c r="AS146" s="114" t="str">
        <f>_xlfn.IFNA(VLOOKUP($AI146,Programma!$F$3:$P$1101,11,0),"")</f>
        <v>5w</v>
      </c>
      <c r="AT146" s="114" t="str">
        <f>_xlfn.IFNA(VLOOKUP($AI146,Programma!$F$3:$Q$1101,12,0),"")</f>
        <v>1w</v>
      </c>
      <c r="AU146" s="114" t="str">
        <f>_xlfn.IFNA(VLOOKUP($AI146,Programma!$F$3:$R$1101,13,0),"")</f>
        <v>1w</v>
      </c>
      <c r="AV146" s="114" t="str">
        <f>_xlfn.IFNA(VLOOKUP($AI146,Programma!$F$3:$S$1101,14,0),"")</f>
        <v>1m</v>
      </c>
      <c r="AW146" s="114" t="str">
        <f>_xlfn.IFNA(VLOOKUP($AI146,Programma!$F$3:$T$1101,15,0),"")</f>
        <v>2j</v>
      </c>
      <c r="AX146" s="114" t="str">
        <f>_xlfn.IFNA(VLOOKUP($AI146,Programma!$F$3:$U$1101,16,0),"")</f>
        <v>1j</v>
      </c>
      <c r="AY146" s="114" t="str">
        <f>_xlfn.IFNA(VLOOKUP($AI146,Programma!$F$3:$V$1101,17,0),"")</f>
        <v>_</v>
      </c>
      <c r="AZ146" s="114" t="str">
        <f>_xlfn.IFNA(VLOOKUP($AI146,Programma!$F$3:$W$1101,18,0),"")</f>
        <v>_</v>
      </c>
      <c r="BA146" s="114" t="str">
        <f>_xlfn.IFNA(VLOOKUP($AI146,Programma!$F$3:$X$1101,19,0),"")</f>
        <v>_</v>
      </c>
      <c r="BB146" s="114" t="str">
        <f>_xlfn.IFNA(VLOOKUP($AI146,Programma!$F$3:$Y$1101,20,0),"")</f>
        <v>_</v>
      </c>
      <c r="BC146" s="111"/>
      <c r="BD146" s="110" t="str">
        <f>IF(Ruimtestaat[[#This Row],[Frequentie weekend]]="","",_xlfn.CONCAT(Ruimtestaat[[#This Row],[Ruimte code]],"-",Ruimtestaat[[#This Row],[Frequentie weekend]]," ",Ruimtestaat[[#This Row],[Vloer code]]))</f>
        <v/>
      </c>
      <c r="BE146" s="114" t="str">
        <f>_xlfn.IFNA(VLOOKUP($BD146,Programma!$F$3:$G$1101,2,0),"")</f>
        <v/>
      </c>
      <c r="BF146" s="114" t="str">
        <f>_xlfn.IFNA(VLOOKUP($BD146,Programma!$F$3:$H$1101,3,0),"")</f>
        <v/>
      </c>
      <c r="BG146" s="114" t="str">
        <f>_xlfn.IFNA(VLOOKUP($BD146,Programma!$F$3:$I$1101,4,0),"")</f>
        <v/>
      </c>
      <c r="BH146" s="114" t="str">
        <f>_xlfn.IFNA(VLOOKUP($BD146,Programma!$F$3:$J$1101,5,0),"")</f>
        <v/>
      </c>
      <c r="BI146" s="114" t="str">
        <f>_xlfn.IFNA(VLOOKUP($BD146,Programma!$F$3:$K$1101,6,0),"")</f>
        <v/>
      </c>
      <c r="BJ146" s="114" t="str">
        <f>_xlfn.IFNA(VLOOKUP($BD146,Programma!$F$3:$L$1101,7,0),"")</f>
        <v/>
      </c>
      <c r="BK146" s="114" t="str">
        <f>_xlfn.IFNA(VLOOKUP($BD146,Programma!$F$3:$M$1101,8,0),"")</f>
        <v/>
      </c>
      <c r="BL146" s="114" t="str">
        <f>_xlfn.IFNA(VLOOKUP($BD146,Programma!$F$3:$N$1101,9,0),"")</f>
        <v/>
      </c>
      <c r="BM146" s="114" t="str">
        <f>_xlfn.IFNA(VLOOKUP($BD146,Programma!$F$3:$O$1101,10,0),"")</f>
        <v/>
      </c>
      <c r="BN146" s="114" t="str">
        <f>_xlfn.IFNA(VLOOKUP($BD146,Programma!$F$3:$P$1101,11,0),"")</f>
        <v/>
      </c>
      <c r="BO146" s="114" t="str">
        <f>_xlfn.IFNA(VLOOKUP($BD146,Programma!$F$3:$Q$1101,12,0),"")</f>
        <v/>
      </c>
      <c r="BP146" s="114" t="str">
        <f>_xlfn.IFNA(VLOOKUP($BD146,Programma!$F$3:$R$1101,13,0),"")</f>
        <v/>
      </c>
      <c r="BQ146" s="114" t="str">
        <f>_xlfn.IFNA(VLOOKUP($BD146,Programma!$F$3:$S$1101,14,0),"")</f>
        <v/>
      </c>
      <c r="BR146" s="114" t="str">
        <f>_xlfn.IFNA(VLOOKUP($BD146,Programma!$F$3:$T$1101,15,0),"")</f>
        <v/>
      </c>
      <c r="BS146" s="114" t="str">
        <f>_xlfn.IFNA(VLOOKUP($BD146,Programma!$F$3:$U$1101,16,0),"")</f>
        <v/>
      </c>
      <c r="BT146" s="114" t="str">
        <f>_xlfn.IFNA(VLOOKUP($BD146,Programma!$F$3:$V$1101,17,0),"")</f>
        <v/>
      </c>
      <c r="BU146" s="114" t="str">
        <f>_xlfn.IFNA(VLOOKUP($BD146,Programma!$F$3:$W$1101,18,0),"")</f>
        <v/>
      </c>
      <c r="BV146" s="114" t="str">
        <f>_xlfn.IFNA(VLOOKUP($BD146,Programma!$F$3:$X$1101,19,0),"")</f>
        <v/>
      </c>
      <c r="BW146" s="114" t="str">
        <f>_xlfn.IFNA(VLOOKUP($BD146,Programma!$F$3:$Y$1101,20,0),"")</f>
        <v/>
      </c>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8"/>
      <c r="FJ146" s="28"/>
      <c r="FK146" s="28"/>
      <c r="FL146" s="28"/>
      <c r="FM146" s="28"/>
      <c r="FN146" s="28"/>
      <c r="FO146" s="28"/>
      <c r="FP146" s="28"/>
      <c r="FQ146" s="28"/>
      <c r="FR146" s="28"/>
      <c r="FS146" s="28"/>
      <c r="FT146" s="28"/>
      <c r="FU146" s="28"/>
      <c r="FV146" s="28"/>
      <c r="FW146" s="28"/>
      <c r="FX146" s="28"/>
      <c r="FY146" s="28"/>
      <c r="FZ146" s="28"/>
      <c r="GA146" s="28"/>
      <c r="GB146" s="28"/>
      <c r="GC146" s="28"/>
      <c r="GD146" s="28"/>
      <c r="GE146" s="28"/>
      <c r="GF146" s="28"/>
      <c r="GG146" s="28"/>
      <c r="GH146" s="28"/>
      <c r="GI146" s="28"/>
      <c r="GJ146" s="28"/>
      <c r="GK146" s="28"/>
      <c r="GL146" s="28"/>
      <c r="GM146" s="28"/>
      <c r="GN146" s="28"/>
      <c r="GO146" s="28"/>
      <c r="GP146" s="28"/>
      <c r="GQ146" s="28"/>
      <c r="GR146" s="28"/>
      <c r="GS146" s="28"/>
      <c r="GT146" s="28"/>
      <c r="GU146" s="28"/>
      <c r="GV146" s="28"/>
      <c r="GW146" s="28"/>
      <c r="GX146" s="28"/>
      <c r="GY146" s="28"/>
      <c r="GZ146" s="28"/>
      <c r="HA146" s="28"/>
      <c r="HB146" s="28"/>
      <c r="HC146" s="28"/>
      <c r="HD146" s="28"/>
      <c r="HE146" s="28"/>
      <c r="HF146" s="28"/>
      <c r="HG146" s="28"/>
      <c r="HH146" s="28"/>
      <c r="HI146" s="28"/>
      <c r="HJ146" s="28"/>
      <c r="HK146" s="28"/>
      <c r="HL146" s="28"/>
    </row>
    <row r="147" spans="1:220" ht="15" customHeight="1">
      <c r="A147" s="31">
        <v>3</v>
      </c>
      <c r="B147" s="105" t="str">
        <f>VLOOKUP(Ruimtestaat[[#This Row],[Code]],Locaties[[Code]:[Locatie]],2,FALSE)</f>
        <v>Sport IKC Het Startblok</v>
      </c>
      <c r="C147" s="105" t="str">
        <f>VLOOKUP(Ruimtestaat[[#This Row],[Code]],Locaties[[#All],[Code]:[Adres]],4,FALSE)</f>
        <v>Klapstraat 205</v>
      </c>
      <c r="D147" s="105" t="str">
        <f>VLOOKUP(Ruimtestaat[[#This Row],[Code]],Locaties[[#All],[Code]:[Postcode]],5,FALSE)</f>
        <v>6931 CH</v>
      </c>
      <c r="E147" s="105" t="str">
        <f>VLOOKUP(Ruimtestaat[[#This Row],[Code]],Locaties[#All],6,FALSE)</f>
        <v>Westervoort</v>
      </c>
      <c r="F147" s="73" t="s">
        <v>1795</v>
      </c>
      <c r="G147" s="73"/>
      <c r="H147" s="31" t="s">
        <v>1691</v>
      </c>
      <c r="I147" s="113" t="s">
        <v>1647</v>
      </c>
      <c r="J147" s="31">
        <v>6</v>
      </c>
      <c r="K147" s="113" t="str">
        <f>VLOOKUP(Ruimtestaat[[#This Row],[Ruimte code]],Ruimtegroepen[[#All],[Code]:[Ruimte omschrijving]],2,FALSE)</f>
        <v>Gangen/hallen</v>
      </c>
      <c r="L147" s="73" t="s">
        <v>102</v>
      </c>
      <c r="M147" s="273" t="s">
        <v>120</v>
      </c>
      <c r="N147" s="106">
        <v>73</v>
      </c>
      <c r="O147" s="112"/>
      <c r="P147" s="73"/>
      <c r="Q147" s="107" t="str">
        <f>VLOOKUP(Ruimtestaat[[#This Row],[Ruimte code]],Ruimtegroepen[],4,FALSE)</f>
        <v>Ve</v>
      </c>
      <c r="R147" s="73">
        <v>40</v>
      </c>
      <c r="S147" s="73" t="s">
        <v>2</v>
      </c>
      <c r="T147" s="73">
        <f>IF(R147&gt;0,IF(RIGHT(Ruimtestaat[[#This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7" s="73">
        <f>IF(T147&gt;0,VLOOKUP($J147,Ruimtegroepen[],3,FALSE)*VLOOKUP($L147,Vloersoorten[],3,FALSE)*VLOOKUP($S147,Frequenties[],3,FALSE)*VLOOKUP($A147,Locaties[],3,FALSE),0)</f>
        <v>0</v>
      </c>
      <c r="V147" s="73">
        <f>Ruimtestaat[[#This Row],[Uitvoeringen werkdagen]]*Ruimtestaat[[#This Row],[Oppervlak (netto)]]</f>
        <v>14600</v>
      </c>
      <c r="W147" s="108">
        <f>IF(U147&gt;0,Ruimtestaat[[#This Row],[Prest. (m2 /jaar) werkdagen]]/Ruimtestaat[[#This Row],[Norm (m2/uur) werkdagen]],0)</f>
        <v>0</v>
      </c>
      <c r="X147" s="109">
        <f>Ruimtestaat[[#This Row],[uren / jaar werkdagen]]*Tariefsopbouw!$E$35</f>
        <v>0</v>
      </c>
      <c r="Y147" s="73"/>
      <c r="Z147" s="73">
        <f>IF(Ruimtestaat[[#This Row],[Frequentie weekend]]&gt;0,VALUE(LEFT(Y147,1))*R147,0)</f>
        <v>0</v>
      </c>
      <c r="AA147" s="72">
        <f>IF($Z147&gt;0,VLOOKUP($J147,Ruimtegroepen[],3,FALSE)*VLOOKUP($L147,Vloersoorten[],3,FALSE)*VLOOKUP($Y147,Frequenties[],3,FALSE)*VLOOKUP(Ruimtestaat[[#This Row],[Code]],Locaties[],3,FALSE),0)</f>
        <v>0</v>
      </c>
      <c r="AB147" s="72">
        <f>Ruimtestaat[[#This Row],[Uitvoeringen weekend]]*Ruimtestaat[[#This Row],[Oppervlak (netto)]]</f>
        <v>0</v>
      </c>
      <c r="AC147" s="72">
        <f>IF(AA147&gt;0,Ruimtestaat[[#This Row],[Prest. (m2 /jaar) weekend]]/Ruimtestaat[[#This Row],[Norm (m2/uur) weekend]],0)</f>
        <v>0</v>
      </c>
      <c r="AD147" s="109">
        <f>Ruimtestaat[[#This Row],[uren / jaar weekend]]*Tariefsopbouw!$D$40</f>
        <v>0</v>
      </c>
      <c r="AE147" s="108">
        <f>Ruimtestaat[[#This Row],[Prest. (m2 /jaar) weekend]]+Ruimtestaat[[#This Row],[Prest. (m2 /jaar) werkdagen]]</f>
        <v>14600</v>
      </c>
      <c r="AF147" s="108">
        <f>Ruimtestaat[[#This Row],[uren / jaar weekend]]+Ruimtestaat[[#This Row],[uren / jaar werkdagen]]</f>
        <v>0</v>
      </c>
      <c r="AG147" s="103">
        <f>Ruimtestaat[[#This Row],[kosten / jaar weekend]]+Ruimtestaat[[#This Row],[kosten / jaar werkdagen]]</f>
        <v>0</v>
      </c>
      <c r="AH147" s="103"/>
      <c r="AI147" s="110" t="str">
        <f>IF(Ruimtestaat[[#This Row],[Frequentie werkdagen]]="","",_xlfn.CONCAT(Ruimtestaat[[#This Row],[Ruimte code]],"-",Ruimtestaat[[#This Row],[Frequentie werkdagen]]," ",Ruimtestaat[[#This Row],[Vloer code]]))</f>
        <v>6-5w P</v>
      </c>
      <c r="AJ147" s="114" t="str">
        <f>_xlfn.IFNA(VLOOKUP($AI147,Programma!$F$3:$G$1101,2,0),"")</f>
        <v>_</v>
      </c>
      <c r="AK147" s="114" t="str">
        <f>_xlfn.IFNA(VLOOKUP($AI147,Programma!$F$3:$H$1101,3,0),"")</f>
        <v>_</v>
      </c>
      <c r="AL147" s="114" t="str">
        <f>_xlfn.IFNA(VLOOKUP($AI147,Programma!$F$3:$I$1101,4,0),"")</f>
        <v>5w</v>
      </c>
      <c r="AM147" s="114" t="str">
        <f>_xlfn.IFNA(VLOOKUP($AI147,Programma!$F$3:$J$1101,5,0),"")</f>
        <v>_</v>
      </c>
      <c r="AN147" s="114" t="str">
        <f>_xlfn.IFNA(VLOOKUP($AI147,Programma!$F$3:$K$1101,6,0),"")</f>
        <v>5w</v>
      </c>
      <c r="AO147" s="114" t="str">
        <f>_xlfn.IFNA(VLOOKUP($AI147,Programma!$F$3:$L$1101,7,0),"")</f>
        <v>_</v>
      </c>
      <c r="AP147" s="114" t="str">
        <f>_xlfn.IFNA(VLOOKUP($AI147,Programma!$F$3:$M$1101,8,0),"")</f>
        <v>_</v>
      </c>
      <c r="AQ147" s="114" t="str">
        <f>_xlfn.IFNA(VLOOKUP($AI147,Programma!$F$3:$N$1101,9,0),"")</f>
        <v>_</v>
      </c>
      <c r="AR147" s="114" t="str">
        <f>_xlfn.IFNA(VLOOKUP($AI147,Programma!$F$3:$O$1101,10,0),"")</f>
        <v>5w</v>
      </c>
      <c r="AS147" s="114" t="str">
        <f>_xlfn.IFNA(VLOOKUP($AI147,Programma!$F$3:$P$1101,11,0),"")</f>
        <v>5w</v>
      </c>
      <c r="AT147" s="114" t="str">
        <f>_xlfn.IFNA(VLOOKUP($AI147,Programma!$F$3:$Q$1101,12,0),"")</f>
        <v>1w</v>
      </c>
      <c r="AU147" s="114" t="str">
        <f>_xlfn.IFNA(VLOOKUP($AI147,Programma!$F$3:$R$1101,13,0),"")</f>
        <v>1w</v>
      </c>
      <c r="AV147" s="114" t="str">
        <f>_xlfn.IFNA(VLOOKUP($AI147,Programma!$F$3:$S$1101,14,0),"")</f>
        <v>1m</v>
      </c>
      <c r="AW147" s="114" t="str">
        <f>_xlfn.IFNA(VLOOKUP($AI147,Programma!$F$3:$T$1101,15,0),"")</f>
        <v>2j</v>
      </c>
      <c r="AX147" s="114" t="str">
        <f>_xlfn.IFNA(VLOOKUP($AI147,Programma!$F$3:$U$1101,16,0),"")</f>
        <v>1j</v>
      </c>
      <c r="AY147" s="114" t="str">
        <f>_xlfn.IFNA(VLOOKUP($AI147,Programma!$F$3:$V$1101,17,0),"")</f>
        <v>_</v>
      </c>
      <c r="AZ147" s="114" t="str">
        <f>_xlfn.IFNA(VLOOKUP($AI147,Programma!$F$3:$W$1101,18,0),"")</f>
        <v>_</v>
      </c>
      <c r="BA147" s="114" t="str">
        <f>_xlfn.IFNA(VLOOKUP($AI147,Programma!$F$3:$X$1101,19,0),"")</f>
        <v>_</v>
      </c>
      <c r="BB147" s="114" t="str">
        <f>_xlfn.IFNA(VLOOKUP($AI147,Programma!$F$3:$Y$1101,20,0),"")</f>
        <v>_</v>
      </c>
      <c r="BC147" s="111"/>
      <c r="BD147" s="110" t="str">
        <f>IF(Ruimtestaat[[#This Row],[Frequentie weekend]]="","",_xlfn.CONCAT(Ruimtestaat[[#This Row],[Ruimte code]],"-",Ruimtestaat[[#This Row],[Frequentie weekend]]," ",Ruimtestaat[[#This Row],[Vloer code]]))</f>
        <v/>
      </c>
      <c r="BE147" s="114" t="str">
        <f>_xlfn.IFNA(VLOOKUP($BD147,Programma!$F$3:$G$1101,2,0),"")</f>
        <v/>
      </c>
      <c r="BF147" s="114" t="str">
        <f>_xlfn.IFNA(VLOOKUP($BD147,Programma!$F$3:$H$1101,3,0),"")</f>
        <v/>
      </c>
      <c r="BG147" s="114" t="str">
        <f>_xlfn.IFNA(VLOOKUP($BD147,Programma!$F$3:$I$1101,4,0),"")</f>
        <v/>
      </c>
      <c r="BH147" s="114" t="str">
        <f>_xlfn.IFNA(VLOOKUP($BD147,Programma!$F$3:$J$1101,5,0),"")</f>
        <v/>
      </c>
      <c r="BI147" s="114" t="str">
        <f>_xlfn.IFNA(VLOOKUP($BD147,Programma!$F$3:$K$1101,6,0),"")</f>
        <v/>
      </c>
      <c r="BJ147" s="114" t="str">
        <f>_xlfn.IFNA(VLOOKUP($BD147,Programma!$F$3:$L$1101,7,0),"")</f>
        <v/>
      </c>
      <c r="BK147" s="114" t="str">
        <f>_xlfn.IFNA(VLOOKUP($BD147,Programma!$F$3:$M$1101,8,0),"")</f>
        <v/>
      </c>
      <c r="BL147" s="114" t="str">
        <f>_xlfn.IFNA(VLOOKUP($BD147,Programma!$F$3:$N$1101,9,0),"")</f>
        <v/>
      </c>
      <c r="BM147" s="114" t="str">
        <f>_xlfn.IFNA(VLOOKUP($BD147,Programma!$F$3:$O$1101,10,0),"")</f>
        <v/>
      </c>
      <c r="BN147" s="114" t="str">
        <f>_xlfn.IFNA(VLOOKUP($BD147,Programma!$F$3:$P$1101,11,0),"")</f>
        <v/>
      </c>
      <c r="BO147" s="114" t="str">
        <f>_xlfn.IFNA(VLOOKUP($BD147,Programma!$F$3:$Q$1101,12,0),"")</f>
        <v/>
      </c>
      <c r="BP147" s="114" t="str">
        <f>_xlfn.IFNA(VLOOKUP($BD147,Programma!$F$3:$R$1101,13,0),"")</f>
        <v/>
      </c>
      <c r="BQ147" s="114" t="str">
        <f>_xlfn.IFNA(VLOOKUP($BD147,Programma!$F$3:$S$1101,14,0),"")</f>
        <v/>
      </c>
      <c r="BR147" s="114" t="str">
        <f>_xlfn.IFNA(VLOOKUP($BD147,Programma!$F$3:$T$1101,15,0),"")</f>
        <v/>
      </c>
      <c r="BS147" s="114" t="str">
        <f>_xlfn.IFNA(VLOOKUP($BD147,Programma!$F$3:$U$1101,16,0),"")</f>
        <v/>
      </c>
      <c r="BT147" s="114" t="str">
        <f>_xlfn.IFNA(VLOOKUP($BD147,Programma!$F$3:$V$1101,17,0),"")</f>
        <v/>
      </c>
      <c r="BU147" s="114" t="str">
        <f>_xlfn.IFNA(VLOOKUP($BD147,Programma!$F$3:$W$1101,18,0),"")</f>
        <v/>
      </c>
      <c r="BV147" s="114" t="str">
        <f>_xlfn.IFNA(VLOOKUP($BD147,Programma!$F$3:$X$1101,19,0),"")</f>
        <v/>
      </c>
      <c r="BW147" s="114" t="str">
        <f>_xlfn.IFNA(VLOOKUP($BD147,Programma!$F$3:$Y$1101,20,0),"")</f>
        <v/>
      </c>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c r="EO147" s="28"/>
      <c r="EP147" s="28"/>
      <c r="EQ147" s="28"/>
      <c r="ER147" s="28"/>
      <c r="ES147" s="28"/>
      <c r="ET147" s="28"/>
      <c r="EU147" s="28"/>
      <c r="EV147" s="28"/>
      <c r="EW147" s="28"/>
      <c r="EX147" s="28"/>
      <c r="EY147" s="28"/>
      <c r="EZ147" s="28"/>
      <c r="FA147" s="28"/>
      <c r="FB147" s="28"/>
      <c r="FC147" s="28"/>
      <c r="FD147" s="28"/>
      <c r="FE147" s="28"/>
      <c r="FF147" s="28"/>
      <c r="FG147" s="28"/>
      <c r="FH147" s="28"/>
      <c r="FI147" s="28"/>
      <c r="FJ147" s="28"/>
      <c r="FK147" s="28"/>
      <c r="FL147" s="28"/>
      <c r="FM147" s="28"/>
      <c r="FN147" s="28"/>
      <c r="FO147" s="28"/>
      <c r="FP147" s="28"/>
      <c r="FQ147" s="28"/>
      <c r="FR147" s="28"/>
      <c r="FS147" s="28"/>
      <c r="FT147" s="28"/>
      <c r="FU147" s="28"/>
      <c r="FV147" s="28"/>
      <c r="FW147" s="28"/>
      <c r="FX147" s="28"/>
      <c r="FY147" s="28"/>
      <c r="FZ147" s="28"/>
      <c r="GA147" s="28"/>
      <c r="GB147" s="28"/>
      <c r="GC147" s="28"/>
      <c r="GD147" s="28"/>
      <c r="GE147" s="28"/>
      <c r="GF147" s="28"/>
      <c r="GG147" s="28"/>
      <c r="GH147" s="28"/>
      <c r="GI147" s="28"/>
      <c r="GJ147" s="28"/>
      <c r="GK147" s="28"/>
      <c r="GL147" s="28"/>
      <c r="GM147" s="28"/>
      <c r="GN147" s="28"/>
      <c r="GO147" s="28"/>
      <c r="GP147" s="28"/>
      <c r="GQ147" s="28"/>
      <c r="GR147" s="28"/>
      <c r="GS147" s="28"/>
      <c r="GT147" s="28"/>
      <c r="GU147" s="28"/>
      <c r="GV147" s="28"/>
      <c r="GW147" s="28"/>
      <c r="GX147" s="28"/>
      <c r="GY147" s="28"/>
      <c r="GZ147" s="28"/>
      <c r="HA147" s="28"/>
      <c r="HB147" s="28"/>
      <c r="HC147" s="28"/>
      <c r="HD147" s="28"/>
      <c r="HE147" s="28"/>
      <c r="HF147" s="28"/>
      <c r="HG147" s="28"/>
      <c r="HH147" s="28"/>
      <c r="HI147" s="28"/>
      <c r="HJ147" s="28"/>
      <c r="HK147" s="28"/>
      <c r="HL147" s="28"/>
    </row>
    <row r="148" spans="1:220" ht="15" customHeight="1">
      <c r="A148" s="31">
        <v>3</v>
      </c>
      <c r="B148" s="105" t="str">
        <f>VLOOKUP(Ruimtestaat[[#This Row],[Code]],Locaties[[Code]:[Locatie]],2,FALSE)</f>
        <v>Sport IKC Het Startblok</v>
      </c>
      <c r="C148" s="105" t="str">
        <f>VLOOKUP(Ruimtestaat[[#This Row],[Code]],Locaties[[#All],[Code]:[Adres]],4,FALSE)</f>
        <v>Klapstraat 205</v>
      </c>
      <c r="D148" s="105" t="str">
        <f>VLOOKUP(Ruimtestaat[[#This Row],[Code]],Locaties[[#All],[Code]:[Postcode]],5,FALSE)</f>
        <v>6931 CH</v>
      </c>
      <c r="E148" s="105" t="str">
        <f>VLOOKUP(Ruimtestaat[[#This Row],[Code]],Locaties[#All],6,FALSE)</f>
        <v>Westervoort</v>
      </c>
      <c r="F148" s="73" t="s">
        <v>1795</v>
      </c>
      <c r="G148" s="73"/>
      <c r="H148" s="31" t="s">
        <v>1692</v>
      </c>
      <c r="I148" s="113" t="s">
        <v>1789</v>
      </c>
      <c r="J148" s="31">
        <v>7</v>
      </c>
      <c r="K148" s="113" t="str">
        <f>VLOOKUP(Ruimtestaat[[#This Row],[Ruimte code]],Ruimtegroepen[[#All],[Code]:[Ruimte omschrijving]],2,FALSE)</f>
        <v>Entree</v>
      </c>
      <c r="L148" s="73" t="s">
        <v>102</v>
      </c>
      <c r="M148" s="273" t="s">
        <v>120</v>
      </c>
      <c r="N148" s="106">
        <v>5.2</v>
      </c>
      <c r="O148" s="112"/>
      <c r="P148" s="112"/>
      <c r="Q148" s="107" t="str">
        <f>VLOOKUP(Ruimtestaat[[#This Row],[Ruimte code]],Ruimtegroepen[],4,FALSE)</f>
        <v>Ve</v>
      </c>
      <c r="R148" s="73">
        <v>40</v>
      </c>
      <c r="S148" s="73" t="s">
        <v>2</v>
      </c>
      <c r="T148" s="73">
        <f>IF(R148&gt;0,IF(RIGHT(Ruimtestaat[[#This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8" s="73">
        <f>IF(T148&gt;0,VLOOKUP($J148,Ruimtegroepen[],3,FALSE)*VLOOKUP($L148,Vloersoorten[],3,FALSE)*VLOOKUP($S148,Frequenties[],3,FALSE)*VLOOKUP($A148,Locaties[],3,FALSE),0)</f>
        <v>0</v>
      </c>
      <c r="V148" s="73">
        <f>Ruimtestaat[[#This Row],[Uitvoeringen werkdagen]]*Ruimtestaat[[#This Row],[Oppervlak (netto)]]</f>
        <v>1040</v>
      </c>
      <c r="W148" s="108">
        <f>IF(U148&gt;0,Ruimtestaat[[#This Row],[Prest. (m2 /jaar) werkdagen]]/Ruimtestaat[[#This Row],[Norm (m2/uur) werkdagen]],0)</f>
        <v>0</v>
      </c>
      <c r="X148" s="109">
        <f>Ruimtestaat[[#This Row],[uren / jaar werkdagen]]*Tariefsopbouw!$E$35</f>
        <v>0</v>
      </c>
      <c r="Y148" s="73"/>
      <c r="Z148" s="73">
        <f>IF(Ruimtestaat[[#This Row],[Frequentie weekend]]&gt;0,VALUE(LEFT(Y148,1))*R148,0)</f>
        <v>0</v>
      </c>
      <c r="AA148" s="72">
        <f>IF($Z148&gt;0,VLOOKUP($J148,Ruimtegroepen[],3,FALSE)*VLOOKUP($L148,Vloersoorten[],3,FALSE)*VLOOKUP($Y148,Frequenties[],3,FALSE)*VLOOKUP(Ruimtestaat[[#This Row],[Code]],Locaties[],3,FALSE),0)</f>
        <v>0</v>
      </c>
      <c r="AB148" s="72">
        <f>Ruimtestaat[[#This Row],[Uitvoeringen weekend]]*Ruimtestaat[[#This Row],[Oppervlak (netto)]]</f>
        <v>0</v>
      </c>
      <c r="AC148" s="72">
        <f>IF(AA148&gt;0,Ruimtestaat[[#This Row],[Prest. (m2 /jaar) weekend]]/Ruimtestaat[[#This Row],[Norm (m2/uur) weekend]],0)</f>
        <v>0</v>
      </c>
      <c r="AD148" s="109">
        <f>Ruimtestaat[[#This Row],[uren / jaar weekend]]*Tariefsopbouw!$D$40</f>
        <v>0</v>
      </c>
      <c r="AE148" s="108">
        <f>Ruimtestaat[[#This Row],[Prest. (m2 /jaar) weekend]]+Ruimtestaat[[#This Row],[Prest. (m2 /jaar) werkdagen]]</f>
        <v>1040</v>
      </c>
      <c r="AF148" s="108">
        <f>Ruimtestaat[[#This Row],[uren / jaar weekend]]+Ruimtestaat[[#This Row],[uren / jaar werkdagen]]</f>
        <v>0</v>
      </c>
      <c r="AG148" s="103">
        <f>Ruimtestaat[[#This Row],[kosten / jaar weekend]]+Ruimtestaat[[#This Row],[kosten / jaar werkdagen]]</f>
        <v>0</v>
      </c>
      <c r="AH148" s="103"/>
      <c r="AI148" s="110" t="str">
        <f>IF(Ruimtestaat[[#This Row],[Frequentie werkdagen]]="","",_xlfn.CONCAT(Ruimtestaat[[#This Row],[Ruimte code]],"-",Ruimtestaat[[#This Row],[Frequentie werkdagen]]," ",Ruimtestaat[[#This Row],[Vloer code]]))</f>
        <v>7-5w P</v>
      </c>
      <c r="AJ148" s="114" t="str">
        <f>_xlfn.IFNA(VLOOKUP($AI148,Programma!$F$3:$G$1101,2,0),"")</f>
        <v>_</v>
      </c>
      <c r="AK148" s="114" t="str">
        <f>_xlfn.IFNA(VLOOKUP($AI148,Programma!$F$3:$H$1101,3,0),"")</f>
        <v>_</v>
      </c>
      <c r="AL148" s="114" t="str">
        <f>_xlfn.IFNA(VLOOKUP($AI148,Programma!$F$3:$I$1101,4,0),"")</f>
        <v>5w</v>
      </c>
      <c r="AM148" s="114" t="str">
        <f>_xlfn.IFNA(VLOOKUP($AI148,Programma!$F$3:$J$1101,5,0),"")</f>
        <v>_</v>
      </c>
      <c r="AN148" s="114" t="str">
        <f>_xlfn.IFNA(VLOOKUP($AI148,Programma!$F$3:$K$1101,6,0),"")</f>
        <v>5w</v>
      </c>
      <c r="AO148" s="114" t="str">
        <f>_xlfn.IFNA(VLOOKUP($AI148,Programma!$F$3:$L$1101,7,0),"")</f>
        <v>_</v>
      </c>
      <c r="AP148" s="114" t="str">
        <f>_xlfn.IFNA(VLOOKUP($AI148,Programma!$F$3:$M$1101,8,0),"")</f>
        <v>_</v>
      </c>
      <c r="AQ148" s="114" t="str">
        <f>_xlfn.IFNA(VLOOKUP($AI148,Programma!$F$3:$N$1101,9,0),"")</f>
        <v>_</v>
      </c>
      <c r="AR148" s="114" t="str">
        <f>_xlfn.IFNA(VLOOKUP($AI148,Programma!$F$3:$O$1101,10,0),"")</f>
        <v>5w</v>
      </c>
      <c r="AS148" s="114" t="str">
        <f>_xlfn.IFNA(VLOOKUP($AI148,Programma!$F$3:$P$1101,11,0),"")</f>
        <v>5w</v>
      </c>
      <c r="AT148" s="114" t="str">
        <f>_xlfn.IFNA(VLOOKUP($AI148,Programma!$F$3:$Q$1101,12,0),"")</f>
        <v>1w</v>
      </c>
      <c r="AU148" s="114" t="str">
        <f>_xlfn.IFNA(VLOOKUP($AI148,Programma!$F$3:$R$1101,13,0),"")</f>
        <v>1w</v>
      </c>
      <c r="AV148" s="114" t="str">
        <f>_xlfn.IFNA(VLOOKUP($AI148,Programma!$F$3:$S$1101,14,0),"")</f>
        <v>1m</v>
      </c>
      <c r="AW148" s="114" t="str">
        <f>_xlfn.IFNA(VLOOKUP($AI148,Programma!$F$3:$T$1101,15,0),"")</f>
        <v>2j</v>
      </c>
      <c r="AX148" s="114" t="str">
        <f>_xlfn.IFNA(VLOOKUP($AI148,Programma!$F$3:$U$1101,16,0),"")</f>
        <v>1j</v>
      </c>
      <c r="AY148" s="114" t="str">
        <f>_xlfn.IFNA(VLOOKUP($AI148,Programma!$F$3:$V$1101,17,0),"")</f>
        <v>_</v>
      </c>
      <c r="AZ148" s="114" t="str">
        <f>_xlfn.IFNA(VLOOKUP($AI148,Programma!$F$3:$W$1101,18,0),"")</f>
        <v>_</v>
      </c>
      <c r="BA148" s="114" t="str">
        <f>_xlfn.IFNA(VLOOKUP($AI148,Programma!$F$3:$X$1101,19,0),"")</f>
        <v>_</v>
      </c>
      <c r="BB148" s="114" t="str">
        <f>_xlfn.IFNA(VLOOKUP($AI148,Programma!$F$3:$Y$1101,20,0),"")</f>
        <v>_</v>
      </c>
      <c r="BC148" s="111"/>
      <c r="BD148" s="110" t="str">
        <f>IF(Ruimtestaat[[#This Row],[Frequentie weekend]]="","",_xlfn.CONCAT(Ruimtestaat[[#This Row],[Ruimte code]],"-",Ruimtestaat[[#This Row],[Frequentie weekend]]," ",Ruimtestaat[[#This Row],[Vloer code]]))</f>
        <v/>
      </c>
      <c r="BE148" s="114" t="str">
        <f>_xlfn.IFNA(VLOOKUP($BD148,Programma!$F$3:$G$1101,2,0),"")</f>
        <v/>
      </c>
      <c r="BF148" s="114" t="str">
        <f>_xlfn.IFNA(VLOOKUP($BD148,Programma!$F$3:$H$1101,3,0),"")</f>
        <v/>
      </c>
      <c r="BG148" s="114" t="str">
        <f>_xlfn.IFNA(VLOOKUP($BD148,Programma!$F$3:$I$1101,4,0),"")</f>
        <v/>
      </c>
      <c r="BH148" s="114" t="str">
        <f>_xlfn.IFNA(VLOOKUP($BD148,Programma!$F$3:$J$1101,5,0),"")</f>
        <v/>
      </c>
      <c r="BI148" s="114" t="str">
        <f>_xlfn.IFNA(VLOOKUP($BD148,Programma!$F$3:$K$1101,6,0),"")</f>
        <v/>
      </c>
      <c r="BJ148" s="114" t="str">
        <f>_xlfn.IFNA(VLOOKUP($BD148,Programma!$F$3:$L$1101,7,0),"")</f>
        <v/>
      </c>
      <c r="BK148" s="114" t="str">
        <f>_xlfn.IFNA(VLOOKUP($BD148,Programma!$F$3:$M$1101,8,0),"")</f>
        <v/>
      </c>
      <c r="BL148" s="114" t="str">
        <f>_xlfn.IFNA(VLOOKUP($BD148,Programma!$F$3:$N$1101,9,0),"")</f>
        <v/>
      </c>
      <c r="BM148" s="114" t="str">
        <f>_xlfn.IFNA(VLOOKUP($BD148,Programma!$F$3:$O$1101,10,0),"")</f>
        <v/>
      </c>
      <c r="BN148" s="114" t="str">
        <f>_xlfn.IFNA(VLOOKUP($BD148,Programma!$F$3:$P$1101,11,0),"")</f>
        <v/>
      </c>
      <c r="BO148" s="114" t="str">
        <f>_xlfn.IFNA(VLOOKUP($BD148,Programma!$F$3:$Q$1101,12,0),"")</f>
        <v/>
      </c>
      <c r="BP148" s="114" t="str">
        <f>_xlfn.IFNA(VLOOKUP($BD148,Programma!$F$3:$R$1101,13,0),"")</f>
        <v/>
      </c>
      <c r="BQ148" s="114" t="str">
        <f>_xlfn.IFNA(VLOOKUP($BD148,Programma!$F$3:$S$1101,14,0),"")</f>
        <v/>
      </c>
      <c r="BR148" s="114" t="str">
        <f>_xlfn.IFNA(VLOOKUP($BD148,Programma!$F$3:$T$1101,15,0),"")</f>
        <v/>
      </c>
      <c r="BS148" s="114" t="str">
        <f>_xlfn.IFNA(VLOOKUP($BD148,Programma!$F$3:$U$1101,16,0),"")</f>
        <v/>
      </c>
      <c r="BT148" s="114" t="str">
        <f>_xlfn.IFNA(VLOOKUP($BD148,Programma!$F$3:$V$1101,17,0),"")</f>
        <v/>
      </c>
      <c r="BU148" s="114" t="str">
        <f>_xlfn.IFNA(VLOOKUP($BD148,Programma!$F$3:$W$1101,18,0),"")</f>
        <v/>
      </c>
      <c r="BV148" s="114" t="str">
        <f>_xlfn.IFNA(VLOOKUP($BD148,Programma!$F$3:$X$1101,19,0),"")</f>
        <v/>
      </c>
      <c r="BW148" s="114" t="str">
        <f>_xlfn.IFNA(VLOOKUP($BD148,Programma!$F$3:$Y$1101,20,0),"")</f>
        <v/>
      </c>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c r="ET148" s="28"/>
      <c r="EU148" s="28"/>
      <c r="EV148" s="28"/>
      <c r="EW148" s="28"/>
      <c r="EX148" s="28"/>
      <c r="EY148" s="28"/>
      <c r="EZ148" s="28"/>
      <c r="FA148" s="28"/>
      <c r="FB148" s="28"/>
      <c r="FC148" s="28"/>
      <c r="FD148" s="28"/>
      <c r="FE148" s="28"/>
      <c r="FF148" s="28"/>
      <c r="FG148" s="28"/>
      <c r="FH148" s="28"/>
      <c r="FI148" s="28"/>
      <c r="FJ148" s="28"/>
      <c r="FK148" s="28"/>
      <c r="FL148" s="28"/>
      <c r="FM148" s="28"/>
      <c r="FN148" s="28"/>
      <c r="FO148" s="28"/>
      <c r="FP148" s="28"/>
      <c r="FQ148" s="28"/>
      <c r="FR148" s="28"/>
      <c r="FS148" s="28"/>
      <c r="FT148" s="28"/>
      <c r="FU148" s="28"/>
      <c r="FV148" s="28"/>
      <c r="FW148" s="28"/>
      <c r="FX148" s="28"/>
      <c r="FY148" s="28"/>
      <c r="FZ148" s="28"/>
      <c r="GA148" s="28"/>
      <c r="GB148" s="28"/>
      <c r="GC148" s="28"/>
      <c r="GD148" s="28"/>
      <c r="GE148" s="28"/>
      <c r="GF148" s="28"/>
      <c r="GG148" s="28"/>
      <c r="GH148" s="28"/>
      <c r="GI148" s="28"/>
      <c r="GJ148" s="28"/>
      <c r="GK148" s="28"/>
      <c r="GL148" s="28"/>
      <c r="GM148" s="28"/>
      <c r="GN148" s="28"/>
      <c r="GO148" s="28"/>
      <c r="GP148" s="28"/>
      <c r="GQ148" s="28"/>
      <c r="GR148" s="28"/>
      <c r="GS148" s="28"/>
      <c r="GT148" s="28"/>
      <c r="GU148" s="28"/>
      <c r="GV148" s="28"/>
      <c r="GW148" s="28"/>
      <c r="GX148" s="28"/>
      <c r="GY148" s="28"/>
      <c r="GZ148" s="28"/>
      <c r="HA148" s="28"/>
      <c r="HB148" s="28"/>
      <c r="HC148" s="28"/>
      <c r="HD148" s="28"/>
      <c r="HE148" s="28"/>
      <c r="HF148" s="28"/>
      <c r="HG148" s="28"/>
      <c r="HH148" s="28"/>
      <c r="HI148" s="28"/>
      <c r="HJ148" s="28"/>
      <c r="HK148" s="28"/>
      <c r="HL148" s="28"/>
    </row>
    <row r="149" spans="1:220" ht="15" customHeight="1">
      <c r="A149" s="31">
        <v>3</v>
      </c>
      <c r="B149" s="105" t="str">
        <f>VLOOKUP(Ruimtestaat[[#This Row],[Code]],Locaties[[Code]:[Locatie]],2,FALSE)</f>
        <v>Sport IKC Het Startblok</v>
      </c>
      <c r="C149" s="105" t="str">
        <f>VLOOKUP(Ruimtestaat[[#This Row],[Code]],Locaties[[#All],[Code]:[Adres]],4,FALSE)</f>
        <v>Klapstraat 205</v>
      </c>
      <c r="D149" s="105" t="str">
        <f>VLOOKUP(Ruimtestaat[[#This Row],[Code]],Locaties[[#All],[Code]:[Postcode]],5,FALSE)</f>
        <v>6931 CH</v>
      </c>
      <c r="E149" s="105" t="str">
        <f>VLOOKUP(Ruimtestaat[[#This Row],[Code]],Locaties[#All],6,FALSE)</f>
        <v>Westervoort</v>
      </c>
      <c r="F149" s="73" t="s">
        <v>1795</v>
      </c>
      <c r="G149" s="73"/>
      <c r="H149" s="31" t="s">
        <v>1693</v>
      </c>
      <c r="I149" s="113" t="s">
        <v>1650</v>
      </c>
      <c r="J149" s="31">
        <v>20</v>
      </c>
      <c r="K149" s="113" t="str">
        <f>VLOOKUP(Ruimtestaat[[#This Row],[Ruimte code]],Ruimtegroepen[[#All],[Code]:[Ruimte omschrijving]],2,FALSE)</f>
        <v>Niet in Onderhoud</v>
      </c>
      <c r="L149" s="73"/>
      <c r="M149" s="273"/>
      <c r="N149" s="106"/>
      <c r="O149" s="112"/>
      <c r="P149" s="112"/>
      <c r="Q149" s="107">
        <f>VLOOKUP(Ruimtestaat[[#This Row],[Ruimte code]],Ruimtegroepen[],4,FALSE)</f>
        <v>0</v>
      </c>
      <c r="R149" s="73"/>
      <c r="S149" s="73"/>
      <c r="T149" s="73">
        <f>IF(R149&gt;0,IF(RIGHT(Ruimtestaat[[#This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9" s="73">
        <f>IF(T149&gt;0,VLOOKUP($J149,Ruimtegroepen[],3,FALSE)*VLOOKUP($L149,Vloersoorten[],3,FALSE)*VLOOKUP($S149,Frequenties[],3,FALSE)*VLOOKUP($A149,Locaties[],3,FALSE),0)</f>
        <v>0</v>
      </c>
      <c r="V149" s="73">
        <f>Ruimtestaat[[#This Row],[Uitvoeringen werkdagen]]*Ruimtestaat[[#This Row],[Oppervlak (netto)]]</f>
        <v>0</v>
      </c>
      <c r="W149" s="108">
        <f>IF(U149&gt;0,Ruimtestaat[[#This Row],[Prest. (m2 /jaar) werkdagen]]/Ruimtestaat[[#This Row],[Norm (m2/uur) werkdagen]],0)</f>
        <v>0</v>
      </c>
      <c r="X149" s="109">
        <f>Ruimtestaat[[#This Row],[uren / jaar werkdagen]]*Tariefsopbouw!$E$35</f>
        <v>0</v>
      </c>
      <c r="Y149" s="73"/>
      <c r="Z149" s="73">
        <f>IF(Ruimtestaat[[#This Row],[Frequentie weekend]]&gt;0,VALUE(LEFT(Y149,1))*R149,0)</f>
        <v>0</v>
      </c>
      <c r="AA149" s="72">
        <f>IF($Z149&gt;0,VLOOKUP($J149,Ruimtegroepen[],3,FALSE)*VLOOKUP($L149,Vloersoorten[],3,FALSE)*VLOOKUP($Y149,Frequenties[],3,FALSE)*VLOOKUP(Ruimtestaat[[#This Row],[Code]],Locaties[],3,FALSE),0)</f>
        <v>0</v>
      </c>
      <c r="AB149" s="72">
        <f>Ruimtestaat[[#This Row],[Uitvoeringen weekend]]*Ruimtestaat[[#This Row],[Oppervlak (netto)]]</f>
        <v>0</v>
      </c>
      <c r="AC149" s="72">
        <f>IF(AA149&gt;0,Ruimtestaat[[#This Row],[Prest. (m2 /jaar) weekend]]/Ruimtestaat[[#This Row],[Norm (m2/uur) weekend]],0)</f>
        <v>0</v>
      </c>
      <c r="AD149" s="109">
        <f>Ruimtestaat[[#This Row],[uren / jaar weekend]]*Tariefsopbouw!$D$40</f>
        <v>0</v>
      </c>
      <c r="AE149" s="108">
        <f>Ruimtestaat[[#This Row],[Prest. (m2 /jaar) weekend]]+Ruimtestaat[[#This Row],[Prest. (m2 /jaar) werkdagen]]</f>
        <v>0</v>
      </c>
      <c r="AF149" s="108">
        <f>Ruimtestaat[[#This Row],[uren / jaar weekend]]+Ruimtestaat[[#This Row],[uren / jaar werkdagen]]</f>
        <v>0</v>
      </c>
      <c r="AG149" s="103">
        <f>Ruimtestaat[[#This Row],[kosten / jaar weekend]]+Ruimtestaat[[#This Row],[kosten / jaar werkdagen]]</f>
        <v>0</v>
      </c>
      <c r="AH149" s="103"/>
      <c r="AI149" s="110" t="str">
        <f>IF(Ruimtestaat[[#This Row],[Frequentie werkdagen]]="","",_xlfn.CONCAT(Ruimtestaat[[#This Row],[Ruimte code]],"-",Ruimtestaat[[#This Row],[Frequentie werkdagen]]," ",Ruimtestaat[[#This Row],[Vloer code]]))</f>
        <v/>
      </c>
      <c r="AJ149" s="114" t="str">
        <f>_xlfn.IFNA(VLOOKUP($AI149,Programma!$F$3:$G$1101,2,0),"")</f>
        <v/>
      </c>
      <c r="AK149" s="114" t="str">
        <f>_xlfn.IFNA(VLOOKUP($AI149,Programma!$F$3:$H$1101,3,0),"")</f>
        <v/>
      </c>
      <c r="AL149" s="114" t="str">
        <f>_xlfn.IFNA(VLOOKUP($AI149,Programma!$F$3:$I$1101,4,0),"")</f>
        <v/>
      </c>
      <c r="AM149" s="114" t="str">
        <f>_xlfn.IFNA(VLOOKUP($AI149,Programma!$F$3:$J$1101,5,0),"")</f>
        <v/>
      </c>
      <c r="AN149" s="114" t="str">
        <f>_xlfn.IFNA(VLOOKUP($AI149,Programma!$F$3:$K$1101,6,0),"")</f>
        <v/>
      </c>
      <c r="AO149" s="114" t="str">
        <f>_xlfn.IFNA(VLOOKUP($AI149,Programma!$F$3:$L$1101,7,0),"")</f>
        <v/>
      </c>
      <c r="AP149" s="114" t="str">
        <f>_xlfn.IFNA(VLOOKUP($AI149,Programma!$F$3:$M$1101,8,0),"")</f>
        <v/>
      </c>
      <c r="AQ149" s="114" t="str">
        <f>_xlfn.IFNA(VLOOKUP($AI149,Programma!$F$3:$N$1101,9,0),"")</f>
        <v/>
      </c>
      <c r="AR149" s="114" t="str">
        <f>_xlfn.IFNA(VLOOKUP($AI149,Programma!$F$3:$O$1101,10,0),"")</f>
        <v/>
      </c>
      <c r="AS149" s="114" t="str">
        <f>_xlfn.IFNA(VLOOKUP($AI149,Programma!$F$3:$P$1101,11,0),"")</f>
        <v/>
      </c>
      <c r="AT149" s="114" t="str">
        <f>_xlfn.IFNA(VLOOKUP($AI149,Programma!$F$3:$Q$1101,12,0),"")</f>
        <v/>
      </c>
      <c r="AU149" s="114" t="str">
        <f>_xlfn.IFNA(VLOOKUP($AI149,Programma!$F$3:$R$1101,13,0),"")</f>
        <v/>
      </c>
      <c r="AV149" s="114" t="str">
        <f>_xlfn.IFNA(VLOOKUP($AI149,Programma!$F$3:$S$1101,14,0),"")</f>
        <v/>
      </c>
      <c r="AW149" s="114" t="str">
        <f>_xlfn.IFNA(VLOOKUP($AI149,Programma!$F$3:$T$1101,15,0),"")</f>
        <v/>
      </c>
      <c r="AX149" s="114" t="str">
        <f>_xlfn.IFNA(VLOOKUP($AI149,Programma!$F$3:$U$1101,16,0),"")</f>
        <v/>
      </c>
      <c r="AY149" s="114" t="str">
        <f>_xlfn.IFNA(VLOOKUP($AI149,Programma!$F$3:$V$1101,17,0),"")</f>
        <v/>
      </c>
      <c r="AZ149" s="114" t="str">
        <f>_xlfn.IFNA(VLOOKUP($AI149,Programma!$F$3:$W$1101,18,0),"")</f>
        <v/>
      </c>
      <c r="BA149" s="114" t="str">
        <f>_xlfn.IFNA(VLOOKUP($AI149,Programma!$F$3:$X$1101,19,0),"")</f>
        <v/>
      </c>
      <c r="BB149" s="114" t="str">
        <f>_xlfn.IFNA(VLOOKUP($AI149,Programma!$F$3:$Y$1101,20,0),"")</f>
        <v/>
      </c>
      <c r="BC149" s="111"/>
      <c r="BD149" s="110" t="str">
        <f>IF(Ruimtestaat[[#This Row],[Frequentie weekend]]="","",_xlfn.CONCAT(Ruimtestaat[[#This Row],[Ruimte code]],"-",Ruimtestaat[[#This Row],[Frequentie weekend]]," ",Ruimtestaat[[#This Row],[Vloer code]]))</f>
        <v/>
      </c>
      <c r="BE149" s="114" t="str">
        <f>_xlfn.IFNA(VLOOKUP($BD149,Programma!$F$3:$G$1101,2,0),"")</f>
        <v/>
      </c>
      <c r="BF149" s="114" t="str">
        <f>_xlfn.IFNA(VLOOKUP($BD149,Programma!$F$3:$H$1101,3,0),"")</f>
        <v/>
      </c>
      <c r="BG149" s="114" t="str">
        <f>_xlfn.IFNA(VLOOKUP($BD149,Programma!$F$3:$I$1101,4,0),"")</f>
        <v/>
      </c>
      <c r="BH149" s="114" t="str">
        <f>_xlfn.IFNA(VLOOKUP($BD149,Programma!$F$3:$J$1101,5,0),"")</f>
        <v/>
      </c>
      <c r="BI149" s="114" t="str">
        <f>_xlfn.IFNA(VLOOKUP($BD149,Programma!$F$3:$K$1101,6,0),"")</f>
        <v/>
      </c>
      <c r="BJ149" s="114" t="str">
        <f>_xlfn.IFNA(VLOOKUP($BD149,Programma!$F$3:$L$1101,7,0),"")</f>
        <v/>
      </c>
      <c r="BK149" s="114" t="str">
        <f>_xlfn.IFNA(VLOOKUP($BD149,Programma!$F$3:$M$1101,8,0),"")</f>
        <v/>
      </c>
      <c r="BL149" s="114" t="str">
        <f>_xlfn.IFNA(VLOOKUP($BD149,Programma!$F$3:$N$1101,9,0),"")</f>
        <v/>
      </c>
      <c r="BM149" s="114" t="str">
        <f>_xlfn.IFNA(VLOOKUP($BD149,Programma!$F$3:$O$1101,10,0),"")</f>
        <v/>
      </c>
      <c r="BN149" s="114" t="str">
        <f>_xlfn.IFNA(VLOOKUP($BD149,Programma!$F$3:$P$1101,11,0),"")</f>
        <v/>
      </c>
      <c r="BO149" s="114" t="str">
        <f>_xlfn.IFNA(VLOOKUP($BD149,Programma!$F$3:$Q$1101,12,0),"")</f>
        <v/>
      </c>
      <c r="BP149" s="114" t="str">
        <f>_xlfn.IFNA(VLOOKUP($BD149,Programma!$F$3:$R$1101,13,0),"")</f>
        <v/>
      </c>
      <c r="BQ149" s="114" t="str">
        <f>_xlfn.IFNA(VLOOKUP($BD149,Programma!$F$3:$S$1101,14,0),"")</f>
        <v/>
      </c>
      <c r="BR149" s="114" t="str">
        <f>_xlfn.IFNA(VLOOKUP($BD149,Programma!$F$3:$T$1101,15,0),"")</f>
        <v/>
      </c>
      <c r="BS149" s="114" t="str">
        <f>_xlfn.IFNA(VLOOKUP($BD149,Programma!$F$3:$U$1101,16,0),"")</f>
        <v/>
      </c>
      <c r="BT149" s="114" t="str">
        <f>_xlfn.IFNA(VLOOKUP($BD149,Programma!$F$3:$V$1101,17,0),"")</f>
        <v/>
      </c>
      <c r="BU149" s="114" t="str">
        <f>_xlfn.IFNA(VLOOKUP($BD149,Programma!$F$3:$W$1101,18,0),"")</f>
        <v/>
      </c>
      <c r="BV149" s="114" t="str">
        <f>_xlfn.IFNA(VLOOKUP($BD149,Programma!$F$3:$X$1101,19,0),"")</f>
        <v/>
      </c>
      <c r="BW149" s="114" t="str">
        <f>_xlfn.IFNA(VLOOKUP($BD149,Programma!$F$3:$Y$1101,20,0),"")</f>
        <v/>
      </c>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c r="ET149" s="28"/>
      <c r="EU149" s="28"/>
      <c r="EV149" s="28"/>
      <c r="EW149" s="28"/>
      <c r="EX149" s="28"/>
      <c r="EY149" s="28"/>
      <c r="EZ149" s="28"/>
      <c r="FA149" s="28"/>
      <c r="FB149" s="28"/>
      <c r="FC149" s="28"/>
      <c r="FD149" s="28"/>
      <c r="FE149" s="28"/>
      <c r="FF149" s="28"/>
      <c r="FG149" s="28"/>
      <c r="FH149" s="28"/>
      <c r="FI149" s="28"/>
      <c r="FJ149" s="28"/>
      <c r="FK149" s="28"/>
      <c r="FL149" s="28"/>
      <c r="FM149" s="28"/>
      <c r="FN149" s="28"/>
      <c r="FO149" s="28"/>
      <c r="FP149" s="28"/>
      <c r="FQ149" s="28"/>
      <c r="FR149" s="28"/>
      <c r="FS149" s="28"/>
      <c r="FT149" s="28"/>
      <c r="FU149" s="28"/>
      <c r="FV149" s="28"/>
      <c r="FW149" s="28"/>
      <c r="FX149" s="28"/>
      <c r="FY149" s="28"/>
      <c r="FZ149" s="28"/>
      <c r="GA149" s="28"/>
      <c r="GB149" s="28"/>
      <c r="GC149" s="28"/>
      <c r="GD149" s="28"/>
      <c r="GE149" s="28"/>
      <c r="GF149" s="28"/>
      <c r="GG149" s="28"/>
      <c r="GH149" s="28"/>
      <c r="GI149" s="28"/>
      <c r="GJ149" s="28"/>
      <c r="GK149" s="28"/>
      <c r="GL149" s="28"/>
      <c r="GM149" s="28"/>
      <c r="GN149" s="28"/>
      <c r="GO149" s="28"/>
      <c r="GP149" s="28"/>
      <c r="GQ149" s="28"/>
      <c r="GR149" s="28"/>
      <c r="GS149" s="28"/>
      <c r="GT149" s="28"/>
      <c r="GU149" s="28"/>
      <c r="GV149" s="28"/>
      <c r="GW149" s="28"/>
      <c r="GX149" s="28"/>
      <c r="GY149" s="28"/>
      <c r="GZ149" s="28"/>
      <c r="HA149" s="28"/>
      <c r="HB149" s="28"/>
      <c r="HC149" s="28"/>
      <c r="HD149" s="28"/>
      <c r="HE149" s="28"/>
      <c r="HF149" s="28"/>
      <c r="HG149" s="28"/>
      <c r="HH149" s="28"/>
      <c r="HI149" s="28"/>
      <c r="HJ149" s="28"/>
      <c r="HK149" s="28"/>
      <c r="HL149" s="28"/>
    </row>
    <row r="150" spans="1:220" ht="15" customHeight="1">
      <c r="A150" s="31">
        <v>3</v>
      </c>
      <c r="B150" s="105" t="str">
        <f>VLOOKUP(Ruimtestaat[[#This Row],[Code]],Locaties[[Code]:[Locatie]],2,FALSE)</f>
        <v>Sport IKC Het Startblok</v>
      </c>
      <c r="C150" s="105" t="str">
        <f>VLOOKUP(Ruimtestaat[[#This Row],[Code]],Locaties[[#All],[Code]:[Adres]],4,FALSE)</f>
        <v>Klapstraat 205</v>
      </c>
      <c r="D150" s="105" t="str">
        <f>VLOOKUP(Ruimtestaat[[#This Row],[Code]],Locaties[[#All],[Code]:[Postcode]],5,FALSE)</f>
        <v>6931 CH</v>
      </c>
      <c r="E150" s="105" t="str">
        <f>VLOOKUP(Ruimtestaat[[#This Row],[Code]],Locaties[#All],6,FALSE)</f>
        <v>Westervoort</v>
      </c>
      <c r="F150" s="73" t="s">
        <v>1795</v>
      </c>
      <c r="G150" s="73"/>
      <c r="H150" s="31" t="s">
        <v>1694</v>
      </c>
      <c r="I150" s="113" t="s">
        <v>1790</v>
      </c>
      <c r="J150" s="31">
        <v>5</v>
      </c>
      <c r="K150" s="113" t="str">
        <f>VLOOKUP(Ruimtestaat[[#This Row],[Ruimte code]],Ruimtegroepen[[#All],[Code]:[Ruimte omschrijving]],2,FALSE)</f>
        <v>Sanitair</v>
      </c>
      <c r="L150" s="73" t="s">
        <v>102</v>
      </c>
      <c r="M150" s="273" t="s">
        <v>120</v>
      </c>
      <c r="N150" s="106">
        <v>5.2</v>
      </c>
      <c r="O150" s="112"/>
      <c r="P150" s="73"/>
      <c r="Q150" s="107" t="str">
        <f>VLOOKUP(Ruimtestaat[[#This Row],[Ruimte code]],Ruimtegroepen[],4,FALSE)</f>
        <v>Sa</v>
      </c>
      <c r="R150" s="73">
        <v>40</v>
      </c>
      <c r="S150" s="73" t="s">
        <v>2</v>
      </c>
      <c r="T150" s="73">
        <f>IF(R150&gt;0,IF(RIGHT(Ruimtestaat[[#This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0" s="73">
        <f>IF(T150&gt;0,VLOOKUP($J150,Ruimtegroepen[],3,FALSE)*VLOOKUP($L150,Vloersoorten[],3,FALSE)*VLOOKUP($S150,Frequenties[],3,FALSE)*VLOOKUP($A150,Locaties[],3,FALSE),0)</f>
        <v>0</v>
      </c>
      <c r="V150" s="73">
        <f>Ruimtestaat[[#This Row],[Uitvoeringen werkdagen]]*Ruimtestaat[[#This Row],[Oppervlak (netto)]]</f>
        <v>1040</v>
      </c>
      <c r="W150" s="108">
        <f>IF(U150&gt;0,Ruimtestaat[[#This Row],[Prest. (m2 /jaar) werkdagen]]/Ruimtestaat[[#This Row],[Norm (m2/uur) werkdagen]],0)</f>
        <v>0</v>
      </c>
      <c r="X150" s="109">
        <f>Ruimtestaat[[#This Row],[uren / jaar werkdagen]]*Tariefsopbouw!$E$35</f>
        <v>0</v>
      </c>
      <c r="Y150" s="73"/>
      <c r="Z150" s="73">
        <f>IF(Ruimtestaat[[#This Row],[Frequentie weekend]]&gt;0,VALUE(LEFT(Y150,1))*R150,0)</f>
        <v>0</v>
      </c>
      <c r="AA150" s="72">
        <f>IF($Z150&gt;0,VLOOKUP($J150,Ruimtegroepen[],3,FALSE)*VLOOKUP($L150,Vloersoorten[],3,FALSE)*VLOOKUP($Y150,Frequenties[],3,FALSE)*VLOOKUP(Ruimtestaat[[#This Row],[Code]],Locaties[],3,FALSE),0)</f>
        <v>0</v>
      </c>
      <c r="AB150" s="72">
        <f>Ruimtestaat[[#This Row],[Uitvoeringen weekend]]*Ruimtestaat[[#This Row],[Oppervlak (netto)]]</f>
        <v>0</v>
      </c>
      <c r="AC150" s="72">
        <f>IF(AA150&gt;0,Ruimtestaat[[#This Row],[Prest. (m2 /jaar) weekend]]/Ruimtestaat[[#This Row],[Norm (m2/uur) weekend]],0)</f>
        <v>0</v>
      </c>
      <c r="AD150" s="109">
        <f>Ruimtestaat[[#This Row],[uren / jaar weekend]]*Tariefsopbouw!$D$40</f>
        <v>0</v>
      </c>
      <c r="AE150" s="108">
        <f>Ruimtestaat[[#This Row],[Prest. (m2 /jaar) weekend]]+Ruimtestaat[[#This Row],[Prest. (m2 /jaar) werkdagen]]</f>
        <v>1040</v>
      </c>
      <c r="AF150" s="108">
        <f>Ruimtestaat[[#This Row],[uren / jaar weekend]]+Ruimtestaat[[#This Row],[uren / jaar werkdagen]]</f>
        <v>0</v>
      </c>
      <c r="AG150" s="103">
        <f>Ruimtestaat[[#This Row],[kosten / jaar weekend]]+Ruimtestaat[[#This Row],[kosten / jaar werkdagen]]</f>
        <v>0</v>
      </c>
      <c r="AH150" s="103"/>
      <c r="AI150" s="110" t="str">
        <f>IF(Ruimtestaat[[#This Row],[Frequentie werkdagen]]="","",_xlfn.CONCAT(Ruimtestaat[[#This Row],[Ruimte code]],"-",Ruimtestaat[[#This Row],[Frequentie werkdagen]]," ",Ruimtestaat[[#This Row],[Vloer code]]))</f>
        <v>5-5w P</v>
      </c>
      <c r="AJ150" s="114" t="str">
        <f>_xlfn.IFNA(VLOOKUP($AI150,Programma!$F$3:$G$1101,2,0),"")</f>
        <v>_</v>
      </c>
      <c r="AK150" s="114" t="str">
        <f>_xlfn.IFNA(VLOOKUP($AI150,Programma!$F$3:$H$1101,3,0),"")</f>
        <v>_</v>
      </c>
      <c r="AL150" s="114" t="str">
        <f>_xlfn.IFNA(VLOOKUP($AI150,Programma!$F$3:$I$1101,4,0),"")</f>
        <v>_</v>
      </c>
      <c r="AM150" s="114" t="str">
        <f>_xlfn.IFNA(VLOOKUP($AI150,Programma!$F$3:$J$1101,5,0),"")</f>
        <v>4w</v>
      </c>
      <c r="AN150" s="114" t="str">
        <f>_xlfn.IFNA(VLOOKUP($AI150,Programma!$F$3:$K$1101,6,0),"")</f>
        <v>1w</v>
      </c>
      <c r="AO150" s="114" t="str">
        <f>_xlfn.IFNA(VLOOKUP($AI150,Programma!$F$3:$L$1101,7,0),"")</f>
        <v>_</v>
      </c>
      <c r="AP150" s="114" t="str">
        <f>_xlfn.IFNA(VLOOKUP($AI150,Programma!$F$3:$M$1101,8,0),"")</f>
        <v>_</v>
      </c>
      <c r="AQ150" s="114" t="str">
        <f>_xlfn.IFNA(VLOOKUP($AI150,Programma!$F$3:$N$1101,9,0),"")</f>
        <v>_</v>
      </c>
      <c r="AR150" s="114" t="str">
        <f>_xlfn.IFNA(VLOOKUP($AI150,Programma!$F$3:$O$1101,10,0),"")</f>
        <v>_</v>
      </c>
      <c r="AS150" s="114" t="str">
        <f>_xlfn.IFNA(VLOOKUP($AI150,Programma!$F$3:$P$1101,11,0),"")</f>
        <v>_</v>
      </c>
      <c r="AT150" s="114" t="str">
        <f>_xlfn.IFNA(VLOOKUP($AI150,Programma!$F$3:$Q$1101,12,0),"")</f>
        <v>_</v>
      </c>
      <c r="AU150" s="114" t="str">
        <f>_xlfn.IFNA(VLOOKUP($AI150,Programma!$F$3:$R$1101,13,0),"")</f>
        <v>_</v>
      </c>
      <c r="AV150" s="114" t="str">
        <f>_xlfn.IFNA(VLOOKUP($AI150,Programma!$F$3:$S$1101,14,0),"")</f>
        <v>_</v>
      </c>
      <c r="AW150" s="114" t="str">
        <f>_xlfn.IFNA(VLOOKUP($AI150,Programma!$F$3:$T$1101,15,0),"")</f>
        <v>_</v>
      </c>
      <c r="AX150" s="114" t="str">
        <f>_xlfn.IFNA(VLOOKUP($AI150,Programma!$F$3:$U$1101,16,0),"")</f>
        <v>_</v>
      </c>
      <c r="AY150" s="114" t="str">
        <f>_xlfn.IFNA(VLOOKUP($AI150,Programma!$F$3:$V$1101,17,0),"")</f>
        <v>_</v>
      </c>
      <c r="AZ150" s="114" t="str">
        <f>_xlfn.IFNA(VLOOKUP($AI150,Programma!$F$3:$W$1101,18,0),"")</f>
        <v>4w</v>
      </c>
      <c r="BA150" s="114" t="str">
        <f>_xlfn.IFNA(VLOOKUP($AI150,Programma!$F$3:$X$1101,19,0),"")</f>
        <v>1w</v>
      </c>
      <c r="BB150" s="114" t="str">
        <f>_xlfn.IFNA(VLOOKUP($AI150,Programma!$F$3:$Y$1101,20,0),"")</f>
        <v>_</v>
      </c>
      <c r="BC150" s="111"/>
      <c r="BD150" s="110" t="str">
        <f>IF(Ruimtestaat[[#This Row],[Frequentie weekend]]="","",_xlfn.CONCAT(Ruimtestaat[[#This Row],[Ruimte code]],"-",Ruimtestaat[[#This Row],[Frequentie weekend]]," ",Ruimtestaat[[#This Row],[Vloer code]]))</f>
        <v/>
      </c>
      <c r="BE150" s="114" t="str">
        <f>_xlfn.IFNA(VLOOKUP($BD150,Programma!$F$3:$G$1101,2,0),"")</f>
        <v/>
      </c>
      <c r="BF150" s="114" t="str">
        <f>_xlfn.IFNA(VLOOKUP($BD150,Programma!$F$3:$H$1101,3,0),"")</f>
        <v/>
      </c>
      <c r="BG150" s="114" t="str">
        <f>_xlfn.IFNA(VLOOKUP($BD150,Programma!$F$3:$I$1101,4,0),"")</f>
        <v/>
      </c>
      <c r="BH150" s="114" t="str">
        <f>_xlfn.IFNA(VLOOKUP($BD150,Programma!$F$3:$J$1101,5,0),"")</f>
        <v/>
      </c>
      <c r="BI150" s="114" t="str">
        <f>_xlfn.IFNA(VLOOKUP($BD150,Programma!$F$3:$K$1101,6,0),"")</f>
        <v/>
      </c>
      <c r="BJ150" s="114" t="str">
        <f>_xlfn.IFNA(VLOOKUP($BD150,Programma!$F$3:$L$1101,7,0),"")</f>
        <v/>
      </c>
      <c r="BK150" s="114" t="str">
        <f>_xlfn.IFNA(VLOOKUP($BD150,Programma!$F$3:$M$1101,8,0),"")</f>
        <v/>
      </c>
      <c r="BL150" s="114" t="str">
        <f>_xlfn.IFNA(VLOOKUP($BD150,Programma!$F$3:$N$1101,9,0),"")</f>
        <v/>
      </c>
      <c r="BM150" s="114" t="str">
        <f>_xlfn.IFNA(VLOOKUP($BD150,Programma!$F$3:$O$1101,10,0),"")</f>
        <v/>
      </c>
      <c r="BN150" s="114" t="str">
        <f>_xlfn.IFNA(VLOOKUP($BD150,Programma!$F$3:$P$1101,11,0),"")</f>
        <v/>
      </c>
      <c r="BO150" s="114" t="str">
        <f>_xlfn.IFNA(VLOOKUP($BD150,Programma!$F$3:$Q$1101,12,0),"")</f>
        <v/>
      </c>
      <c r="BP150" s="114" t="str">
        <f>_xlfn.IFNA(VLOOKUP($BD150,Programma!$F$3:$R$1101,13,0),"")</f>
        <v/>
      </c>
      <c r="BQ150" s="114" t="str">
        <f>_xlfn.IFNA(VLOOKUP($BD150,Programma!$F$3:$S$1101,14,0),"")</f>
        <v/>
      </c>
      <c r="BR150" s="114" t="str">
        <f>_xlfn.IFNA(VLOOKUP($BD150,Programma!$F$3:$T$1101,15,0),"")</f>
        <v/>
      </c>
      <c r="BS150" s="114" t="str">
        <f>_xlfn.IFNA(VLOOKUP($BD150,Programma!$F$3:$U$1101,16,0),"")</f>
        <v/>
      </c>
      <c r="BT150" s="114" t="str">
        <f>_xlfn.IFNA(VLOOKUP($BD150,Programma!$F$3:$V$1101,17,0),"")</f>
        <v/>
      </c>
      <c r="BU150" s="114" t="str">
        <f>_xlfn.IFNA(VLOOKUP($BD150,Programma!$F$3:$W$1101,18,0),"")</f>
        <v/>
      </c>
      <c r="BV150" s="114" t="str">
        <f>_xlfn.IFNA(VLOOKUP($BD150,Programma!$F$3:$X$1101,19,0),"")</f>
        <v/>
      </c>
      <c r="BW150" s="114" t="str">
        <f>_xlfn.IFNA(VLOOKUP($BD150,Programma!$F$3:$Y$1101,20,0),"")</f>
        <v/>
      </c>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c r="EO150" s="28"/>
      <c r="EP150" s="28"/>
      <c r="EQ150" s="28"/>
      <c r="ER150" s="28"/>
      <c r="ES150" s="28"/>
      <c r="ET150" s="28"/>
      <c r="EU150" s="28"/>
      <c r="EV150" s="28"/>
      <c r="EW150" s="28"/>
      <c r="EX150" s="28"/>
      <c r="EY150" s="28"/>
      <c r="EZ150" s="28"/>
      <c r="FA150" s="28"/>
      <c r="FB150" s="28"/>
      <c r="FC150" s="28"/>
      <c r="FD150" s="28"/>
      <c r="FE150" s="28"/>
      <c r="FF150" s="28"/>
      <c r="FG150" s="28"/>
      <c r="FH150" s="28"/>
      <c r="FI150" s="28"/>
      <c r="FJ150" s="28"/>
      <c r="FK150" s="28"/>
      <c r="FL150" s="28"/>
      <c r="FM150" s="28"/>
      <c r="FN150" s="28"/>
      <c r="FO150" s="28"/>
      <c r="FP150" s="28"/>
      <c r="FQ150" s="28"/>
      <c r="FR150" s="28"/>
      <c r="FS150" s="28"/>
      <c r="FT150" s="28"/>
      <c r="FU150" s="28"/>
      <c r="FV150" s="28"/>
      <c r="FW150" s="28"/>
      <c r="FX150" s="28"/>
      <c r="FY150" s="28"/>
      <c r="FZ150" s="28"/>
      <c r="GA150" s="28"/>
      <c r="GB150" s="28"/>
      <c r="GC150" s="28"/>
      <c r="GD150" s="28"/>
      <c r="GE150" s="28"/>
      <c r="GF150" s="28"/>
      <c r="GG150" s="28"/>
      <c r="GH150" s="28"/>
      <c r="GI150" s="28"/>
      <c r="GJ150" s="28"/>
      <c r="GK150" s="28"/>
      <c r="GL150" s="28"/>
      <c r="GM150" s="28"/>
      <c r="GN150" s="28"/>
      <c r="GO150" s="28"/>
      <c r="GP150" s="28"/>
      <c r="GQ150" s="28"/>
      <c r="GR150" s="28"/>
      <c r="GS150" s="28"/>
      <c r="GT150" s="28"/>
      <c r="GU150" s="28"/>
      <c r="GV150" s="28"/>
      <c r="GW150" s="28"/>
      <c r="GX150" s="28"/>
      <c r="GY150" s="28"/>
      <c r="GZ150" s="28"/>
      <c r="HA150" s="28"/>
      <c r="HB150" s="28"/>
      <c r="HC150" s="28"/>
      <c r="HD150" s="28"/>
      <c r="HE150" s="28"/>
      <c r="HF150" s="28"/>
      <c r="HG150" s="28"/>
      <c r="HH150" s="28"/>
      <c r="HI150" s="28"/>
      <c r="HJ150" s="28"/>
      <c r="HK150" s="28"/>
      <c r="HL150" s="28"/>
    </row>
    <row r="151" spans="1:220" ht="15" customHeight="1">
      <c r="A151" s="31">
        <v>3</v>
      </c>
      <c r="B151" s="105" t="str">
        <f>VLOOKUP(Ruimtestaat[[#This Row],[Code]],Locaties[[Code]:[Locatie]],2,FALSE)</f>
        <v>Sport IKC Het Startblok</v>
      </c>
      <c r="C151" s="105" t="str">
        <f>VLOOKUP(Ruimtestaat[[#This Row],[Code]],Locaties[[#All],[Code]:[Adres]],4,FALSE)</f>
        <v>Klapstraat 205</v>
      </c>
      <c r="D151" s="105" t="str">
        <f>VLOOKUP(Ruimtestaat[[#This Row],[Code]],Locaties[[#All],[Code]:[Postcode]],5,FALSE)</f>
        <v>6931 CH</v>
      </c>
      <c r="E151" s="105" t="str">
        <f>VLOOKUP(Ruimtestaat[[#This Row],[Code]],Locaties[#All],6,FALSE)</f>
        <v>Westervoort</v>
      </c>
      <c r="F151" s="73" t="s">
        <v>1795</v>
      </c>
      <c r="G151" s="73"/>
      <c r="H151" s="31" t="s">
        <v>1695</v>
      </c>
      <c r="I151" s="113" t="s">
        <v>1996</v>
      </c>
      <c r="J151" s="31">
        <v>2</v>
      </c>
      <c r="K151" s="113" t="str">
        <f>VLOOKUP(Ruimtestaat[[#This Row],[Ruimte code]],Ruimtegroepen[[#All],[Code]:[Ruimte omschrijving]],2,FALSE)</f>
        <v>Kantoren</v>
      </c>
      <c r="L151" s="73" t="s">
        <v>102</v>
      </c>
      <c r="M151" s="273" t="s">
        <v>120</v>
      </c>
      <c r="N151" s="106">
        <v>27.599999999999998</v>
      </c>
      <c r="O151" s="112"/>
      <c r="P151" s="112"/>
      <c r="Q151" s="107" t="str">
        <f>VLOOKUP(Ruimtestaat[[#This Row],[Ruimte code]],Ruimtegroepen[],4,FALSE)</f>
        <v>Bu</v>
      </c>
      <c r="R151" s="73">
        <v>40</v>
      </c>
      <c r="S151" s="73" t="s">
        <v>15</v>
      </c>
      <c r="T151" s="73">
        <f>IF(R151&gt;0,IF(RIGHT(Ruimtestaat[[#This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1" s="73">
        <f>IF(T151&gt;0,VLOOKUP($J151,Ruimtegroepen[],3,FALSE)*VLOOKUP($L151,Vloersoorten[],3,FALSE)*VLOOKUP($S151,Frequenties[],3,FALSE)*VLOOKUP($A151,Locaties[],3,FALSE),0)</f>
        <v>0</v>
      </c>
      <c r="V151" s="73">
        <f>Ruimtestaat[[#This Row],[Uitvoeringen werkdagen]]*Ruimtestaat[[#This Row],[Oppervlak (netto)]]</f>
        <v>1104</v>
      </c>
      <c r="W151" s="108">
        <f>IF(U151&gt;0,Ruimtestaat[[#This Row],[Prest. (m2 /jaar) werkdagen]]/Ruimtestaat[[#This Row],[Norm (m2/uur) werkdagen]],0)</f>
        <v>0</v>
      </c>
      <c r="X151" s="109">
        <f>Ruimtestaat[[#This Row],[uren / jaar werkdagen]]*Tariefsopbouw!$E$35</f>
        <v>0</v>
      </c>
      <c r="Y151" s="73"/>
      <c r="Z151" s="73">
        <f>IF(Ruimtestaat[[#This Row],[Frequentie weekend]]&gt;0,VALUE(LEFT(Y151,1))*R151,0)</f>
        <v>0</v>
      </c>
      <c r="AA151" s="72">
        <f>IF($Z151&gt;0,VLOOKUP($J151,Ruimtegroepen[],3,FALSE)*VLOOKUP($L151,Vloersoorten[],3,FALSE)*VLOOKUP($Y151,Frequenties[],3,FALSE)*VLOOKUP(Ruimtestaat[[#This Row],[Code]],Locaties[],3,FALSE),0)</f>
        <v>0</v>
      </c>
      <c r="AB151" s="72">
        <f>Ruimtestaat[[#This Row],[Uitvoeringen weekend]]*Ruimtestaat[[#This Row],[Oppervlak (netto)]]</f>
        <v>0</v>
      </c>
      <c r="AC151" s="72">
        <f>IF(AA151&gt;0,Ruimtestaat[[#This Row],[Prest. (m2 /jaar) weekend]]/Ruimtestaat[[#This Row],[Norm (m2/uur) weekend]],0)</f>
        <v>0</v>
      </c>
      <c r="AD151" s="109">
        <f>Ruimtestaat[[#This Row],[uren / jaar weekend]]*Tariefsopbouw!$D$40</f>
        <v>0</v>
      </c>
      <c r="AE151" s="108">
        <f>Ruimtestaat[[#This Row],[Prest. (m2 /jaar) weekend]]+Ruimtestaat[[#This Row],[Prest. (m2 /jaar) werkdagen]]</f>
        <v>1104</v>
      </c>
      <c r="AF151" s="108">
        <f>Ruimtestaat[[#This Row],[uren / jaar weekend]]+Ruimtestaat[[#This Row],[uren / jaar werkdagen]]</f>
        <v>0</v>
      </c>
      <c r="AG151" s="103">
        <f>Ruimtestaat[[#This Row],[kosten / jaar weekend]]+Ruimtestaat[[#This Row],[kosten / jaar werkdagen]]</f>
        <v>0</v>
      </c>
      <c r="AH151" s="103"/>
      <c r="AI151" s="110" t="str">
        <f>IF(Ruimtestaat[[#This Row],[Frequentie werkdagen]]="","",_xlfn.CONCAT(Ruimtestaat[[#This Row],[Ruimte code]],"-",Ruimtestaat[[#This Row],[Frequentie werkdagen]]," ",Ruimtestaat[[#This Row],[Vloer code]]))</f>
        <v>2-1w P</v>
      </c>
      <c r="AJ151" s="114" t="str">
        <f>_xlfn.IFNA(VLOOKUP($AI151,Programma!$F$3:$G$1101,2,0),"")</f>
        <v>_</v>
      </c>
      <c r="AK151" s="114" t="str">
        <f>_xlfn.IFNA(VLOOKUP($AI151,Programma!$F$3:$H$1101,3,0),"")</f>
        <v>_</v>
      </c>
      <c r="AL151" s="114" t="str">
        <f>_xlfn.IFNA(VLOOKUP($AI151,Programma!$F$3:$I$1101,4,0),"")</f>
        <v>_</v>
      </c>
      <c r="AM151" s="114" t="str">
        <f>_xlfn.IFNA(VLOOKUP($AI151,Programma!$F$3:$J$1101,5,0),"")</f>
        <v>1w</v>
      </c>
      <c r="AN151" s="114" t="str">
        <f>_xlfn.IFNA(VLOOKUP($AI151,Programma!$F$3:$K$1101,6,0),"")</f>
        <v>1j</v>
      </c>
      <c r="AO151" s="114" t="str">
        <f>_xlfn.IFNA(VLOOKUP($AI151,Programma!$F$3:$L$1101,7,0),"")</f>
        <v>_</v>
      </c>
      <c r="AP151" s="114" t="str">
        <f>_xlfn.IFNA(VLOOKUP($AI151,Programma!$F$3:$M$1101,8,0),"")</f>
        <v>_</v>
      </c>
      <c r="AQ151" s="114" t="str">
        <f>_xlfn.IFNA(VLOOKUP($AI151,Programma!$F$3:$N$1101,9,0),"")</f>
        <v>_</v>
      </c>
      <c r="AR151" s="114" t="str">
        <f>_xlfn.IFNA(VLOOKUP($AI151,Programma!$F$3:$O$1101,10,0),"")</f>
        <v>1w</v>
      </c>
      <c r="AS151" s="114" t="str">
        <f>_xlfn.IFNA(VLOOKUP($AI151,Programma!$F$3:$P$1101,11,0),"")</f>
        <v>1w</v>
      </c>
      <c r="AT151" s="114" t="str">
        <f>_xlfn.IFNA(VLOOKUP($AI151,Programma!$F$3:$Q$1101,12,0),"")</f>
        <v>1w</v>
      </c>
      <c r="AU151" s="114" t="str">
        <f>_xlfn.IFNA(VLOOKUP($AI151,Programma!$F$3:$R$1101,13,0),"")</f>
        <v>1w</v>
      </c>
      <c r="AV151" s="114" t="str">
        <f>_xlfn.IFNA(VLOOKUP($AI151,Programma!$F$3:$S$1101,14,0),"")</f>
        <v>1m</v>
      </c>
      <c r="AW151" s="114" t="str">
        <f>_xlfn.IFNA(VLOOKUP($AI151,Programma!$F$3:$T$1101,15,0),"")</f>
        <v>2j</v>
      </c>
      <c r="AX151" s="114" t="str">
        <f>_xlfn.IFNA(VLOOKUP($AI151,Programma!$F$3:$U$1101,16,0),"")</f>
        <v>1j</v>
      </c>
      <c r="AY151" s="114" t="str">
        <f>_xlfn.IFNA(VLOOKUP($AI151,Programma!$F$3:$V$1101,17,0),"")</f>
        <v>_</v>
      </c>
      <c r="AZ151" s="114" t="str">
        <f>_xlfn.IFNA(VLOOKUP($AI151,Programma!$F$3:$W$1101,18,0),"")</f>
        <v>_</v>
      </c>
      <c r="BA151" s="114" t="str">
        <f>_xlfn.IFNA(VLOOKUP($AI151,Programma!$F$3:$X$1101,19,0),"")</f>
        <v>_</v>
      </c>
      <c r="BB151" s="114" t="str">
        <f>_xlfn.IFNA(VLOOKUP($AI151,Programma!$F$3:$Y$1101,20,0),"")</f>
        <v>_</v>
      </c>
      <c r="BC151" s="111"/>
      <c r="BD151" s="110" t="str">
        <f>IF(Ruimtestaat[[#This Row],[Frequentie weekend]]="","",_xlfn.CONCAT(Ruimtestaat[[#This Row],[Ruimte code]],"-",Ruimtestaat[[#This Row],[Frequentie weekend]]," ",Ruimtestaat[[#This Row],[Vloer code]]))</f>
        <v/>
      </c>
      <c r="BE151" s="114" t="str">
        <f>_xlfn.IFNA(VLOOKUP($BD151,Programma!$F$3:$G$1101,2,0),"")</f>
        <v/>
      </c>
      <c r="BF151" s="114" t="str">
        <f>_xlfn.IFNA(VLOOKUP($BD151,Programma!$F$3:$H$1101,3,0),"")</f>
        <v/>
      </c>
      <c r="BG151" s="114" t="str">
        <f>_xlfn.IFNA(VLOOKUP($BD151,Programma!$F$3:$I$1101,4,0),"")</f>
        <v/>
      </c>
      <c r="BH151" s="114" t="str">
        <f>_xlfn.IFNA(VLOOKUP($BD151,Programma!$F$3:$J$1101,5,0),"")</f>
        <v/>
      </c>
      <c r="BI151" s="114" t="str">
        <f>_xlfn.IFNA(VLOOKUP($BD151,Programma!$F$3:$K$1101,6,0),"")</f>
        <v/>
      </c>
      <c r="BJ151" s="114" t="str">
        <f>_xlfn.IFNA(VLOOKUP($BD151,Programma!$F$3:$L$1101,7,0),"")</f>
        <v/>
      </c>
      <c r="BK151" s="114" t="str">
        <f>_xlfn.IFNA(VLOOKUP($BD151,Programma!$F$3:$M$1101,8,0),"")</f>
        <v/>
      </c>
      <c r="BL151" s="114" t="str">
        <f>_xlfn.IFNA(VLOOKUP($BD151,Programma!$F$3:$N$1101,9,0),"")</f>
        <v/>
      </c>
      <c r="BM151" s="114" t="str">
        <f>_xlfn.IFNA(VLOOKUP($BD151,Programma!$F$3:$O$1101,10,0),"")</f>
        <v/>
      </c>
      <c r="BN151" s="114" t="str">
        <f>_xlfn.IFNA(VLOOKUP($BD151,Programma!$F$3:$P$1101,11,0),"")</f>
        <v/>
      </c>
      <c r="BO151" s="114" t="str">
        <f>_xlfn.IFNA(VLOOKUP($BD151,Programma!$F$3:$Q$1101,12,0),"")</f>
        <v/>
      </c>
      <c r="BP151" s="114" t="str">
        <f>_xlfn.IFNA(VLOOKUP($BD151,Programma!$F$3:$R$1101,13,0),"")</f>
        <v/>
      </c>
      <c r="BQ151" s="114" t="str">
        <f>_xlfn.IFNA(VLOOKUP($BD151,Programma!$F$3:$S$1101,14,0),"")</f>
        <v/>
      </c>
      <c r="BR151" s="114" t="str">
        <f>_xlfn.IFNA(VLOOKUP($BD151,Programma!$F$3:$T$1101,15,0),"")</f>
        <v/>
      </c>
      <c r="BS151" s="114" t="str">
        <f>_xlfn.IFNA(VLOOKUP($BD151,Programma!$F$3:$U$1101,16,0),"")</f>
        <v/>
      </c>
      <c r="BT151" s="114" t="str">
        <f>_xlfn.IFNA(VLOOKUP($BD151,Programma!$F$3:$V$1101,17,0),"")</f>
        <v/>
      </c>
      <c r="BU151" s="114" t="str">
        <f>_xlfn.IFNA(VLOOKUP($BD151,Programma!$F$3:$W$1101,18,0),"")</f>
        <v/>
      </c>
      <c r="BV151" s="114" t="str">
        <f>_xlfn.IFNA(VLOOKUP($BD151,Programma!$F$3:$X$1101,19,0),"")</f>
        <v/>
      </c>
      <c r="BW151" s="114" t="str">
        <f>_xlfn.IFNA(VLOOKUP($BD151,Programma!$F$3:$Y$1101,20,0),"")</f>
        <v/>
      </c>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c r="EO151" s="28"/>
      <c r="EP151" s="28"/>
      <c r="EQ151" s="28"/>
      <c r="ER151" s="28"/>
      <c r="ES151" s="28"/>
      <c r="ET151" s="28"/>
      <c r="EU151" s="28"/>
      <c r="EV151" s="28"/>
      <c r="EW151" s="28"/>
      <c r="EX151" s="28"/>
      <c r="EY151" s="28"/>
      <c r="EZ151" s="28"/>
      <c r="FA151" s="28"/>
      <c r="FB151" s="28"/>
      <c r="FC151" s="28"/>
      <c r="FD151" s="28"/>
      <c r="FE151" s="28"/>
      <c r="FF151" s="28"/>
      <c r="FG151" s="28"/>
      <c r="FH151" s="28"/>
      <c r="FI151" s="28"/>
      <c r="FJ151" s="28"/>
      <c r="FK151" s="28"/>
      <c r="FL151" s="28"/>
      <c r="FM151" s="28"/>
      <c r="FN151" s="28"/>
      <c r="FO151" s="28"/>
      <c r="FP151" s="28"/>
      <c r="FQ151" s="28"/>
      <c r="FR151" s="28"/>
      <c r="FS151" s="28"/>
      <c r="FT151" s="28"/>
      <c r="FU151" s="28"/>
      <c r="FV151" s="28"/>
      <c r="FW151" s="28"/>
      <c r="FX151" s="28"/>
      <c r="FY151" s="28"/>
      <c r="FZ151" s="28"/>
      <c r="GA151" s="28"/>
      <c r="GB151" s="28"/>
      <c r="GC151" s="28"/>
      <c r="GD151" s="28"/>
      <c r="GE151" s="28"/>
      <c r="GF151" s="28"/>
      <c r="GG151" s="28"/>
      <c r="GH151" s="28"/>
      <c r="GI151" s="28"/>
      <c r="GJ151" s="28"/>
      <c r="GK151" s="28"/>
      <c r="GL151" s="28"/>
      <c r="GM151" s="28"/>
      <c r="GN151" s="28"/>
      <c r="GO151" s="28"/>
      <c r="GP151" s="28"/>
      <c r="GQ151" s="28"/>
      <c r="GR151" s="28"/>
      <c r="GS151" s="28"/>
      <c r="GT151" s="28"/>
      <c r="GU151" s="28"/>
      <c r="GV151" s="28"/>
      <c r="GW151" s="28"/>
      <c r="GX151" s="28"/>
      <c r="GY151" s="28"/>
      <c r="GZ151" s="28"/>
      <c r="HA151" s="28"/>
      <c r="HB151" s="28"/>
      <c r="HC151" s="28"/>
      <c r="HD151" s="28"/>
      <c r="HE151" s="28"/>
      <c r="HF151" s="28"/>
      <c r="HG151" s="28"/>
      <c r="HH151" s="28"/>
      <c r="HI151" s="28"/>
      <c r="HJ151" s="28"/>
      <c r="HK151" s="28"/>
      <c r="HL151" s="28"/>
    </row>
    <row r="152" spans="1:220" ht="15" customHeight="1">
      <c r="A152" s="31">
        <v>3</v>
      </c>
      <c r="B152" s="105" t="str">
        <f>VLOOKUP(Ruimtestaat[[#This Row],[Code]],Locaties[[Code]:[Locatie]],2,FALSE)</f>
        <v>Sport IKC Het Startblok</v>
      </c>
      <c r="C152" s="105" t="str">
        <f>VLOOKUP(Ruimtestaat[[#This Row],[Code]],Locaties[[#All],[Code]:[Adres]],4,FALSE)</f>
        <v>Klapstraat 205</v>
      </c>
      <c r="D152" s="105" t="str">
        <f>VLOOKUP(Ruimtestaat[[#This Row],[Code]],Locaties[[#All],[Code]:[Postcode]],5,FALSE)</f>
        <v>6931 CH</v>
      </c>
      <c r="E152" s="105" t="str">
        <f>VLOOKUP(Ruimtestaat[[#This Row],[Code]],Locaties[#All],6,FALSE)</f>
        <v>Westervoort</v>
      </c>
      <c r="F152" s="73" t="s">
        <v>1795</v>
      </c>
      <c r="G152" s="73"/>
      <c r="H152" s="31" t="s">
        <v>1696</v>
      </c>
      <c r="I152" s="113" t="s">
        <v>1753</v>
      </c>
      <c r="J152" s="31">
        <v>4</v>
      </c>
      <c r="K152" s="113" t="str">
        <f>VLOOKUP(Ruimtestaat[[#This Row],[Ruimte code]],Ruimtegroepen[[#All],[Code]:[Ruimte omschrijving]],2,FALSE)</f>
        <v>Vergader/spreekkamers</v>
      </c>
      <c r="L152" s="73" t="s">
        <v>102</v>
      </c>
      <c r="M152" s="273" t="s">
        <v>120</v>
      </c>
      <c r="N152" s="106">
        <v>13.799999999999999</v>
      </c>
      <c r="O152" s="112"/>
      <c r="P152" s="112"/>
      <c r="Q152" s="107" t="str">
        <f>VLOOKUP(Ruimtestaat[[#This Row],[Ruimte code]],Ruimtegroepen[],4,FALSE)</f>
        <v>Bu</v>
      </c>
      <c r="R152" s="73">
        <v>40</v>
      </c>
      <c r="S152" s="73" t="s">
        <v>15</v>
      </c>
      <c r="T152" s="73">
        <f>IF(R152&gt;0,IF(RIGHT(Ruimtestaat[[#This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2" s="73">
        <f>IF(T152&gt;0,VLOOKUP($J152,Ruimtegroepen[],3,FALSE)*VLOOKUP($L152,Vloersoorten[],3,FALSE)*VLOOKUP($S152,Frequenties[],3,FALSE)*VLOOKUP($A152,Locaties[],3,FALSE),0)</f>
        <v>0</v>
      </c>
      <c r="V152" s="73">
        <f>Ruimtestaat[[#This Row],[Uitvoeringen werkdagen]]*Ruimtestaat[[#This Row],[Oppervlak (netto)]]</f>
        <v>552</v>
      </c>
      <c r="W152" s="108">
        <f>IF(U152&gt;0,Ruimtestaat[[#This Row],[Prest. (m2 /jaar) werkdagen]]/Ruimtestaat[[#This Row],[Norm (m2/uur) werkdagen]],0)</f>
        <v>0</v>
      </c>
      <c r="X152" s="109">
        <f>Ruimtestaat[[#This Row],[uren / jaar werkdagen]]*Tariefsopbouw!$E$35</f>
        <v>0</v>
      </c>
      <c r="Y152" s="73"/>
      <c r="Z152" s="73">
        <f>IF(Ruimtestaat[[#This Row],[Frequentie weekend]]&gt;0,VALUE(LEFT(Y152,1))*R152,0)</f>
        <v>0</v>
      </c>
      <c r="AA152" s="72">
        <f>IF($Z152&gt;0,VLOOKUP($J152,Ruimtegroepen[],3,FALSE)*VLOOKUP($L152,Vloersoorten[],3,FALSE)*VLOOKUP($Y152,Frequenties[],3,FALSE)*VLOOKUP(Ruimtestaat[[#This Row],[Code]],Locaties[],3,FALSE),0)</f>
        <v>0</v>
      </c>
      <c r="AB152" s="72">
        <f>Ruimtestaat[[#This Row],[Uitvoeringen weekend]]*Ruimtestaat[[#This Row],[Oppervlak (netto)]]</f>
        <v>0</v>
      </c>
      <c r="AC152" s="72">
        <f>IF(AA152&gt;0,Ruimtestaat[[#This Row],[Prest. (m2 /jaar) weekend]]/Ruimtestaat[[#This Row],[Norm (m2/uur) weekend]],0)</f>
        <v>0</v>
      </c>
      <c r="AD152" s="109">
        <f>Ruimtestaat[[#This Row],[uren / jaar weekend]]*Tariefsopbouw!$D$40</f>
        <v>0</v>
      </c>
      <c r="AE152" s="108">
        <f>Ruimtestaat[[#This Row],[Prest. (m2 /jaar) weekend]]+Ruimtestaat[[#This Row],[Prest. (m2 /jaar) werkdagen]]</f>
        <v>552</v>
      </c>
      <c r="AF152" s="108">
        <f>Ruimtestaat[[#This Row],[uren / jaar weekend]]+Ruimtestaat[[#This Row],[uren / jaar werkdagen]]</f>
        <v>0</v>
      </c>
      <c r="AG152" s="103">
        <f>Ruimtestaat[[#This Row],[kosten / jaar weekend]]+Ruimtestaat[[#This Row],[kosten / jaar werkdagen]]</f>
        <v>0</v>
      </c>
      <c r="AH152" s="103"/>
      <c r="AI152" s="110" t="str">
        <f>IF(Ruimtestaat[[#This Row],[Frequentie werkdagen]]="","",_xlfn.CONCAT(Ruimtestaat[[#This Row],[Ruimte code]],"-",Ruimtestaat[[#This Row],[Frequentie werkdagen]]," ",Ruimtestaat[[#This Row],[Vloer code]]))</f>
        <v>4-1w P</v>
      </c>
      <c r="AJ152" s="114" t="str">
        <f>_xlfn.IFNA(VLOOKUP($AI152,Programma!$F$3:$G$1101,2,0),"")</f>
        <v>_</v>
      </c>
      <c r="AK152" s="114" t="str">
        <f>_xlfn.IFNA(VLOOKUP($AI152,Programma!$F$3:$H$1101,3,0),"")</f>
        <v>_</v>
      </c>
      <c r="AL152" s="114" t="str">
        <f>_xlfn.IFNA(VLOOKUP($AI152,Programma!$F$3:$I$1101,4,0),"")</f>
        <v>_</v>
      </c>
      <c r="AM152" s="114" t="str">
        <f>_xlfn.IFNA(VLOOKUP($AI152,Programma!$F$3:$J$1101,5,0),"")</f>
        <v>1w</v>
      </c>
      <c r="AN152" s="114" t="str">
        <f>_xlfn.IFNA(VLOOKUP($AI152,Programma!$F$3:$K$1101,6,0),"")</f>
        <v>2j</v>
      </c>
      <c r="AO152" s="114" t="str">
        <f>_xlfn.IFNA(VLOOKUP($AI152,Programma!$F$3:$L$1101,7,0),"")</f>
        <v>_</v>
      </c>
      <c r="AP152" s="114" t="str">
        <f>_xlfn.IFNA(VLOOKUP($AI152,Programma!$F$3:$M$1101,8,0),"")</f>
        <v>_</v>
      </c>
      <c r="AQ152" s="114" t="str">
        <f>_xlfn.IFNA(VLOOKUP($AI152,Programma!$F$3:$N$1101,9,0),"")</f>
        <v>_</v>
      </c>
      <c r="AR152" s="114" t="str">
        <f>_xlfn.IFNA(VLOOKUP($AI152,Programma!$F$3:$O$1101,10,0),"")</f>
        <v>1w</v>
      </c>
      <c r="AS152" s="114" t="str">
        <f>_xlfn.IFNA(VLOOKUP($AI152,Programma!$F$3:$P$1101,11,0),"")</f>
        <v>1w</v>
      </c>
      <c r="AT152" s="114" t="str">
        <f>_xlfn.IFNA(VLOOKUP($AI152,Programma!$F$3:$Q$1101,12,0),"")</f>
        <v>1w</v>
      </c>
      <c r="AU152" s="114" t="str">
        <f>_xlfn.IFNA(VLOOKUP($AI152,Programma!$F$3:$R$1101,13,0),"")</f>
        <v>1w</v>
      </c>
      <c r="AV152" s="114" t="str">
        <f>_xlfn.IFNA(VLOOKUP($AI152,Programma!$F$3:$S$1101,14,0),"")</f>
        <v>1m</v>
      </c>
      <c r="AW152" s="114" t="str">
        <f>_xlfn.IFNA(VLOOKUP($AI152,Programma!$F$3:$T$1101,15,0),"")</f>
        <v>2j</v>
      </c>
      <c r="AX152" s="114" t="str">
        <f>_xlfn.IFNA(VLOOKUP($AI152,Programma!$F$3:$U$1101,16,0),"")</f>
        <v>1j</v>
      </c>
      <c r="AY152" s="114" t="str">
        <f>_xlfn.IFNA(VLOOKUP($AI152,Programma!$F$3:$V$1101,17,0),"")</f>
        <v>_</v>
      </c>
      <c r="AZ152" s="114" t="str">
        <f>_xlfn.IFNA(VLOOKUP($AI152,Programma!$F$3:$W$1101,18,0),"")</f>
        <v>_</v>
      </c>
      <c r="BA152" s="114" t="str">
        <f>_xlfn.IFNA(VLOOKUP($AI152,Programma!$F$3:$X$1101,19,0),"")</f>
        <v>_</v>
      </c>
      <c r="BB152" s="114" t="str">
        <f>_xlfn.IFNA(VLOOKUP($AI152,Programma!$F$3:$Y$1101,20,0),"")</f>
        <v>_</v>
      </c>
      <c r="BC152" s="111"/>
      <c r="BD152" s="110" t="str">
        <f>IF(Ruimtestaat[[#This Row],[Frequentie weekend]]="","",_xlfn.CONCAT(Ruimtestaat[[#This Row],[Ruimte code]],"-",Ruimtestaat[[#This Row],[Frequentie weekend]]," ",Ruimtestaat[[#This Row],[Vloer code]]))</f>
        <v/>
      </c>
      <c r="BE152" s="114" t="str">
        <f>_xlfn.IFNA(VLOOKUP($BD152,Programma!$F$3:$G$1101,2,0),"")</f>
        <v/>
      </c>
      <c r="BF152" s="114" t="str">
        <f>_xlfn.IFNA(VLOOKUP($BD152,Programma!$F$3:$H$1101,3,0),"")</f>
        <v/>
      </c>
      <c r="BG152" s="114" t="str">
        <f>_xlfn.IFNA(VLOOKUP($BD152,Programma!$F$3:$I$1101,4,0),"")</f>
        <v/>
      </c>
      <c r="BH152" s="114" t="str">
        <f>_xlfn.IFNA(VLOOKUP($BD152,Programma!$F$3:$J$1101,5,0),"")</f>
        <v/>
      </c>
      <c r="BI152" s="114" t="str">
        <f>_xlfn.IFNA(VLOOKUP($BD152,Programma!$F$3:$K$1101,6,0),"")</f>
        <v/>
      </c>
      <c r="BJ152" s="114" t="str">
        <f>_xlfn.IFNA(VLOOKUP($BD152,Programma!$F$3:$L$1101,7,0),"")</f>
        <v/>
      </c>
      <c r="BK152" s="114" t="str">
        <f>_xlfn.IFNA(VLOOKUP($BD152,Programma!$F$3:$M$1101,8,0),"")</f>
        <v/>
      </c>
      <c r="BL152" s="114" t="str">
        <f>_xlfn.IFNA(VLOOKUP($BD152,Programma!$F$3:$N$1101,9,0),"")</f>
        <v/>
      </c>
      <c r="BM152" s="114" t="str">
        <f>_xlfn.IFNA(VLOOKUP($BD152,Programma!$F$3:$O$1101,10,0),"")</f>
        <v/>
      </c>
      <c r="BN152" s="114" t="str">
        <f>_xlfn.IFNA(VLOOKUP($BD152,Programma!$F$3:$P$1101,11,0),"")</f>
        <v/>
      </c>
      <c r="BO152" s="114" t="str">
        <f>_xlfn.IFNA(VLOOKUP($BD152,Programma!$F$3:$Q$1101,12,0),"")</f>
        <v/>
      </c>
      <c r="BP152" s="114" t="str">
        <f>_xlfn.IFNA(VLOOKUP($BD152,Programma!$F$3:$R$1101,13,0),"")</f>
        <v/>
      </c>
      <c r="BQ152" s="114" t="str">
        <f>_xlfn.IFNA(VLOOKUP($BD152,Programma!$F$3:$S$1101,14,0),"")</f>
        <v/>
      </c>
      <c r="BR152" s="114" t="str">
        <f>_xlfn.IFNA(VLOOKUP($BD152,Programma!$F$3:$T$1101,15,0),"")</f>
        <v/>
      </c>
      <c r="BS152" s="114" t="str">
        <f>_xlfn.IFNA(VLOOKUP($BD152,Programma!$F$3:$U$1101,16,0),"")</f>
        <v/>
      </c>
      <c r="BT152" s="114" t="str">
        <f>_xlfn.IFNA(VLOOKUP($BD152,Programma!$F$3:$V$1101,17,0),"")</f>
        <v/>
      </c>
      <c r="BU152" s="114" t="str">
        <f>_xlfn.IFNA(VLOOKUP($BD152,Programma!$F$3:$W$1101,18,0),"")</f>
        <v/>
      </c>
      <c r="BV152" s="114" t="str">
        <f>_xlfn.IFNA(VLOOKUP($BD152,Programma!$F$3:$X$1101,19,0),"")</f>
        <v/>
      </c>
      <c r="BW152" s="114" t="str">
        <f>_xlfn.IFNA(VLOOKUP($BD152,Programma!$F$3:$Y$1101,20,0),"")</f>
        <v/>
      </c>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c r="EA152" s="28"/>
      <c r="EB152" s="28"/>
      <c r="EC152" s="28"/>
      <c r="ED152" s="28"/>
      <c r="EE152" s="28"/>
      <c r="EF152" s="28"/>
      <c r="EG152" s="28"/>
      <c r="EH152" s="28"/>
      <c r="EI152" s="28"/>
      <c r="EJ152" s="28"/>
      <c r="EK152" s="28"/>
      <c r="EL152" s="28"/>
      <c r="EM152" s="28"/>
      <c r="EN152" s="28"/>
      <c r="EO152" s="28"/>
      <c r="EP152" s="28"/>
      <c r="EQ152" s="28"/>
      <c r="ER152" s="28"/>
      <c r="ES152" s="28"/>
      <c r="ET152" s="28"/>
      <c r="EU152" s="28"/>
      <c r="EV152" s="28"/>
      <c r="EW152" s="28"/>
      <c r="EX152" s="28"/>
      <c r="EY152" s="28"/>
      <c r="EZ152" s="28"/>
      <c r="FA152" s="28"/>
      <c r="FB152" s="28"/>
      <c r="FC152" s="28"/>
      <c r="FD152" s="28"/>
      <c r="FE152" s="28"/>
      <c r="FF152" s="28"/>
      <c r="FG152" s="28"/>
      <c r="FH152" s="28"/>
      <c r="FI152" s="28"/>
      <c r="FJ152" s="28"/>
      <c r="FK152" s="28"/>
      <c r="FL152" s="28"/>
      <c r="FM152" s="28"/>
      <c r="FN152" s="28"/>
      <c r="FO152" s="28"/>
      <c r="FP152" s="28"/>
      <c r="FQ152" s="28"/>
      <c r="FR152" s="28"/>
      <c r="FS152" s="28"/>
      <c r="FT152" s="28"/>
      <c r="FU152" s="28"/>
      <c r="FV152" s="28"/>
      <c r="FW152" s="28"/>
      <c r="FX152" s="28"/>
      <c r="FY152" s="28"/>
      <c r="FZ152" s="28"/>
      <c r="GA152" s="28"/>
      <c r="GB152" s="28"/>
      <c r="GC152" s="28"/>
      <c r="GD152" s="28"/>
      <c r="GE152" s="28"/>
      <c r="GF152" s="28"/>
      <c r="GG152" s="28"/>
      <c r="GH152" s="28"/>
      <c r="GI152" s="28"/>
      <c r="GJ152" s="28"/>
      <c r="GK152" s="28"/>
      <c r="GL152" s="28"/>
      <c r="GM152" s="28"/>
      <c r="GN152" s="28"/>
      <c r="GO152" s="28"/>
      <c r="GP152" s="28"/>
      <c r="GQ152" s="28"/>
      <c r="GR152" s="28"/>
      <c r="GS152" s="28"/>
      <c r="GT152" s="28"/>
      <c r="GU152" s="28"/>
      <c r="GV152" s="28"/>
      <c r="GW152" s="28"/>
      <c r="GX152" s="28"/>
      <c r="GY152" s="28"/>
      <c r="GZ152" s="28"/>
      <c r="HA152" s="28"/>
      <c r="HB152" s="28"/>
      <c r="HC152" s="28"/>
      <c r="HD152" s="28"/>
      <c r="HE152" s="28"/>
      <c r="HF152" s="28"/>
      <c r="HG152" s="28"/>
      <c r="HH152" s="28"/>
      <c r="HI152" s="28"/>
      <c r="HJ152" s="28"/>
      <c r="HK152" s="28"/>
      <c r="HL152" s="28"/>
    </row>
    <row r="153" spans="1:220" ht="15" customHeight="1">
      <c r="A153" s="31">
        <v>3</v>
      </c>
      <c r="B153" s="105" t="str">
        <f>VLOOKUP(Ruimtestaat[[#This Row],[Code]],Locaties[[Code]:[Locatie]],2,FALSE)</f>
        <v>Sport IKC Het Startblok</v>
      </c>
      <c r="C153" s="105" t="str">
        <f>VLOOKUP(Ruimtestaat[[#This Row],[Code]],Locaties[[#All],[Code]:[Adres]],4,FALSE)</f>
        <v>Klapstraat 205</v>
      </c>
      <c r="D153" s="105" t="str">
        <f>VLOOKUP(Ruimtestaat[[#This Row],[Code]],Locaties[[#All],[Code]:[Postcode]],5,FALSE)</f>
        <v>6931 CH</v>
      </c>
      <c r="E153" s="105" t="str">
        <f>VLOOKUP(Ruimtestaat[[#This Row],[Code]],Locaties[#All],6,FALSE)</f>
        <v>Westervoort</v>
      </c>
      <c r="F153" s="73" t="s">
        <v>1795</v>
      </c>
      <c r="G153" s="73"/>
      <c r="H153" s="31" t="s">
        <v>1697</v>
      </c>
      <c r="I153" s="113" t="s">
        <v>1791</v>
      </c>
      <c r="J153" s="31">
        <v>5</v>
      </c>
      <c r="K153" s="113" t="str">
        <f>VLOOKUP(Ruimtestaat[[#This Row],[Ruimte code]],Ruimtegroepen[[#All],[Code]:[Ruimte omschrijving]],2,FALSE)</f>
        <v>Sanitair</v>
      </c>
      <c r="L153" s="73" t="s">
        <v>102</v>
      </c>
      <c r="M153" s="273" t="s">
        <v>120</v>
      </c>
      <c r="N153" s="106">
        <v>6</v>
      </c>
      <c r="O153" s="112"/>
      <c r="P153" s="73"/>
      <c r="Q153" s="107" t="str">
        <f>VLOOKUP(Ruimtestaat[[#This Row],[Ruimte code]],Ruimtegroepen[],4,FALSE)</f>
        <v>Sa</v>
      </c>
      <c r="R153" s="73">
        <v>40</v>
      </c>
      <c r="S153" s="73" t="s">
        <v>2</v>
      </c>
      <c r="T153" s="73">
        <f>IF(R153&gt;0,IF(RIGHT(Ruimtestaat[[#This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3" s="73">
        <f>IF(T153&gt;0,VLOOKUP($J153,Ruimtegroepen[],3,FALSE)*VLOOKUP($L153,Vloersoorten[],3,FALSE)*VLOOKUP($S153,Frequenties[],3,FALSE)*VLOOKUP($A153,Locaties[],3,FALSE),0)</f>
        <v>0</v>
      </c>
      <c r="V153" s="73">
        <f>Ruimtestaat[[#This Row],[Uitvoeringen werkdagen]]*Ruimtestaat[[#This Row],[Oppervlak (netto)]]</f>
        <v>1200</v>
      </c>
      <c r="W153" s="108">
        <f>IF(U153&gt;0,Ruimtestaat[[#This Row],[Prest. (m2 /jaar) werkdagen]]/Ruimtestaat[[#This Row],[Norm (m2/uur) werkdagen]],0)</f>
        <v>0</v>
      </c>
      <c r="X153" s="109">
        <f>Ruimtestaat[[#This Row],[uren / jaar werkdagen]]*Tariefsopbouw!$E$35</f>
        <v>0</v>
      </c>
      <c r="Y153" s="73"/>
      <c r="Z153" s="73">
        <f>IF(Ruimtestaat[[#This Row],[Frequentie weekend]]&gt;0,VALUE(LEFT(Y153,1))*R153,0)</f>
        <v>0</v>
      </c>
      <c r="AA153" s="72">
        <f>IF($Z153&gt;0,VLOOKUP($J153,Ruimtegroepen[],3,FALSE)*VLOOKUP($L153,Vloersoorten[],3,FALSE)*VLOOKUP($Y153,Frequenties[],3,FALSE)*VLOOKUP(Ruimtestaat[[#This Row],[Code]],Locaties[],3,FALSE),0)</f>
        <v>0</v>
      </c>
      <c r="AB153" s="72">
        <f>Ruimtestaat[[#This Row],[Uitvoeringen weekend]]*Ruimtestaat[[#This Row],[Oppervlak (netto)]]</f>
        <v>0</v>
      </c>
      <c r="AC153" s="72">
        <f>IF(AA153&gt;0,Ruimtestaat[[#This Row],[Prest. (m2 /jaar) weekend]]/Ruimtestaat[[#This Row],[Norm (m2/uur) weekend]],0)</f>
        <v>0</v>
      </c>
      <c r="AD153" s="109">
        <f>Ruimtestaat[[#This Row],[uren / jaar weekend]]*Tariefsopbouw!$D$40</f>
        <v>0</v>
      </c>
      <c r="AE153" s="108">
        <f>Ruimtestaat[[#This Row],[Prest. (m2 /jaar) weekend]]+Ruimtestaat[[#This Row],[Prest. (m2 /jaar) werkdagen]]</f>
        <v>1200</v>
      </c>
      <c r="AF153" s="108">
        <f>Ruimtestaat[[#This Row],[uren / jaar weekend]]+Ruimtestaat[[#This Row],[uren / jaar werkdagen]]</f>
        <v>0</v>
      </c>
      <c r="AG153" s="103">
        <f>Ruimtestaat[[#This Row],[kosten / jaar weekend]]+Ruimtestaat[[#This Row],[kosten / jaar werkdagen]]</f>
        <v>0</v>
      </c>
      <c r="AH153" s="103"/>
      <c r="AI153" s="110" t="str">
        <f>IF(Ruimtestaat[[#This Row],[Frequentie werkdagen]]="","",_xlfn.CONCAT(Ruimtestaat[[#This Row],[Ruimte code]],"-",Ruimtestaat[[#This Row],[Frequentie werkdagen]]," ",Ruimtestaat[[#This Row],[Vloer code]]))</f>
        <v>5-5w P</v>
      </c>
      <c r="AJ153" s="114" t="str">
        <f>_xlfn.IFNA(VLOOKUP($AI153,Programma!$F$3:$G$1101,2,0),"")</f>
        <v>_</v>
      </c>
      <c r="AK153" s="114" t="str">
        <f>_xlfn.IFNA(VLOOKUP($AI153,Programma!$F$3:$H$1101,3,0),"")</f>
        <v>_</v>
      </c>
      <c r="AL153" s="114" t="str">
        <f>_xlfn.IFNA(VLOOKUP($AI153,Programma!$F$3:$I$1101,4,0),"")</f>
        <v>_</v>
      </c>
      <c r="AM153" s="114" t="str">
        <f>_xlfn.IFNA(VLOOKUP($AI153,Programma!$F$3:$J$1101,5,0),"")</f>
        <v>4w</v>
      </c>
      <c r="AN153" s="114" t="str">
        <f>_xlfn.IFNA(VLOOKUP($AI153,Programma!$F$3:$K$1101,6,0),"")</f>
        <v>1w</v>
      </c>
      <c r="AO153" s="114" t="str">
        <f>_xlfn.IFNA(VLOOKUP($AI153,Programma!$F$3:$L$1101,7,0),"")</f>
        <v>_</v>
      </c>
      <c r="AP153" s="114" t="str">
        <f>_xlfn.IFNA(VLOOKUP($AI153,Programma!$F$3:$M$1101,8,0),"")</f>
        <v>_</v>
      </c>
      <c r="AQ153" s="114" t="str">
        <f>_xlfn.IFNA(VLOOKUP($AI153,Programma!$F$3:$N$1101,9,0),"")</f>
        <v>_</v>
      </c>
      <c r="AR153" s="114" t="str">
        <f>_xlfn.IFNA(VLOOKUP($AI153,Programma!$F$3:$O$1101,10,0),"")</f>
        <v>_</v>
      </c>
      <c r="AS153" s="114" t="str">
        <f>_xlfn.IFNA(VLOOKUP($AI153,Programma!$F$3:$P$1101,11,0),"")</f>
        <v>_</v>
      </c>
      <c r="AT153" s="114" t="str">
        <f>_xlfn.IFNA(VLOOKUP($AI153,Programma!$F$3:$Q$1101,12,0),"")</f>
        <v>_</v>
      </c>
      <c r="AU153" s="114" t="str">
        <f>_xlfn.IFNA(VLOOKUP($AI153,Programma!$F$3:$R$1101,13,0),"")</f>
        <v>_</v>
      </c>
      <c r="AV153" s="114" t="str">
        <f>_xlfn.IFNA(VLOOKUP($AI153,Programma!$F$3:$S$1101,14,0),"")</f>
        <v>_</v>
      </c>
      <c r="AW153" s="114" t="str">
        <f>_xlfn.IFNA(VLOOKUP($AI153,Programma!$F$3:$T$1101,15,0),"")</f>
        <v>_</v>
      </c>
      <c r="AX153" s="114" t="str">
        <f>_xlfn.IFNA(VLOOKUP($AI153,Programma!$F$3:$U$1101,16,0),"")</f>
        <v>_</v>
      </c>
      <c r="AY153" s="114" t="str">
        <f>_xlfn.IFNA(VLOOKUP($AI153,Programma!$F$3:$V$1101,17,0),"")</f>
        <v>_</v>
      </c>
      <c r="AZ153" s="114" t="str">
        <f>_xlfn.IFNA(VLOOKUP($AI153,Programma!$F$3:$W$1101,18,0),"")</f>
        <v>4w</v>
      </c>
      <c r="BA153" s="114" t="str">
        <f>_xlfn.IFNA(VLOOKUP($AI153,Programma!$F$3:$X$1101,19,0),"")</f>
        <v>1w</v>
      </c>
      <c r="BB153" s="114" t="str">
        <f>_xlfn.IFNA(VLOOKUP($AI153,Programma!$F$3:$Y$1101,20,0),"")</f>
        <v>_</v>
      </c>
      <c r="BC153" s="111"/>
      <c r="BD153" s="110" t="str">
        <f>IF(Ruimtestaat[[#This Row],[Frequentie weekend]]="","",_xlfn.CONCAT(Ruimtestaat[[#This Row],[Ruimte code]],"-",Ruimtestaat[[#This Row],[Frequentie weekend]]," ",Ruimtestaat[[#This Row],[Vloer code]]))</f>
        <v/>
      </c>
      <c r="BE153" s="114" t="str">
        <f>_xlfn.IFNA(VLOOKUP($BD153,Programma!$F$3:$G$1101,2,0),"")</f>
        <v/>
      </c>
      <c r="BF153" s="114" t="str">
        <f>_xlfn.IFNA(VLOOKUP($BD153,Programma!$F$3:$H$1101,3,0),"")</f>
        <v/>
      </c>
      <c r="BG153" s="114" t="str">
        <f>_xlfn.IFNA(VLOOKUP($BD153,Programma!$F$3:$I$1101,4,0),"")</f>
        <v/>
      </c>
      <c r="BH153" s="114" t="str">
        <f>_xlfn.IFNA(VLOOKUP($BD153,Programma!$F$3:$J$1101,5,0),"")</f>
        <v/>
      </c>
      <c r="BI153" s="114" t="str">
        <f>_xlfn.IFNA(VLOOKUP($BD153,Programma!$F$3:$K$1101,6,0),"")</f>
        <v/>
      </c>
      <c r="BJ153" s="114" t="str">
        <f>_xlfn.IFNA(VLOOKUP($BD153,Programma!$F$3:$L$1101,7,0),"")</f>
        <v/>
      </c>
      <c r="BK153" s="114" t="str">
        <f>_xlfn.IFNA(VLOOKUP($BD153,Programma!$F$3:$M$1101,8,0),"")</f>
        <v/>
      </c>
      <c r="BL153" s="114" t="str">
        <f>_xlfn.IFNA(VLOOKUP($BD153,Programma!$F$3:$N$1101,9,0),"")</f>
        <v/>
      </c>
      <c r="BM153" s="114" t="str">
        <f>_xlfn.IFNA(VLOOKUP($BD153,Programma!$F$3:$O$1101,10,0),"")</f>
        <v/>
      </c>
      <c r="BN153" s="114" t="str">
        <f>_xlfn.IFNA(VLOOKUP($BD153,Programma!$F$3:$P$1101,11,0),"")</f>
        <v/>
      </c>
      <c r="BO153" s="114" t="str">
        <f>_xlfn.IFNA(VLOOKUP($BD153,Programma!$F$3:$Q$1101,12,0),"")</f>
        <v/>
      </c>
      <c r="BP153" s="114" t="str">
        <f>_xlfn.IFNA(VLOOKUP($BD153,Programma!$F$3:$R$1101,13,0),"")</f>
        <v/>
      </c>
      <c r="BQ153" s="114" t="str">
        <f>_xlfn.IFNA(VLOOKUP($BD153,Programma!$F$3:$S$1101,14,0),"")</f>
        <v/>
      </c>
      <c r="BR153" s="114" t="str">
        <f>_xlfn.IFNA(VLOOKUP($BD153,Programma!$F$3:$T$1101,15,0),"")</f>
        <v/>
      </c>
      <c r="BS153" s="114" t="str">
        <f>_xlfn.IFNA(VLOOKUP($BD153,Programma!$F$3:$U$1101,16,0),"")</f>
        <v/>
      </c>
      <c r="BT153" s="114" t="str">
        <f>_xlfn.IFNA(VLOOKUP($BD153,Programma!$F$3:$V$1101,17,0),"")</f>
        <v/>
      </c>
      <c r="BU153" s="114" t="str">
        <f>_xlfn.IFNA(VLOOKUP($BD153,Programma!$F$3:$W$1101,18,0),"")</f>
        <v/>
      </c>
      <c r="BV153" s="114" t="str">
        <f>_xlfn.IFNA(VLOOKUP($BD153,Programma!$F$3:$X$1101,19,0),"")</f>
        <v/>
      </c>
      <c r="BW153" s="114" t="str">
        <f>_xlfn.IFNA(VLOOKUP($BD153,Programma!$F$3:$Y$1101,20,0),"")</f>
        <v/>
      </c>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c r="EO153" s="28"/>
      <c r="EP153" s="28"/>
      <c r="EQ153" s="28"/>
      <c r="ER153" s="28"/>
      <c r="ES153" s="28"/>
      <c r="ET153" s="28"/>
      <c r="EU153" s="28"/>
      <c r="EV153" s="28"/>
      <c r="EW153" s="28"/>
      <c r="EX153" s="28"/>
      <c r="EY153" s="28"/>
      <c r="EZ153" s="28"/>
      <c r="FA153" s="28"/>
      <c r="FB153" s="28"/>
      <c r="FC153" s="28"/>
      <c r="FD153" s="28"/>
      <c r="FE153" s="28"/>
      <c r="FF153" s="28"/>
      <c r="FG153" s="28"/>
      <c r="FH153" s="28"/>
      <c r="FI153" s="28"/>
      <c r="FJ153" s="28"/>
      <c r="FK153" s="28"/>
      <c r="FL153" s="28"/>
      <c r="FM153" s="28"/>
      <c r="FN153" s="28"/>
      <c r="FO153" s="28"/>
      <c r="FP153" s="28"/>
      <c r="FQ153" s="28"/>
      <c r="FR153" s="28"/>
      <c r="FS153" s="28"/>
      <c r="FT153" s="28"/>
      <c r="FU153" s="28"/>
      <c r="FV153" s="28"/>
      <c r="FW153" s="28"/>
      <c r="FX153" s="28"/>
      <c r="FY153" s="28"/>
      <c r="FZ153" s="28"/>
      <c r="GA153" s="28"/>
      <c r="GB153" s="28"/>
      <c r="GC153" s="28"/>
      <c r="GD153" s="28"/>
      <c r="GE153" s="28"/>
      <c r="GF153" s="28"/>
      <c r="GG153" s="28"/>
      <c r="GH153" s="28"/>
      <c r="GI153" s="28"/>
      <c r="GJ153" s="28"/>
      <c r="GK153" s="28"/>
      <c r="GL153" s="28"/>
      <c r="GM153" s="28"/>
      <c r="GN153" s="28"/>
      <c r="GO153" s="28"/>
      <c r="GP153" s="28"/>
      <c r="GQ153" s="28"/>
      <c r="GR153" s="28"/>
      <c r="GS153" s="28"/>
      <c r="GT153" s="28"/>
      <c r="GU153" s="28"/>
      <c r="GV153" s="28"/>
      <c r="GW153" s="28"/>
      <c r="GX153" s="28"/>
      <c r="GY153" s="28"/>
      <c r="GZ153" s="28"/>
      <c r="HA153" s="28"/>
      <c r="HB153" s="28"/>
      <c r="HC153" s="28"/>
      <c r="HD153" s="28"/>
      <c r="HE153" s="28"/>
      <c r="HF153" s="28"/>
      <c r="HG153" s="28"/>
      <c r="HH153" s="28"/>
      <c r="HI153" s="28"/>
      <c r="HJ153" s="28"/>
      <c r="HK153" s="28"/>
      <c r="HL153" s="28"/>
    </row>
    <row r="154" spans="1:220" ht="15" customHeight="1">
      <c r="A154" s="31">
        <v>3</v>
      </c>
      <c r="B154" s="105" t="str">
        <f>VLOOKUP(Ruimtestaat[[#This Row],[Code]],Locaties[[Code]:[Locatie]],2,FALSE)</f>
        <v>Sport IKC Het Startblok</v>
      </c>
      <c r="C154" s="105" t="str">
        <f>VLOOKUP(Ruimtestaat[[#This Row],[Code]],Locaties[[#All],[Code]:[Adres]],4,FALSE)</f>
        <v>Klapstraat 205</v>
      </c>
      <c r="D154" s="105" t="str">
        <f>VLOOKUP(Ruimtestaat[[#This Row],[Code]],Locaties[[#All],[Code]:[Postcode]],5,FALSE)</f>
        <v>6931 CH</v>
      </c>
      <c r="E154" s="105" t="str">
        <f>VLOOKUP(Ruimtestaat[[#This Row],[Code]],Locaties[#All],6,FALSE)</f>
        <v>Westervoort</v>
      </c>
      <c r="F154" s="73" t="s">
        <v>1795</v>
      </c>
      <c r="G154" s="73"/>
      <c r="H154" s="31" t="s">
        <v>1698</v>
      </c>
      <c r="I154" s="113" t="s">
        <v>1792</v>
      </c>
      <c r="J154" s="31">
        <v>5</v>
      </c>
      <c r="K154" s="113" t="str">
        <f>VLOOKUP(Ruimtestaat[[#This Row],[Ruimte code]],Ruimtegroepen[[#All],[Code]:[Ruimte omschrijving]],2,FALSE)</f>
        <v>Sanitair</v>
      </c>
      <c r="L154" s="73" t="s">
        <v>102</v>
      </c>
      <c r="M154" s="273" t="s">
        <v>120</v>
      </c>
      <c r="N154" s="106">
        <v>6</v>
      </c>
      <c r="O154" s="112"/>
      <c r="P154" s="112"/>
      <c r="Q154" s="107" t="str">
        <f>VLOOKUP(Ruimtestaat[[#This Row],[Ruimte code]],Ruimtegroepen[],4,FALSE)</f>
        <v>Sa</v>
      </c>
      <c r="R154" s="73">
        <v>40</v>
      </c>
      <c r="S154" s="73" t="s">
        <v>2</v>
      </c>
      <c r="T154" s="73">
        <f>IF(R154&gt;0,IF(RIGHT(Ruimtestaat[[#This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4" s="73">
        <f>IF(T154&gt;0,VLOOKUP($J154,Ruimtegroepen[],3,FALSE)*VLOOKUP($L154,Vloersoorten[],3,FALSE)*VLOOKUP($S154,Frequenties[],3,FALSE)*VLOOKUP($A154,Locaties[],3,FALSE),0)</f>
        <v>0</v>
      </c>
      <c r="V154" s="73">
        <f>Ruimtestaat[[#This Row],[Uitvoeringen werkdagen]]*Ruimtestaat[[#This Row],[Oppervlak (netto)]]</f>
        <v>1200</v>
      </c>
      <c r="W154" s="108">
        <f>IF(U154&gt;0,Ruimtestaat[[#This Row],[Prest. (m2 /jaar) werkdagen]]/Ruimtestaat[[#This Row],[Norm (m2/uur) werkdagen]],0)</f>
        <v>0</v>
      </c>
      <c r="X154" s="109">
        <f>Ruimtestaat[[#This Row],[uren / jaar werkdagen]]*Tariefsopbouw!$E$35</f>
        <v>0</v>
      </c>
      <c r="Y154" s="73"/>
      <c r="Z154" s="73">
        <f>IF(Ruimtestaat[[#This Row],[Frequentie weekend]]&gt;0,VALUE(LEFT(Y154,1))*R154,0)</f>
        <v>0</v>
      </c>
      <c r="AA154" s="72">
        <f>IF($Z154&gt;0,VLOOKUP($J154,Ruimtegroepen[],3,FALSE)*VLOOKUP($L154,Vloersoorten[],3,FALSE)*VLOOKUP($Y154,Frequenties[],3,FALSE)*VLOOKUP(Ruimtestaat[[#This Row],[Code]],Locaties[],3,FALSE),0)</f>
        <v>0</v>
      </c>
      <c r="AB154" s="72">
        <f>Ruimtestaat[[#This Row],[Uitvoeringen weekend]]*Ruimtestaat[[#This Row],[Oppervlak (netto)]]</f>
        <v>0</v>
      </c>
      <c r="AC154" s="72">
        <f>IF(AA154&gt;0,Ruimtestaat[[#This Row],[Prest. (m2 /jaar) weekend]]/Ruimtestaat[[#This Row],[Norm (m2/uur) weekend]],0)</f>
        <v>0</v>
      </c>
      <c r="AD154" s="109">
        <f>Ruimtestaat[[#This Row],[uren / jaar weekend]]*Tariefsopbouw!$D$40</f>
        <v>0</v>
      </c>
      <c r="AE154" s="108">
        <f>Ruimtestaat[[#This Row],[Prest. (m2 /jaar) weekend]]+Ruimtestaat[[#This Row],[Prest. (m2 /jaar) werkdagen]]</f>
        <v>1200</v>
      </c>
      <c r="AF154" s="108">
        <f>Ruimtestaat[[#This Row],[uren / jaar weekend]]+Ruimtestaat[[#This Row],[uren / jaar werkdagen]]</f>
        <v>0</v>
      </c>
      <c r="AG154" s="103">
        <f>Ruimtestaat[[#This Row],[kosten / jaar weekend]]+Ruimtestaat[[#This Row],[kosten / jaar werkdagen]]</f>
        <v>0</v>
      </c>
      <c r="AH154" s="103"/>
      <c r="AI154" s="110" t="str">
        <f>IF(Ruimtestaat[[#This Row],[Frequentie werkdagen]]="","",_xlfn.CONCAT(Ruimtestaat[[#This Row],[Ruimte code]],"-",Ruimtestaat[[#This Row],[Frequentie werkdagen]]," ",Ruimtestaat[[#This Row],[Vloer code]]))</f>
        <v>5-5w P</v>
      </c>
      <c r="AJ154" s="114" t="str">
        <f>_xlfn.IFNA(VLOOKUP($AI154,Programma!$F$3:$G$1101,2,0),"")</f>
        <v>_</v>
      </c>
      <c r="AK154" s="114" t="str">
        <f>_xlfn.IFNA(VLOOKUP($AI154,Programma!$F$3:$H$1101,3,0),"")</f>
        <v>_</v>
      </c>
      <c r="AL154" s="114" t="str">
        <f>_xlfn.IFNA(VLOOKUP($AI154,Programma!$F$3:$I$1101,4,0),"")</f>
        <v>_</v>
      </c>
      <c r="AM154" s="114" t="str">
        <f>_xlfn.IFNA(VLOOKUP($AI154,Programma!$F$3:$J$1101,5,0),"")</f>
        <v>4w</v>
      </c>
      <c r="AN154" s="114" t="str">
        <f>_xlfn.IFNA(VLOOKUP($AI154,Programma!$F$3:$K$1101,6,0),"")</f>
        <v>1w</v>
      </c>
      <c r="AO154" s="114" t="str">
        <f>_xlfn.IFNA(VLOOKUP($AI154,Programma!$F$3:$L$1101,7,0),"")</f>
        <v>_</v>
      </c>
      <c r="AP154" s="114" t="str">
        <f>_xlfn.IFNA(VLOOKUP($AI154,Programma!$F$3:$M$1101,8,0),"")</f>
        <v>_</v>
      </c>
      <c r="AQ154" s="114" t="str">
        <f>_xlfn.IFNA(VLOOKUP($AI154,Programma!$F$3:$N$1101,9,0),"")</f>
        <v>_</v>
      </c>
      <c r="AR154" s="114" t="str">
        <f>_xlfn.IFNA(VLOOKUP($AI154,Programma!$F$3:$O$1101,10,0),"")</f>
        <v>_</v>
      </c>
      <c r="AS154" s="114" t="str">
        <f>_xlfn.IFNA(VLOOKUP($AI154,Programma!$F$3:$P$1101,11,0),"")</f>
        <v>_</v>
      </c>
      <c r="AT154" s="114" t="str">
        <f>_xlfn.IFNA(VLOOKUP($AI154,Programma!$F$3:$Q$1101,12,0),"")</f>
        <v>_</v>
      </c>
      <c r="AU154" s="114" t="str">
        <f>_xlfn.IFNA(VLOOKUP($AI154,Programma!$F$3:$R$1101,13,0),"")</f>
        <v>_</v>
      </c>
      <c r="AV154" s="114" t="str">
        <f>_xlfn.IFNA(VLOOKUP($AI154,Programma!$F$3:$S$1101,14,0),"")</f>
        <v>_</v>
      </c>
      <c r="AW154" s="114" t="str">
        <f>_xlfn.IFNA(VLOOKUP($AI154,Programma!$F$3:$T$1101,15,0),"")</f>
        <v>_</v>
      </c>
      <c r="AX154" s="114" t="str">
        <f>_xlfn.IFNA(VLOOKUP($AI154,Programma!$F$3:$U$1101,16,0),"")</f>
        <v>_</v>
      </c>
      <c r="AY154" s="114" t="str">
        <f>_xlfn.IFNA(VLOOKUP($AI154,Programma!$F$3:$V$1101,17,0),"")</f>
        <v>_</v>
      </c>
      <c r="AZ154" s="114" t="str">
        <f>_xlfn.IFNA(VLOOKUP($AI154,Programma!$F$3:$W$1101,18,0),"")</f>
        <v>4w</v>
      </c>
      <c r="BA154" s="114" t="str">
        <f>_xlfn.IFNA(VLOOKUP($AI154,Programma!$F$3:$X$1101,19,0),"")</f>
        <v>1w</v>
      </c>
      <c r="BB154" s="114" t="str">
        <f>_xlfn.IFNA(VLOOKUP($AI154,Programma!$F$3:$Y$1101,20,0),"")</f>
        <v>_</v>
      </c>
      <c r="BC154" s="111"/>
      <c r="BD154" s="110" t="str">
        <f>IF(Ruimtestaat[[#This Row],[Frequentie weekend]]="","",_xlfn.CONCAT(Ruimtestaat[[#This Row],[Ruimte code]],"-",Ruimtestaat[[#This Row],[Frequentie weekend]]," ",Ruimtestaat[[#This Row],[Vloer code]]))</f>
        <v/>
      </c>
      <c r="BE154" s="114" t="str">
        <f>_xlfn.IFNA(VLOOKUP($BD154,Programma!$F$3:$G$1101,2,0),"")</f>
        <v/>
      </c>
      <c r="BF154" s="114" t="str">
        <f>_xlfn.IFNA(VLOOKUP($BD154,Programma!$F$3:$H$1101,3,0),"")</f>
        <v/>
      </c>
      <c r="BG154" s="114" t="str">
        <f>_xlfn.IFNA(VLOOKUP($BD154,Programma!$F$3:$I$1101,4,0),"")</f>
        <v/>
      </c>
      <c r="BH154" s="114" t="str">
        <f>_xlfn.IFNA(VLOOKUP($BD154,Programma!$F$3:$J$1101,5,0),"")</f>
        <v/>
      </c>
      <c r="BI154" s="114" t="str">
        <f>_xlfn.IFNA(VLOOKUP($BD154,Programma!$F$3:$K$1101,6,0),"")</f>
        <v/>
      </c>
      <c r="BJ154" s="114" t="str">
        <f>_xlfn.IFNA(VLOOKUP($BD154,Programma!$F$3:$L$1101,7,0),"")</f>
        <v/>
      </c>
      <c r="BK154" s="114" t="str">
        <f>_xlfn.IFNA(VLOOKUP($BD154,Programma!$F$3:$M$1101,8,0),"")</f>
        <v/>
      </c>
      <c r="BL154" s="114" t="str">
        <f>_xlfn.IFNA(VLOOKUP($BD154,Programma!$F$3:$N$1101,9,0),"")</f>
        <v/>
      </c>
      <c r="BM154" s="114" t="str">
        <f>_xlfn.IFNA(VLOOKUP($BD154,Programma!$F$3:$O$1101,10,0),"")</f>
        <v/>
      </c>
      <c r="BN154" s="114" t="str">
        <f>_xlfn.IFNA(VLOOKUP($BD154,Programma!$F$3:$P$1101,11,0),"")</f>
        <v/>
      </c>
      <c r="BO154" s="114" t="str">
        <f>_xlfn.IFNA(VLOOKUP($BD154,Programma!$F$3:$Q$1101,12,0),"")</f>
        <v/>
      </c>
      <c r="BP154" s="114" t="str">
        <f>_xlfn.IFNA(VLOOKUP($BD154,Programma!$F$3:$R$1101,13,0),"")</f>
        <v/>
      </c>
      <c r="BQ154" s="114" t="str">
        <f>_xlfn.IFNA(VLOOKUP($BD154,Programma!$F$3:$S$1101,14,0),"")</f>
        <v/>
      </c>
      <c r="BR154" s="114" t="str">
        <f>_xlfn.IFNA(VLOOKUP($BD154,Programma!$F$3:$T$1101,15,0),"")</f>
        <v/>
      </c>
      <c r="BS154" s="114" t="str">
        <f>_xlfn.IFNA(VLOOKUP($BD154,Programma!$F$3:$U$1101,16,0),"")</f>
        <v/>
      </c>
      <c r="BT154" s="114" t="str">
        <f>_xlfn.IFNA(VLOOKUP($BD154,Programma!$F$3:$V$1101,17,0),"")</f>
        <v/>
      </c>
      <c r="BU154" s="114" t="str">
        <f>_xlfn.IFNA(VLOOKUP($BD154,Programma!$F$3:$W$1101,18,0),"")</f>
        <v/>
      </c>
      <c r="BV154" s="114" t="str">
        <f>_xlfn.IFNA(VLOOKUP($BD154,Programma!$F$3:$X$1101,19,0),"")</f>
        <v/>
      </c>
      <c r="BW154" s="114" t="str">
        <f>_xlfn.IFNA(VLOOKUP($BD154,Programma!$F$3:$Y$1101,20,0),"")</f>
        <v/>
      </c>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c r="EA154" s="28"/>
      <c r="EB154" s="28"/>
      <c r="EC154" s="28"/>
      <c r="ED154" s="28"/>
      <c r="EE154" s="28"/>
      <c r="EF154" s="28"/>
      <c r="EG154" s="28"/>
      <c r="EH154" s="28"/>
      <c r="EI154" s="28"/>
      <c r="EJ154" s="28"/>
      <c r="EK154" s="28"/>
      <c r="EL154" s="28"/>
      <c r="EM154" s="28"/>
      <c r="EN154" s="28"/>
      <c r="EO154" s="28"/>
      <c r="EP154" s="28"/>
      <c r="EQ154" s="28"/>
      <c r="ER154" s="28"/>
      <c r="ES154" s="28"/>
      <c r="ET154" s="28"/>
      <c r="EU154" s="28"/>
      <c r="EV154" s="28"/>
      <c r="EW154" s="28"/>
      <c r="EX154" s="28"/>
      <c r="EY154" s="28"/>
      <c r="EZ154" s="28"/>
      <c r="FA154" s="28"/>
      <c r="FB154" s="28"/>
      <c r="FC154" s="28"/>
      <c r="FD154" s="28"/>
      <c r="FE154" s="28"/>
      <c r="FF154" s="28"/>
      <c r="FG154" s="28"/>
      <c r="FH154" s="28"/>
      <c r="FI154" s="28"/>
      <c r="FJ154" s="28"/>
      <c r="FK154" s="28"/>
      <c r="FL154" s="28"/>
      <c r="FM154" s="28"/>
      <c r="FN154" s="28"/>
      <c r="FO154" s="28"/>
      <c r="FP154" s="28"/>
      <c r="FQ154" s="28"/>
      <c r="FR154" s="28"/>
      <c r="FS154" s="28"/>
      <c r="FT154" s="28"/>
      <c r="FU154" s="28"/>
      <c r="FV154" s="28"/>
      <c r="FW154" s="28"/>
      <c r="FX154" s="28"/>
      <c r="FY154" s="28"/>
      <c r="FZ154" s="28"/>
      <c r="GA154" s="28"/>
      <c r="GB154" s="28"/>
      <c r="GC154" s="28"/>
      <c r="GD154" s="28"/>
      <c r="GE154" s="28"/>
      <c r="GF154" s="28"/>
      <c r="GG154" s="28"/>
      <c r="GH154" s="28"/>
      <c r="GI154" s="28"/>
      <c r="GJ154" s="28"/>
      <c r="GK154" s="28"/>
      <c r="GL154" s="28"/>
      <c r="GM154" s="28"/>
      <c r="GN154" s="28"/>
      <c r="GO154" s="28"/>
      <c r="GP154" s="28"/>
      <c r="GQ154" s="28"/>
      <c r="GR154" s="28"/>
      <c r="GS154" s="28"/>
      <c r="GT154" s="28"/>
      <c r="GU154" s="28"/>
      <c r="GV154" s="28"/>
      <c r="GW154" s="28"/>
      <c r="GX154" s="28"/>
      <c r="GY154" s="28"/>
      <c r="GZ154" s="28"/>
      <c r="HA154" s="28"/>
      <c r="HB154" s="28"/>
      <c r="HC154" s="28"/>
      <c r="HD154" s="28"/>
      <c r="HE154" s="28"/>
      <c r="HF154" s="28"/>
      <c r="HG154" s="28"/>
      <c r="HH154" s="28"/>
      <c r="HI154" s="28"/>
      <c r="HJ154" s="28"/>
      <c r="HK154" s="28"/>
      <c r="HL154" s="28"/>
    </row>
    <row r="155" spans="1:220" ht="15" customHeight="1">
      <c r="A155" s="31">
        <v>3</v>
      </c>
      <c r="B155" s="105" t="str">
        <f>VLOOKUP(Ruimtestaat[[#This Row],[Code]],Locaties[[Code]:[Locatie]],2,FALSE)</f>
        <v>Sport IKC Het Startblok</v>
      </c>
      <c r="C155" s="105" t="str">
        <f>VLOOKUP(Ruimtestaat[[#This Row],[Code]],Locaties[[#All],[Code]:[Adres]],4,FALSE)</f>
        <v>Klapstraat 205</v>
      </c>
      <c r="D155" s="105" t="str">
        <f>VLOOKUP(Ruimtestaat[[#This Row],[Code]],Locaties[[#All],[Code]:[Postcode]],5,FALSE)</f>
        <v>6931 CH</v>
      </c>
      <c r="E155" s="105" t="str">
        <f>VLOOKUP(Ruimtestaat[[#This Row],[Code]],Locaties[#All],6,FALSE)</f>
        <v>Westervoort</v>
      </c>
      <c r="F155" s="73" t="s">
        <v>1795</v>
      </c>
      <c r="G155" s="73"/>
      <c r="H155" s="31" t="s">
        <v>1699</v>
      </c>
      <c r="I155" s="113" t="s">
        <v>1653</v>
      </c>
      <c r="J155" s="31">
        <v>11</v>
      </c>
      <c r="K155" s="113" t="str">
        <f>VLOOKUP(Ruimtestaat[[#This Row],[Ruimte code]],Ruimtegroepen[[#All],[Code]:[Ruimte omschrijving]],2,FALSE)</f>
        <v>Garderobes</v>
      </c>
      <c r="L155" s="73" t="s">
        <v>102</v>
      </c>
      <c r="M155" s="273" t="s">
        <v>120</v>
      </c>
      <c r="N155" s="106">
        <v>3.5</v>
      </c>
      <c r="O155" s="112"/>
      <c r="P155" s="112"/>
      <c r="Q155" s="107" t="str">
        <f>VLOOKUP(Ruimtestaat[[#This Row],[Ruimte code]],Ruimtegroepen[],4,FALSE)</f>
        <v>Ve</v>
      </c>
      <c r="R155" s="73">
        <v>40</v>
      </c>
      <c r="S155" s="73" t="s">
        <v>15</v>
      </c>
      <c r="T155" s="73">
        <f>IF(R155&gt;0,IF(RIGHT(Ruimtestaat[[#This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5" s="73">
        <f>IF(T155&gt;0,VLOOKUP($J155,Ruimtegroepen[],3,FALSE)*VLOOKUP($L155,Vloersoorten[],3,FALSE)*VLOOKUP($S155,Frequenties[],3,FALSE)*VLOOKUP($A155,Locaties[],3,FALSE),0)</f>
        <v>0</v>
      </c>
      <c r="V155" s="73">
        <f>Ruimtestaat[[#This Row],[Uitvoeringen werkdagen]]*Ruimtestaat[[#This Row],[Oppervlak (netto)]]</f>
        <v>140</v>
      </c>
      <c r="W155" s="108">
        <f>IF(U155&gt;0,Ruimtestaat[[#This Row],[Prest. (m2 /jaar) werkdagen]]/Ruimtestaat[[#This Row],[Norm (m2/uur) werkdagen]],0)</f>
        <v>0</v>
      </c>
      <c r="X155" s="109">
        <f>Ruimtestaat[[#This Row],[uren / jaar werkdagen]]*Tariefsopbouw!$E$35</f>
        <v>0</v>
      </c>
      <c r="Y155" s="73"/>
      <c r="Z155" s="73">
        <f>IF(Ruimtestaat[[#This Row],[Frequentie weekend]]&gt;0,VALUE(LEFT(Y155,1))*R155,0)</f>
        <v>0</v>
      </c>
      <c r="AA155" s="72">
        <f>IF($Z155&gt;0,VLOOKUP($J155,Ruimtegroepen[],3,FALSE)*VLOOKUP($L155,Vloersoorten[],3,FALSE)*VLOOKUP($Y155,Frequenties[],3,FALSE)*VLOOKUP(Ruimtestaat[[#This Row],[Code]],Locaties[],3,FALSE),0)</f>
        <v>0</v>
      </c>
      <c r="AB155" s="72">
        <f>Ruimtestaat[[#This Row],[Uitvoeringen weekend]]*Ruimtestaat[[#This Row],[Oppervlak (netto)]]</f>
        <v>0</v>
      </c>
      <c r="AC155" s="72">
        <f>IF(AA155&gt;0,Ruimtestaat[[#This Row],[Prest. (m2 /jaar) weekend]]/Ruimtestaat[[#This Row],[Norm (m2/uur) weekend]],0)</f>
        <v>0</v>
      </c>
      <c r="AD155" s="109">
        <f>Ruimtestaat[[#This Row],[uren / jaar weekend]]*Tariefsopbouw!$D$40</f>
        <v>0</v>
      </c>
      <c r="AE155" s="108">
        <f>Ruimtestaat[[#This Row],[Prest. (m2 /jaar) weekend]]+Ruimtestaat[[#This Row],[Prest. (m2 /jaar) werkdagen]]</f>
        <v>140</v>
      </c>
      <c r="AF155" s="108">
        <f>Ruimtestaat[[#This Row],[uren / jaar weekend]]+Ruimtestaat[[#This Row],[uren / jaar werkdagen]]</f>
        <v>0</v>
      </c>
      <c r="AG155" s="103">
        <f>Ruimtestaat[[#This Row],[kosten / jaar weekend]]+Ruimtestaat[[#This Row],[kosten / jaar werkdagen]]</f>
        <v>0</v>
      </c>
      <c r="AH155" s="103"/>
      <c r="AI155" s="110" t="str">
        <f>IF(Ruimtestaat[[#This Row],[Frequentie werkdagen]]="","",_xlfn.CONCAT(Ruimtestaat[[#This Row],[Ruimte code]],"-",Ruimtestaat[[#This Row],[Frequentie werkdagen]]," ",Ruimtestaat[[#This Row],[Vloer code]]))</f>
        <v>11-1w P</v>
      </c>
      <c r="AJ155" s="114" t="str">
        <f>_xlfn.IFNA(VLOOKUP($AI155,Programma!$F$3:$G$1101,2,0),"")</f>
        <v>_</v>
      </c>
      <c r="AK155" s="114" t="str">
        <f>_xlfn.IFNA(VLOOKUP($AI155,Programma!$F$3:$H$1101,3,0),"")</f>
        <v>_</v>
      </c>
      <c r="AL155" s="114" t="str">
        <f>_xlfn.IFNA(VLOOKUP($AI155,Programma!$F$3:$I$1101,4,0),"")</f>
        <v>_</v>
      </c>
      <c r="AM155" s="114" t="str">
        <f>_xlfn.IFNA(VLOOKUP($AI155,Programma!$F$3:$J$1101,5,0),"")</f>
        <v>1w</v>
      </c>
      <c r="AN155" s="114" t="str">
        <f>_xlfn.IFNA(VLOOKUP($AI155,Programma!$F$3:$K$1101,6,0),"")</f>
        <v>4j</v>
      </c>
      <c r="AO155" s="114" t="str">
        <f>_xlfn.IFNA(VLOOKUP($AI155,Programma!$F$3:$L$1101,7,0),"")</f>
        <v>_</v>
      </c>
      <c r="AP155" s="114" t="str">
        <f>_xlfn.IFNA(VLOOKUP($AI155,Programma!$F$3:$M$1101,8,0),"")</f>
        <v>_</v>
      </c>
      <c r="AQ155" s="114" t="str">
        <f>_xlfn.IFNA(VLOOKUP($AI155,Programma!$F$3:$N$1101,9,0),"")</f>
        <v>_</v>
      </c>
      <c r="AR155" s="114" t="str">
        <f>_xlfn.IFNA(VLOOKUP($AI155,Programma!$F$3:$O$1101,10,0),"")</f>
        <v>1w</v>
      </c>
      <c r="AS155" s="114" t="str">
        <f>_xlfn.IFNA(VLOOKUP($AI155,Programma!$F$3:$P$1101,11,0),"")</f>
        <v>1w</v>
      </c>
      <c r="AT155" s="114" t="str">
        <f>_xlfn.IFNA(VLOOKUP($AI155,Programma!$F$3:$Q$1101,12,0),"")</f>
        <v>1w</v>
      </c>
      <c r="AU155" s="114" t="str">
        <f>_xlfn.IFNA(VLOOKUP($AI155,Programma!$F$3:$R$1101,13,0),"")</f>
        <v>1w</v>
      </c>
      <c r="AV155" s="114" t="str">
        <f>_xlfn.IFNA(VLOOKUP($AI155,Programma!$F$3:$S$1101,14,0),"")</f>
        <v>1m</v>
      </c>
      <c r="AW155" s="114" t="str">
        <f>_xlfn.IFNA(VLOOKUP($AI155,Programma!$F$3:$T$1101,15,0),"")</f>
        <v>2j</v>
      </c>
      <c r="AX155" s="114" t="str">
        <f>_xlfn.IFNA(VLOOKUP($AI155,Programma!$F$3:$U$1101,16,0),"")</f>
        <v>1j</v>
      </c>
      <c r="AY155" s="114" t="str">
        <f>_xlfn.IFNA(VLOOKUP($AI155,Programma!$F$3:$V$1101,17,0),"")</f>
        <v>_</v>
      </c>
      <c r="AZ155" s="114" t="str">
        <f>_xlfn.IFNA(VLOOKUP($AI155,Programma!$F$3:$W$1101,18,0),"")</f>
        <v>_</v>
      </c>
      <c r="BA155" s="114" t="str">
        <f>_xlfn.IFNA(VLOOKUP($AI155,Programma!$F$3:$X$1101,19,0),"")</f>
        <v>_</v>
      </c>
      <c r="BB155" s="114" t="str">
        <f>_xlfn.IFNA(VLOOKUP($AI155,Programma!$F$3:$Y$1101,20,0),"")</f>
        <v>_</v>
      </c>
      <c r="BC155" s="111"/>
      <c r="BD155" s="110" t="str">
        <f>IF(Ruimtestaat[[#This Row],[Frequentie weekend]]="","",_xlfn.CONCAT(Ruimtestaat[[#This Row],[Ruimte code]],"-",Ruimtestaat[[#This Row],[Frequentie weekend]]," ",Ruimtestaat[[#This Row],[Vloer code]]))</f>
        <v/>
      </c>
      <c r="BE155" s="114" t="str">
        <f>_xlfn.IFNA(VLOOKUP($BD155,Programma!$F$3:$G$1101,2,0),"")</f>
        <v/>
      </c>
      <c r="BF155" s="114" t="str">
        <f>_xlfn.IFNA(VLOOKUP($BD155,Programma!$F$3:$H$1101,3,0),"")</f>
        <v/>
      </c>
      <c r="BG155" s="114" t="str">
        <f>_xlfn.IFNA(VLOOKUP($BD155,Programma!$F$3:$I$1101,4,0),"")</f>
        <v/>
      </c>
      <c r="BH155" s="114" t="str">
        <f>_xlfn.IFNA(VLOOKUP($BD155,Programma!$F$3:$J$1101,5,0),"")</f>
        <v/>
      </c>
      <c r="BI155" s="114" t="str">
        <f>_xlfn.IFNA(VLOOKUP($BD155,Programma!$F$3:$K$1101,6,0),"")</f>
        <v/>
      </c>
      <c r="BJ155" s="114" t="str">
        <f>_xlfn.IFNA(VLOOKUP($BD155,Programma!$F$3:$L$1101,7,0),"")</f>
        <v/>
      </c>
      <c r="BK155" s="114" t="str">
        <f>_xlfn.IFNA(VLOOKUP($BD155,Programma!$F$3:$M$1101,8,0),"")</f>
        <v/>
      </c>
      <c r="BL155" s="114" t="str">
        <f>_xlfn.IFNA(VLOOKUP($BD155,Programma!$F$3:$N$1101,9,0),"")</f>
        <v/>
      </c>
      <c r="BM155" s="114" t="str">
        <f>_xlfn.IFNA(VLOOKUP($BD155,Programma!$F$3:$O$1101,10,0),"")</f>
        <v/>
      </c>
      <c r="BN155" s="114" t="str">
        <f>_xlfn.IFNA(VLOOKUP($BD155,Programma!$F$3:$P$1101,11,0),"")</f>
        <v/>
      </c>
      <c r="BO155" s="114" t="str">
        <f>_xlfn.IFNA(VLOOKUP($BD155,Programma!$F$3:$Q$1101,12,0),"")</f>
        <v/>
      </c>
      <c r="BP155" s="114" t="str">
        <f>_xlfn.IFNA(VLOOKUP($BD155,Programma!$F$3:$R$1101,13,0),"")</f>
        <v/>
      </c>
      <c r="BQ155" s="114" t="str">
        <f>_xlfn.IFNA(VLOOKUP($BD155,Programma!$F$3:$S$1101,14,0),"")</f>
        <v/>
      </c>
      <c r="BR155" s="114" t="str">
        <f>_xlfn.IFNA(VLOOKUP($BD155,Programma!$F$3:$T$1101,15,0),"")</f>
        <v/>
      </c>
      <c r="BS155" s="114" t="str">
        <f>_xlfn.IFNA(VLOOKUP($BD155,Programma!$F$3:$U$1101,16,0),"")</f>
        <v/>
      </c>
      <c r="BT155" s="114" t="str">
        <f>_xlfn.IFNA(VLOOKUP($BD155,Programma!$F$3:$V$1101,17,0),"")</f>
        <v/>
      </c>
      <c r="BU155" s="114" t="str">
        <f>_xlfn.IFNA(VLOOKUP($BD155,Programma!$F$3:$W$1101,18,0),"")</f>
        <v/>
      </c>
      <c r="BV155" s="114" t="str">
        <f>_xlfn.IFNA(VLOOKUP($BD155,Programma!$F$3:$X$1101,19,0),"")</f>
        <v/>
      </c>
      <c r="BW155" s="114" t="str">
        <f>_xlfn.IFNA(VLOOKUP($BD155,Programma!$F$3:$Y$1101,20,0),"")</f>
        <v/>
      </c>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8"/>
      <c r="EZ155" s="28"/>
      <c r="FA155" s="28"/>
      <c r="FB155" s="28"/>
      <c r="FC155" s="28"/>
      <c r="FD155" s="28"/>
      <c r="FE155" s="28"/>
      <c r="FF155" s="28"/>
      <c r="FG155" s="28"/>
      <c r="FH155" s="28"/>
      <c r="FI155" s="28"/>
      <c r="FJ155" s="28"/>
      <c r="FK155" s="28"/>
      <c r="FL155" s="28"/>
      <c r="FM155" s="28"/>
      <c r="FN155" s="28"/>
      <c r="FO155" s="28"/>
      <c r="FP155" s="28"/>
      <c r="FQ155" s="28"/>
      <c r="FR155" s="28"/>
      <c r="FS155" s="28"/>
      <c r="FT155" s="28"/>
      <c r="FU155" s="28"/>
      <c r="FV155" s="28"/>
      <c r="FW155" s="28"/>
      <c r="FX155" s="28"/>
      <c r="FY155" s="28"/>
      <c r="FZ155" s="28"/>
      <c r="GA155" s="28"/>
      <c r="GB155" s="28"/>
      <c r="GC155" s="28"/>
      <c r="GD155" s="28"/>
      <c r="GE155" s="28"/>
      <c r="GF155" s="28"/>
      <c r="GG155" s="28"/>
      <c r="GH155" s="28"/>
      <c r="GI155" s="28"/>
      <c r="GJ155" s="28"/>
      <c r="GK155" s="28"/>
      <c r="GL155" s="28"/>
      <c r="GM155" s="28"/>
      <c r="GN155" s="28"/>
      <c r="GO155" s="28"/>
      <c r="GP155" s="28"/>
      <c r="GQ155" s="28"/>
      <c r="GR155" s="28"/>
      <c r="GS155" s="28"/>
      <c r="GT155" s="28"/>
      <c r="GU155" s="28"/>
      <c r="GV155" s="28"/>
      <c r="GW155" s="28"/>
      <c r="GX155" s="28"/>
      <c r="GY155" s="28"/>
      <c r="GZ155" s="28"/>
      <c r="HA155" s="28"/>
      <c r="HB155" s="28"/>
      <c r="HC155" s="28"/>
      <c r="HD155" s="28"/>
      <c r="HE155" s="28"/>
      <c r="HF155" s="28"/>
      <c r="HG155" s="28"/>
      <c r="HH155" s="28"/>
      <c r="HI155" s="28"/>
      <c r="HJ155" s="28"/>
      <c r="HK155" s="28"/>
      <c r="HL155" s="28"/>
    </row>
    <row r="156" spans="1:220" ht="15" customHeight="1">
      <c r="A156" s="31">
        <v>3</v>
      </c>
      <c r="B156" s="105" t="str">
        <f>VLOOKUP(Ruimtestaat[[#This Row],[Code]],Locaties[[Code]:[Locatie]],2,FALSE)</f>
        <v>Sport IKC Het Startblok</v>
      </c>
      <c r="C156" s="105" t="str">
        <f>VLOOKUP(Ruimtestaat[[#This Row],[Code]],Locaties[[#All],[Code]:[Adres]],4,FALSE)</f>
        <v>Klapstraat 205</v>
      </c>
      <c r="D156" s="105" t="str">
        <f>VLOOKUP(Ruimtestaat[[#This Row],[Code]],Locaties[[#All],[Code]:[Postcode]],5,FALSE)</f>
        <v>6931 CH</v>
      </c>
      <c r="E156" s="105" t="str">
        <f>VLOOKUP(Ruimtestaat[[#This Row],[Code]],Locaties[#All],6,FALSE)</f>
        <v>Westervoort</v>
      </c>
      <c r="F156" s="73" t="s">
        <v>1795</v>
      </c>
      <c r="G156" s="73"/>
      <c r="H156" s="31" t="s">
        <v>1700</v>
      </c>
      <c r="I156" s="113" t="s">
        <v>1654</v>
      </c>
      <c r="J156" s="31">
        <v>5</v>
      </c>
      <c r="K156" s="113" t="str">
        <f>VLOOKUP(Ruimtestaat[[#This Row],[Ruimte code]],Ruimtegroepen[[#All],[Code]:[Ruimte omschrijving]],2,FALSE)</f>
        <v>Sanitair</v>
      </c>
      <c r="L156" s="73" t="s">
        <v>102</v>
      </c>
      <c r="M156" s="273" t="s">
        <v>120</v>
      </c>
      <c r="N156" s="106">
        <v>3.5</v>
      </c>
      <c r="O156" s="112"/>
      <c r="P156" s="73"/>
      <c r="Q156" s="107" t="str">
        <f>VLOOKUP(Ruimtestaat[[#This Row],[Ruimte code]],Ruimtegroepen[],4,FALSE)</f>
        <v>Sa</v>
      </c>
      <c r="R156" s="73">
        <v>40</v>
      </c>
      <c r="S156" s="73" t="s">
        <v>2</v>
      </c>
      <c r="T156" s="73">
        <f>IF(R156&gt;0,IF(RIGHT(Ruimtestaat[[#This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6" s="73">
        <f>IF(T156&gt;0,VLOOKUP($J156,Ruimtegroepen[],3,FALSE)*VLOOKUP($L156,Vloersoorten[],3,FALSE)*VLOOKUP($S156,Frequenties[],3,FALSE)*VLOOKUP($A156,Locaties[],3,FALSE),0)</f>
        <v>0</v>
      </c>
      <c r="V156" s="73">
        <f>Ruimtestaat[[#This Row],[Uitvoeringen werkdagen]]*Ruimtestaat[[#This Row],[Oppervlak (netto)]]</f>
        <v>700</v>
      </c>
      <c r="W156" s="108">
        <f>IF(U156&gt;0,Ruimtestaat[[#This Row],[Prest. (m2 /jaar) werkdagen]]/Ruimtestaat[[#This Row],[Norm (m2/uur) werkdagen]],0)</f>
        <v>0</v>
      </c>
      <c r="X156" s="109">
        <f>Ruimtestaat[[#This Row],[uren / jaar werkdagen]]*Tariefsopbouw!$E$35</f>
        <v>0</v>
      </c>
      <c r="Y156" s="73"/>
      <c r="Z156" s="73">
        <f>IF(Ruimtestaat[[#This Row],[Frequentie weekend]]&gt;0,VALUE(LEFT(Y156,1))*R156,0)</f>
        <v>0</v>
      </c>
      <c r="AA156" s="72">
        <f>IF($Z156&gt;0,VLOOKUP($J156,Ruimtegroepen[],3,FALSE)*VLOOKUP($L156,Vloersoorten[],3,FALSE)*VLOOKUP($Y156,Frequenties[],3,FALSE)*VLOOKUP(Ruimtestaat[[#This Row],[Code]],Locaties[],3,FALSE),0)</f>
        <v>0</v>
      </c>
      <c r="AB156" s="72">
        <f>Ruimtestaat[[#This Row],[Uitvoeringen weekend]]*Ruimtestaat[[#This Row],[Oppervlak (netto)]]</f>
        <v>0</v>
      </c>
      <c r="AC156" s="72">
        <f>IF(AA156&gt;0,Ruimtestaat[[#This Row],[Prest. (m2 /jaar) weekend]]/Ruimtestaat[[#This Row],[Norm (m2/uur) weekend]],0)</f>
        <v>0</v>
      </c>
      <c r="AD156" s="109">
        <f>Ruimtestaat[[#This Row],[uren / jaar weekend]]*Tariefsopbouw!$D$40</f>
        <v>0</v>
      </c>
      <c r="AE156" s="108">
        <f>Ruimtestaat[[#This Row],[Prest. (m2 /jaar) weekend]]+Ruimtestaat[[#This Row],[Prest. (m2 /jaar) werkdagen]]</f>
        <v>700</v>
      </c>
      <c r="AF156" s="108">
        <f>Ruimtestaat[[#This Row],[uren / jaar weekend]]+Ruimtestaat[[#This Row],[uren / jaar werkdagen]]</f>
        <v>0</v>
      </c>
      <c r="AG156" s="103">
        <f>Ruimtestaat[[#This Row],[kosten / jaar weekend]]+Ruimtestaat[[#This Row],[kosten / jaar werkdagen]]</f>
        <v>0</v>
      </c>
      <c r="AH156" s="103"/>
      <c r="AI156" s="110" t="str">
        <f>IF(Ruimtestaat[[#This Row],[Frequentie werkdagen]]="","",_xlfn.CONCAT(Ruimtestaat[[#This Row],[Ruimte code]],"-",Ruimtestaat[[#This Row],[Frequentie werkdagen]]," ",Ruimtestaat[[#This Row],[Vloer code]]))</f>
        <v>5-5w P</v>
      </c>
      <c r="AJ156" s="114" t="str">
        <f>_xlfn.IFNA(VLOOKUP($AI156,Programma!$F$3:$G$1101,2,0),"")</f>
        <v>_</v>
      </c>
      <c r="AK156" s="114" t="str">
        <f>_xlfn.IFNA(VLOOKUP($AI156,Programma!$F$3:$H$1101,3,0),"")</f>
        <v>_</v>
      </c>
      <c r="AL156" s="114" t="str">
        <f>_xlfn.IFNA(VLOOKUP($AI156,Programma!$F$3:$I$1101,4,0),"")</f>
        <v>_</v>
      </c>
      <c r="AM156" s="114" t="str">
        <f>_xlfn.IFNA(VLOOKUP($AI156,Programma!$F$3:$J$1101,5,0),"")</f>
        <v>4w</v>
      </c>
      <c r="AN156" s="114" t="str">
        <f>_xlfn.IFNA(VLOOKUP($AI156,Programma!$F$3:$K$1101,6,0),"")</f>
        <v>1w</v>
      </c>
      <c r="AO156" s="114" t="str">
        <f>_xlfn.IFNA(VLOOKUP($AI156,Programma!$F$3:$L$1101,7,0),"")</f>
        <v>_</v>
      </c>
      <c r="AP156" s="114" t="str">
        <f>_xlfn.IFNA(VLOOKUP($AI156,Programma!$F$3:$M$1101,8,0),"")</f>
        <v>_</v>
      </c>
      <c r="AQ156" s="114" t="str">
        <f>_xlfn.IFNA(VLOOKUP($AI156,Programma!$F$3:$N$1101,9,0),"")</f>
        <v>_</v>
      </c>
      <c r="AR156" s="114" t="str">
        <f>_xlfn.IFNA(VLOOKUP($AI156,Programma!$F$3:$O$1101,10,0),"")</f>
        <v>_</v>
      </c>
      <c r="AS156" s="114" t="str">
        <f>_xlfn.IFNA(VLOOKUP($AI156,Programma!$F$3:$P$1101,11,0),"")</f>
        <v>_</v>
      </c>
      <c r="AT156" s="114" t="str">
        <f>_xlfn.IFNA(VLOOKUP($AI156,Programma!$F$3:$Q$1101,12,0),"")</f>
        <v>_</v>
      </c>
      <c r="AU156" s="114" t="str">
        <f>_xlfn.IFNA(VLOOKUP($AI156,Programma!$F$3:$R$1101,13,0),"")</f>
        <v>_</v>
      </c>
      <c r="AV156" s="114" t="str">
        <f>_xlfn.IFNA(VLOOKUP($AI156,Programma!$F$3:$S$1101,14,0),"")</f>
        <v>_</v>
      </c>
      <c r="AW156" s="114" t="str">
        <f>_xlfn.IFNA(VLOOKUP($AI156,Programma!$F$3:$T$1101,15,0),"")</f>
        <v>_</v>
      </c>
      <c r="AX156" s="114" t="str">
        <f>_xlfn.IFNA(VLOOKUP($AI156,Programma!$F$3:$U$1101,16,0),"")</f>
        <v>_</v>
      </c>
      <c r="AY156" s="114" t="str">
        <f>_xlfn.IFNA(VLOOKUP($AI156,Programma!$F$3:$V$1101,17,0),"")</f>
        <v>_</v>
      </c>
      <c r="AZ156" s="114" t="str">
        <f>_xlfn.IFNA(VLOOKUP($AI156,Programma!$F$3:$W$1101,18,0),"")</f>
        <v>4w</v>
      </c>
      <c r="BA156" s="114" t="str">
        <f>_xlfn.IFNA(VLOOKUP($AI156,Programma!$F$3:$X$1101,19,0),"")</f>
        <v>1w</v>
      </c>
      <c r="BB156" s="114" t="str">
        <f>_xlfn.IFNA(VLOOKUP($AI156,Programma!$F$3:$Y$1101,20,0),"")</f>
        <v>_</v>
      </c>
      <c r="BC156" s="111"/>
      <c r="BD156" s="110" t="str">
        <f>IF(Ruimtestaat[[#This Row],[Frequentie weekend]]="","",_xlfn.CONCAT(Ruimtestaat[[#This Row],[Ruimte code]],"-",Ruimtestaat[[#This Row],[Frequentie weekend]]," ",Ruimtestaat[[#This Row],[Vloer code]]))</f>
        <v/>
      </c>
      <c r="BE156" s="114" t="str">
        <f>_xlfn.IFNA(VLOOKUP($BD156,Programma!$F$3:$G$1101,2,0),"")</f>
        <v/>
      </c>
      <c r="BF156" s="114" t="str">
        <f>_xlfn.IFNA(VLOOKUP($BD156,Programma!$F$3:$H$1101,3,0),"")</f>
        <v/>
      </c>
      <c r="BG156" s="114" t="str">
        <f>_xlfn.IFNA(VLOOKUP($BD156,Programma!$F$3:$I$1101,4,0),"")</f>
        <v/>
      </c>
      <c r="BH156" s="114" t="str">
        <f>_xlfn.IFNA(VLOOKUP($BD156,Programma!$F$3:$J$1101,5,0),"")</f>
        <v/>
      </c>
      <c r="BI156" s="114" t="str">
        <f>_xlfn.IFNA(VLOOKUP($BD156,Programma!$F$3:$K$1101,6,0),"")</f>
        <v/>
      </c>
      <c r="BJ156" s="114" t="str">
        <f>_xlfn.IFNA(VLOOKUP($BD156,Programma!$F$3:$L$1101,7,0),"")</f>
        <v/>
      </c>
      <c r="BK156" s="114" t="str">
        <f>_xlfn.IFNA(VLOOKUP($BD156,Programma!$F$3:$M$1101,8,0),"")</f>
        <v/>
      </c>
      <c r="BL156" s="114" t="str">
        <f>_xlfn.IFNA(VLOOKUP($BD156,Programma!$F$3:$N$1101,9,0),"")</f>
        <v/>
      </c>
      <c r="BM156" s="114" t="str">
        <f>_xlfn.IFNA(VLOOKUP($BD156,Programma!$F$3:$O$1101,10,0),"")</f>
        <v/>
      </c>
      <c r="BN156" s="114" t="str">
        <f>_xlfn.IFNA(VLOOKUP($BD156,Programma!$F$3:$P$1101,11,0),"")</f>
        <v/>
      </c>
      <c r="BO156" s="114" t="str">
        <f>_xlfn.IFNA(VLOOKUP($BD156,Programma!$F$3:$Q$1101,12,0),"")</f>
        <v/>
      </c>
      <c r="BP156" s="114" t="str">
        <f>_xlfn.IFNA(VLOOKUP($BD156,Programma!$F$3:$R$1101,13,0),"")</f>
        <v/>
      </c>
      <c r="BQ156" s="114" t="str">
        <f>_xlfn.IFNA(VLOOKUP($BD156,Programma!$F$3:$S$1101,14,0),"")</f>
        <v/>
      </c>
      <c r="BR156" s="114" t="str">
        <f>_xlfn.IFNA(VLOOKUP($BD156,Programma!$F$3:$T$1101,15,0),"")</f>
        <v/>
      </c>
      <c r="BS156" s="114" t="str">
        <f>_xlfn.IFNA(VLOOKUP($BD156,Programma!$F$3:$U$1101,16,0),"")</f>
        <v/>
      </c>
      <c r="BT156" s="114" t="str">
        <f>_xlfn.IFNA(VLOOKUP($BD156,Programma!$F$3:$V$1101,17,0),"")</f>
        <v/>
      </c>
      <c r="BU156" s="114" t="str">
        <f>_xlfn.IFNA(VLOOKUP($BD156,Programma!$F$3:$W$1101,18,0),"")</f>
        <v/>
      </c>
      <c r="BV156" s="114" t="str">
        <f>_xlfn.IFNA(VLOOKUP($BD156,Programma!$F$3:$X$1101,19,0),"")</f>
        <v/>
      </c>
      <c r="BW156" s="114" t="str">
        <f>_xlfn.IFNA(VLOOKUP($BD156,Programma!$F$3:$Y$1101,20,0),"")</f>
        <v/>
      </c>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8"/>
      <c r="FJ156" s="28"/>
      <c r="FK156" s="28"/>
      <c r="FL156" s="28"/>
      <c r="FM156" s="28"/>
      <c r="FN156" s="28"/>
      <c r="FO156" s="28"/>
      <c r="FP156" s="28"/>
      <c r="FQ156" s="28"/>
      <c r="FR156" s="28"/>
      <c r="FS156" s="28"/>
      <c r="FT156" s="28"/>
      <c r="FU156" s="28"/>
      <c r="FV156" s="28"/>
      <c r="FW156" s="28"/>
      <c r="FX156" s="28"/>
      <c r="FY156" s="28"/>
      <c r="FZ156" s="28"/>
      <c r="GA156" s="28"/>
      <c r="GB156" s="28"/>
      <c r="GC156" s="28"/>
      <c r="GD156" s="28"/>
      <c r="GE156" s="28"/>
      <c r="GF156" s="28"/>
      <c r="GG156" s="28"/>
      <c r="GH156" s="28"/>
      <c r="GI156" s="28"/>
      <c r="GJ156" s="28"/>
      <c r="GK156" s="28"/>
      <c r="GL156" s="28"/>
      <c r="GM156" s="28"/>
      <c r="GN156" s="28"/>
      <c r="GO156" s="28"/>
      <c r="GP156" s="28"/>
      <c r="GQ156" s="28"/>
      <c r="GR156" s="28"/>
      <c r="GS156" s="28"/>
      <c r="GT156" s="28"/>
      <c r="GU156" s="28"/>
      <c r="GV156" s="28"/>
      <c r="GW156" s="28"/>
      <c r="GX156" s="28"/>
      <c r="GY156" s="28"/>
      <c r="GZ156" s="28"/>
      <c r="HA156" s="28"/>
      <c r="HB156" s="28"/>
      <c r="HC156" s="28"/>
      <c r="HD156" s="28"/>
      <c r="HE156" s="28"/>
      <c r="HF156" s="28"/>
      <c r="HG156" s="28"/>
      <c r="HH156" s="28"/>
      <c r="HI156" s="28"/>
      <c r="HJ156" s="28"/>
      <c r="HK156" s="28"/>
      <c r="HL156" s="28"/>
    </row>
    <row r="157" spans="1:220" ht="15" customHeight="1">
      <c r="A157" s="31">
        <v>3</v>
      </c>
      <c r="B157" s="105" t="str">
        <f>VLOOKUP(Ruimtestaat[[#This Row],[Code]],Locaties[[Code]:[Locatie]],2,FALSE)</f>
        <v>Sport IKC Het Startblok</v>
      </c>
      <c r="C157" s="105" t="str">
        <f>VLOOKUP(Ruimtestaat[[#This Row],[Code]],Locaties[[#All],[Code]:[Adres]],4,FALSE)</f>
        <v>Klapstraat 205</v>
      </c>
      <c r="D157" s="105" t="str">
        <f>VLOOKUP(Ruimtestaat[[#This Row],[Code]],Locaties[[#All],[Code]:[Postcode]],5,FALSE)</f>
        <v>6931 CH</v>
      </c>
      <c r="E157" s="105" t="str">
        <f>VLOOKUP(Ruimtestaat[[#This Row],[Code]],Locaties[#All],6,FALSE)</f>
        <v>Westervoort</v>
      </c>
      <c r="F157" s="73" t="s">
        <v>1795</v>
      </c>
      <c r="G157" s="73"/>
      <c r="H157" s="31" t="s">
        <v>1701</v>
      </c>
      <c r="I157" s="113" t="s">
        <v>1793</v>
      </c>
      <c r="J157" s="31">
        <v>3</v>
      </c>
      <c r="K157" s="113" t="str">
        <f>VLOOKUP(Ruimtestaat[[#This Row],[Ruimte code]],Ruimtegroepen[[#All],[Code]:[Ruimte omschrijving]],2,FALSE)</f>
        <v>Reproruimte</v>
      </c>
      <c r="L157" s="73" t="s">
        <v>102</v>
      </c>
      <c r="M157" s="273" t="s">
        <v>120</v>
      </c>
      <c r="N157" s="106">
        <v>4</v>
      </c>
      <c r="O157" s="112"/>
      <c r="P157" s="112"/>
      <c r="Q157" s="107" t="str">
        <f>VLOOKUP(Ruimtestaat[[#This Row],[Ruimte code]],Ruimtegroepen[],4,FALSE)</f>
        <v>Ve</v>
      </c>
      <c r="R157" s="73">
        <v>40</v>
      </c>
      <c r="S157" s="73" t="s">
        <v>15</v>
      </c>
      <c r="T157" s="73">
        <f>IF(R157&gt;0,IF(RIGHT(Ruimtestaat[[#This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7" s="73">
        <f>IF(T157&gt;0,VLOOKUP($J157,Ruimtegroepen[],3,FALSE)*VLOOKUP($L157,Vloersoorten[],3,FALSE)*VLOOKUP($S157,Frequenties[],3,FALSE)*VLOOKUP($A157,Locaties[],3,FALSE),0)</f>
        <v>0</v>
      </c>
      <c r="V157" s="73">
        <f>Ruimtestaat[[#This Row],[Uitvoeringen werkdagen]]*Ruimtestaat[[#This Row],[Oppervlak (netto)]]</f>
        <v>160</v>
      </c>
      <c r="W157" s="108">
        <f>IF(U157&gt;0,Ruimtestaat[[#This Row],[Prest. (m2 /jaar) werkdagen]]/Ruimtestaat[[#This Row],[Norm (m2/uur) werkdagen]],0)</f>
        <v>0</v>
      </c>
      <c r="X157" s="109">
        <f>Ruimtestaat[[#This Row],[uren / jaar werkdagen]]*Tariefsopbouw!$E$35</f>
        <v>0</v>
      </c>
      <c r="Y157" s="73"/>
      <c r="Z157" s="73">
        <f>IF(Ruimtestaat[[#This Row],[Frequentie weekend]]&gt;0,VALUE(LEFT(Y157,1))*R157,0)</f>
        <v>0</v>
      </c>
      <c r="AA157" s="72">
        <f>IF($Z157&gt;0,VLOOKUP($J157,Ruimtegroepen[],3,FALSE)*VLOOKUP($L157,Vloersoorten[],3,FALSE)*VLOOKUP($Y157,Frequenties[],3,FALSE)*VLOOKUP(Ruimtestaat[[#This Row],[Code]],Locaties[],3,FALSE),0)</f>
        <v>0</v>
      </c>
      <c r="AB157" s="72">
        <f>Ruimtestaat[[#This Row],[Uitvoeringen weekend]]*Ruimtestaat[[#This Row],[Oppervlak (netto)]]</f>
        <v>0</v>
      </c>
      <c r="AC157" s="72">
        <f>IF(AA157&gt;0,Ruimtestaat[[#This Row],[Prest. (m2 /jaar) weekend]]/Ruimtestaat[[#This Row],[Norm (m2/uur) weekend]],0)</f>
        <v>0</v>
      </c>
      <c r="AD157" s="109">
        <f>Ruimtestaat[[#This Row],[uren / jaar weekend]]*Tariefsopbouw!$D$40</f>
        <v>0</v>
      </c>
      <c r="AE157" s="108">
        <f>Ruimtestaat[[#This Row],[Prest. (m2 /jaar) weekend]]+Ruimtestaat[[#This Row],[Prest. (m2 /jaar) werkdagen]]</f>
        <v>160</v>
      </c>
      <c r="AF157" s="108">
        <f>Ruimtestaat[[#This Row],[uren / jaar weekend]]+Ruimtestaat[[#This Row],[uren / jaar werkdagen]]</f>
        <v>0</v>
      </c>
      <c r="AG157" s="103">
        <f>Ruimtestaat[[#This Row],[kosten / jaar weekend]]+Ruimtestaat[[#This Row],[kosten / jaar werkdagen]]</f>
        <v>0</v>
      </c>
      <c r="AH157" s="103"/>
      <c r="AI157" s="110" t="str">
        <f>IF(Ruimtestaat[[#This Row],[Frequentie werkdagen]]="","",_xlfn.CONCAT(Ruimtestaat[[#This Row],[Ruimte code]],"-",Ruimtestaat[[#This Row],[Frequentie werkdagen]]," ",Ruimtestaat[[#This Row],[Vloer code]]))</f>
        <v>3-1w P</v>
      </c>
      <c r="AJ157" s="114" t="str">
        <f>_xlfn.IFNA(VLOOKUP($AI157,Programma!$F$3:$G$1101,2,0),"")</f>
        <v>_</v>
      </c>
      <c r="AK157" s="114" t="str">
        <f>_xlfn.IFNA(VLOOKUP($AI157,Programma!$F$3:$H$1101,3,0),"")</f>
        <v>_</v>
      </c>
      <c r="AL157" s="114" t="str">
        <f>_xlfn.IFNA(VLOOKUP($AI157,Programma!$F$3:$I$1101,4,0),"")</f>
        <v>_</v>
      </c>
      <c r="AM157" s="114" t="str">
        <f>_xlfn.IFNA(VLOOKUP($AI157,Programma!$F$3:$J$1101,5,0),"")</f>
        <v>1w</v>
      </c>
      <c r="AN157" s="114" t="str">
        <f>_xlfn.IFNA(VLOOKUP($AI157,Programma!$F$3:$K$1101,6,0),"")</f>
        <v>2j</v>
      </c>
      <c r="AO157" s="114" t="str">
        <f>_xlfn.IFNA(VLOOKUP($AI157,Programma!$F$3:$L$1101,7,0),"")</f>
        <v>_</v>
      </c>
      <c r="AP157" s="114" t="str">
        <f>_xlfn.IFNA(VLOOKUP($AI157,Programma!$F$3:$M$1101,8,0),"")</f>
        <v>_</v>
      </c>
      <c r="AQ157" s="114" t="str">
        <f>_xlfn.IFNA(VLOOKUP($AI157,Programma!$F$3:$N$1101,9,0),"")</f>
        <v>_</v>
      </c>
      <c r="AR157" s="114" t="str">
        <f>_xlfn.IFNA(VLOOKUP($AI157,Programma!$F$3:$O$1101,10,0),"")</f>
        <v>1w</v>
      </c>
      <c r="AS157" s="114" t="str">
        <f>_xlfn.IFNA(VLOOKUP($AI157,Programma!$F$3:$P$1101,11,0),"")</f>
        <v>1w</v>
      </c>
      <c r="AT157" s="114" t="str">
        <f>_xlfn.IFNA(VLOOKUP($AI157,Programma!$F$3:$Q$1101,12,0),"")</f>
        <v>1w</v>
      </c>
      <c r="AU157" s="114" t="str">
        <f>_xlfn.IFNA(VLOOKUP($AI157,Programma!$F$3:$R$1101,13,0),"")</f>
        <v>1w</v>
      </c>
      <c r="AV157" s="114" t="str">
        <f>_xlfn.IFNA(VLOOKUP($AI157,Programma!$F$3:$S$1101,14,0),"")</f>
        <v>1m</v>
      </c>
      <c r="AW157" s="114" t="str">
        <f>_xlfn.IFNA(VLOOKUP($AI157,Programma!$F$3:$T$1101,15,0),"")</f>
        <v>4j</v>
      </c>
      <c r="AX157" s="114" t="str">
        <f>_xlfn.IFNA(VLOOKUP($AI157,Programma!$F$3:$U$1101,16,0),"")</f>
        <v>1j</v>
      </c>
      <c r="AY157" s="114" t="str">
        <f>_xlfn.IFNA(VLOOKUP($AI157,Programma!$F$3:$V$1101,17,0),"")</f>
        <v>_</v>
      </c>
      <c r="AZ157" s="114" t="str">
        <f>_xlfn.IFNA(VLOOKUP($AI157,Programma!$F$3:$W$1101,18,0),"")</f>
        <v>_</v>
      </c>
      <c r="BA157" s="114" t="str">
        <f>_xlfn.IFNA(VLOOKUP($AI157,Programma!$F$3:$X$1101,19,0),"")</f>
        <v>_</v>
      </c>
      <c r="BB157" s="114" t="str">
        <f>_xlfn.IFNA(VLOOKUP($AI157,Programma!$F$3:$Y$1101,20,0),"")</f>
        <v>_</v>
      </c>
      <c r="BC157" s="111"/>
      <c r="BD157" s="110" t="str">
        <f>IF(Ruimtestaat[[#This Row],[Frequentie weekend]]="","",_xlfn.CONCAT(Ruimtestaat[[#This Row],[Ruimte code]],"-",Ruimtestaat[[#This Row],[Frequentie weekend]]," ",Ruimtestaat[[#This Row],[Vloer code]]))</f>
        <v/>
      </c>
      <c r="BE157" s="114" t="str">
        <f>_xlfn.IFNA(VLOOKUP($BD157,Programma!$F$3:$G$1101,2,0),"")</f>
        <v/>
      </c>
      <c r="BF157" s="114" t="str">
        <f>_xlfn.IFNA(VLOOKUP($BD157,Programma!$F$3:$H$1101,3,0),"")</f>
        <v/>
      </c>
      <c r="BG157" s="114" t="str">
        <f>_xlfn.IFNA(VLOOKUP($BD157,Programma!$F$3:$I$1101,4,0),"")</f>
        <v/>
      </c>
      <c r="BH157" s="114" t="str">
        <f>_xlfn.IFNA(VLOOKUP($BD157,Programma!$F$3:$J$1101,5,0),"")</f>
        <v/>
      </c>
      <c r="BI157" s="114" t="str">
        <f>_xlfn.IFNA(VLOOKUP($BD157,Programma!$F$3:$K$1101,6,0),"")</f>
        <v/>
      </c>
      <c r="BJ157" s="114" t="str">
        <f>_xlfn.IFNA(VLOOKUP($BD157,Programma!$F$3:$L$1101,7,0),"")</f>
        <v/>
      </c>
      <c r="BK157" s="114" t="str">
        <f>_xlfn.IFNA(VLOOKUP($BD157,Programma!$F$3:$M$1101,8,0),"")</f>
        <v/>
      </c>
      <c r="BL157" s="114" t="str">
        <f>_xlfn.IFNA(VLOOKUP($BD157,Programma!$F$3:$N$1101,9,0),"")</f>
        <v/>
      </c>
      <c r="BM157" s="114" t="str">
        <f>_xlfn.IFNA(VLOOKUP($BD157,Programma!$F$3:$O$1101,10,0),"")</f>
        <v/>
      </c>
      <c r="BN157" s="114" t="str">
        <f>_xlfn.IFNA(VLOOKUP($BD157,Programma!$F$3:$P$1101,11,0),"")</f>
        <v/>
      </c>
      <c r="BO157" s="114" t="str">
        <f>_xlfn.IFNA(VLOOKUP($BD157,Programma!$F$3:$Q$1101,12,0),"")</f>
        <v/>
      </c>
      <c r="BP157" s="114" t="str">
        <f>_xlfn.IFNA(VLOOKUP($BD157,Programma!$F$3:$R$1101,13,0),"")</f>
        <v/>
      </c>
      <c r="BQ157" s="114" t="str">
        <f>_xlfn.IFNA(VLOOKUP($BD157,Programma!$F$3:$S$1101,14,0),"")</f>
        <v/>
      </c>
      <c r="BR157" s="114" t="str">
        <f>_xlfn.IFNA(VLOOKUP($BD157,Programma!$F$3:$T$1101,15,0),"")</f>
        <v/>
      </c>
      <c r="BS157" s="114" t="str">
        <f>_xlfn.IFNA(VLOOKUP($BD157,Programma!$F$3:$U$1101,16,0),"")</f>
        <v/>
      </c>
      <c r="BT157" s="114" t="str">
        <f>_xlfn.IFNA(VLOOKUP($BD157,Programma!$F$3:$V$1101,17,0),"")</f>
        <v/>
      </c>
      <c r="BU157" s="114" t="str">
        <f>_xlfn.IFNA(VLOOKUP($BD157,Programma!$F$3:$W$1101,18,0),"")</f>
        <v/>
      </c>
      <c r="BV157" s="114" t="str">
        <f>_xlfn.IFNA(VLOOKUP($BD157,Programma!$F$3:$X$1101,19,0),"")</f>
        <v/>
      </c>
      <c r="BW157" s="114" t="str">
        <f>_xlfn.IFNA(VLOOKUP($BD157,Programma!$F$3:$Y$1101,20,0),"")</f>
        <v/>
      </c>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c r="EO157" s="28"/>
      <c r="EP157" s="28"/>
      <c r="EQ157" s="28"/>
      <c r="ER157" s="28"/>
      <c r="ES157" s="28"/>
      <c r="ET157" s="28"/>
      <c r="EU157" s="28"/>
      <c r="EV157" s="28"/>
      <c r="EW157" s="28"/>
      <c r="EX157" s="28"/>
      <c r="EY157" s="28"/>
      <c r="EZ157" s="28"/>
      <c r="FA157" s="28"/>
      <c r="FB157" s="28"/>
      <c r="FC157" s="28"/>
      <c r="FD157" s="28"/>
      <c r="FE157" s="28"/>
      <c r="FF157" s="28"/>
      <c r="FG157" s="28"/>
      <c r="FH157" s="28"/>
      <c r="FI157" s="28"/>
      <c r="FJ157" s="28"/>
      <c r="FK157" s="28"/>
      <c r="FL157" s="28"/>
      <c r="FM157" s="28"/>
      <c r="FN157" s="28"/>
      <c r="FO157" s="28"/>
      <c r="FP157" s="28"/>
      <c r="FQ157" s="28"/>
      <c r="FR157" s="28"/>
      <c r="FS157" s="28"/>
      <c r="FT157" s="28"/>
      <c r="FU157" s="28"/>
      <c r="FV157" s="28"/>
      <c r="FW157" s="28"/>
      <c r="FX157" s="28"/>
      <c r="FY157" s="28"/>
      <c r="FZ157" s="28"/>
      <c r="GA157" s="28"/>
      <c r="GB157" s="28"/>
      <c r="GC157" s="28"/>
      <c r="GD157" s="28"/>
      <c r="GE157" s="28"/>
      <c r="GF157" s="28"/>
      <c r="GG157" s="28"/>
      <c r="GH157" s="28"/>
      <c r="GI157" s="28"/>
      <c r="GJ157" s="28"/>
      <c r="GK157" s="28"/>
      <c r="GL157" s="28"/>
      <c r="GM157" s="28"/>
      <c r="GN157" s="28"/>
      <c r="GO157" s="28"/>
      <c r="GP157" s="28"/>
      <c r="GQ157" s="28"/>
      <c r="GR157" s="28"/>
      <c r="GS157" s="28"/>
      <c r="GT157" s="28"/>
      <c r="GU157" s="28"/>
      <c r="GV157" s="28"/>
      <c r="GW157" s="28"/>
      <c r="GX157" s="28"/>
      <c r="GY157" s="28"/>
      <c r="GZ157" s="28"/>
      <c r="HA157" s="28"/>
      <c r="HB157" s="28"/>
      <c r="HC157" s="28"/>
      <c r="HD157" s="28"/>
      <c r="HE157" s="28"/>
      <c r="HF157" s="28"/>
      <c r="HG157" s="28"/>
      <c r="HH157" s="28"/>
      <c r="HI157" s="28"/>
      <c r="HJ157" s="28"/>
      <c r="HK157" s="28"/>
      <c r="HL157" s="28"/>
    </row>
    <row r="158" spans="1:220" ht="15" customHeight="1">
      <c r="A158" s="31">
        <v>3</v>
      </c>
      <c r="B158" s="105" t="str">
        <f>VLOOKUP(Ruimtestaat[[#This Row],[Code]],Locaties[[Code]:[Locatie]],2,FALSE)</f>
        <v>Sport IKC Het Startblok</v>
      </c>
      <c r="C158" s="105" t="str">
        <f>VLOOKUP(Ruimtestaat[[#This Row],[Code]],Locaties[[#All],[Code]:[Adres]],4,FALSE)</f>
        <v>Klapstraat 205</v>
      </c>
      <c r="D158" s="105" t="str">
        <f>VLOOKUP(Ruimtestaat[[#This Row],[Code]],Locaties[[#All],[Code]:[Postcode]],5,FALSE)</f>
        <v>6931 CH</v>
      </c>
      <c r="E158" s="105" t="str">
        <f>VLOOKUP(Ruimtestaat[[#This Row],[Code]],Locaties[#All],6,FALSE)</f>
        <v>Westervoort</v>
      </c>
      <c r="F158" s="73" t="s">
        <v>1795</v>
      </c>
      <c r="G158" s="73"/>
      <c r="H158" s="31" t="s">
        <v>1702</v>
      </c>
      <c r="I158" s="113" t="s">
        <v>1660</v>
      </c>
      <c r="J158" s="31">
        <v>6</v>
      </c>
      <c r="K158" s="113" t="str">
        <f>VLOOKUP(Ruimtestaat[[#This Row],[Ruimte code]],Ruimtegroepen[[#All],[Code]:[Ruimte omschrijving]],2,FALSE)</f>
        <v>Gangen/hallen</v>
      </c>
      <c r="L158" s="73" t="s">
        <v>102</v>
      </c>
      <c r="M158" s="273" t="s">
        <v>120</v>
      </c>
      <c r="N158" s="106">
        <v>118</v>
      </c>
      <c r="O158" s="112"/>
      <c r="P158" s="112"/>
      <c r="Q158" s="107" t="str">
        <f>VLOOKUP(Ruimtestaat[[#This Row],[Ruimte code]],Ruimtegroepen[],4,FALSE)</f>
        <v>Ve</v>
      </c>
      <c r="R158" s="73">
        <v>40</v>
      </c>
      <c r="S158" s="73" t="s">
        <v>2</v>
      </c>
      <c r="T158" s="73">
        <f>IF(R158&gt;0,IF(RIGHT(Ruimtestaat[[#This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8" s="73">
        <f>IF(T158&gt;0,VLOOKUP($J158,Ruimtegroepen[],3,FALSE)*VLOOKUP($L158,Vloersoorten[],3,FALSE)*VLOOKUP($S158,Frequenties[],3,FALSE)*VLOOKUP($A158,Locaties[],3,FALSE),0)</f>
        <v>0</v>
      </c>
      <c r="V158" s="73">
        <f>Ruimtestaat[[#This Row],[Uitvoeringen werkdagen]]*Ruimtestaat[[#This Row],[Oppervlak (netto)]]</f>
        <v>23600</v>
      </c>
      <c r="W158" s="108">
        <f>IF(U158&gt;0,Ruimtestaat[[#This Row],[Prest. (m2 /jaar) werkdagen]]/Ruimtestaat[[#This Row],[Norm (m2/uur) werkdagen]],0)</f>
        <v>0</v>
      </c>
      <c r="X158" s="109">
        <f>Ruimtestaat[[#This Row],[uren / jaar werkdagen]]*Tariefsopbouw!$E$35</f>
        <v>0</v>
      </c>
      <c r="Y158" s="73"/>
      <c r="Z158" s="73">
        <f>IF(Ruimtestaat[[#This Row],[Frequentie weekend]]&gt;0,VALUE(LEFT(Y158,1))*R158,0)</f>
        <v>0</v>
      </c>
      <c r="AA158" s="72">
        <f>IF($Z158&gt;0,VLOOKUP($J158,Ruimtegroepen[],3,FALSE)*VLOOKUP($L158,Vloersoorten[],3,FALSE)*VLOOKUP($Y158,Frequenties[],3,FALSE)*VLOOKUP(Ruimtestaat[[#This Row],[Code]],Locaties[],3,FALSE),0)</f>
        <v>0</v>
      </c>
      <c r="AB158" s="72">
        <f>Ruimtestaat[[#This Row],[Uitvoeringen weekend]]*Ruimtestaat[[#This Row],[Oppervlak (netto)]]</f>
        <v>0</v>
      </c>
      <c r="AC158" s="72">
        <f>IF(AA158&gt;0,Ruimtestaat[[#This Row],[Prest. (m2 /jaar) weekend]]/Ruimtestaat[[#This Row],[Norm (m2/uur) weekend]],0)</f>
        <v>0</v>
      </c>
      <c r="AD158" s="109">
        <f>Ruimtestaat[[#This Row],[uren / jaar weekend]]*Tariefsopbouw!$D$40</f>
        <v>0</v>
      </c>
      <c r="AE158" s="108">
        <f>Ruimtestaat[[#This Row],[Prest. (m2 /jaar) weekend]]+Ruimtestaat[[#This Row],[Prest. (m2 /jaar) werkdagen]]</f>
        <v>23600</v>
      </c>
      <c r="AF158" s="108">
        <f>Ruimtestaat[[#This Row],[uren / jaar weekend]]+Ruimtestaat[[#This Row],[uren / jaar werkdagen]]</f>
        <v>0</v>
      </c>
      <c r="AG158" s="103">
        <f>Ruimtestaat[[#This Row],[kosten / jaar weekend]]+Ruimtestaat[[#This Row],[kosten / jaar werkdagen]]</f>
        <v>0</v>
      </c>
      <c r="AH158" s="103"/>
      <c r="AI158" s="110" t="str">
        <f>IF(Ruimtestaat[[#This Row],[Frequentie werkdagen]]="","",_xlfn.CONCAT(Ruimtestaat[[#This Row],[Ruimte code]],"-",Ruimtestaat[[#This Row],[Frequentie werkdagen]]," ",Ruimtestaat[[#This Row],[Vloer code]]))</f>
        <v>6-5w P</v>
      </c>
      <c r="AJ158" s="114" t="str">
        <f>_xlfn.IFNA(VLOOKUP($AI158,Programma!$F$3:$G$1101,2,0),"")</f>
        <v>_</v>
      </c>
      <c r="AK158" s="114" t="str">
        <f>_xlfn.IFNA(VLOOKUP($AI158,Programma!$F$3:$H$1101,3,0),"")</f>
        <v>_</v>
      </c>
      <c r="AL158" s="114" t="str">
        <f>_xlfn.IFNA(VLOOKUP($AI158,Programma!$F$3:$I$1101,4,0),"")</f>
        <v>5w</v>
      </c>
      <c r="AM158" s="114" t="str">
        <f>_xlfn.IFNA(VLOOKUP($AI158,Programma!$F$3:$J$1101,5,0),"")</f>
        <v>_</v>
      </c>
      <c r="AN158" s="114" t="str">
        <f>_xlfn.IFNA(VLOOKUP($AI158,Programma!$F$3:$K$1101,6,0),"")</f>
        <v>5w</v>
      </c>
      <c r="AO158" s="114" t="str">
        <f>_xlfn.IFNA(VLOOKUP($AI158,Programma!$F$3:$L$1101,7,0),"")</f>
        <v>_</v>
      </c>
      <c r="AP158" s="114" t="str">
        <f>_xlfn.IFNA(VLOOKUP($AI158,Programma!$F$3:$M$1101,8,0),"")</f>
        <v>_</v>
      </c>
      <c r="AQ158" s="114" t="str">
        <f>_xlfn.IFNA(VLOOKUP($AI158,Programma!$F$3:$N$1101,9,0),"")</f>
        <v>_</v>
      </c>
      <c r="AR158" s="114" t="str">
        <f>_xlfn.IFNA(VLOOKUP($AI158,Programma!$F$3:$O$1101,10,0),"")</f>
        <v>5w</v>
      </c>
      <c r="AS158" s="114" t="str">
        <f>_xlfn.IFNA(VLOOKUP($AI158,Programma!$F$3:$P$1101,11,0),"")</f>
        <v>5w</v>
      </c>
      <c r="AT158" s="114" t="str">
        <f>_xlfn.IFNA(VLOOKUP($AI158,Programma!$F$3:$Q$1101,12,0),"")</f>
        <v>1w</v>
      </c>
      <c r="AU158" s="114" t="str">
        <f>_xlfn.IFNA(VLOOKUP($AI158,Programma!$F$3:$R$1101,13,0),"")</f>
        <v>1w</v>
      </c>
      <c r="AV158" s="114" t="str">
        <f>_xlfn.IFNA(VLOOKUP($AI158,Programma!$F$3:$S$1101,14,0),"")</f>
        <v>1m</v>
      </c>
      <c r="AW158" s="114" t="str">
        <f>_xlfn.IFNA(VLOOKUP($AI158,Programma!$F$3:$T$1101,15,0),"")</f>
        <v>2j</v>
      </c>
      <c r="AX158" s="114" t="str">
        <f>_xlfn.IFNA(VLOOKUP($AI158,Programma!$F$3:$U$1101,16,0),"")</f>
        <v>1j</v>
      </c>
      <c r="AY158" s="114" t="str">
        <f>_xlfn.IFNA(VLOOKUP($AI158,Programma!$F$3:$V$1101,17,0),"")</f>
        <v>_</v>
      </c>
      <c r="AZ158" s="114" t="str">
        <f>_xlfn.IFNA(VLOOKUP($AI158,Programma!$F$3:$W$1101,18,0),"")</f>
        <v>_</v>
      </c>
      <c r="BA158" s="114" t="str">
        <f>_xlfn.IFNA(VLOOKUP($AI158,Programma!$F$3:$X$1101,19,0),"")</f>
        <v>_</v>
      </c>
      <c r="BB158" s="114" t="str">
        <f>_xlfn.IFNA(VLOOKUP($AI158,Programma!$F$3:$Y$1101,20,0),"")</f>
        <v>_</v>
      </c>
      <c r="BC158" s="111"/>
      <c r="BD158" s="110" t="str">
        <f>IF(Ruimtestaat[[#This Row],[Frequentie weekend]]="","",_xlfn.CONCAT(Ruimtestaat[[#This Row],[Ruimte code]],"-",Ruimtestaat[[#This Row],[Frequentie weekend]]," ",Ruimtestaat[[#This Row],[Vloer code]]))</f>
        <v/>
      </c>
      <c r="BE158" s="114" t="str">
        <f>_xlfn.IFNA(VLOOKUP($BD158,Programma!$F$3:$G$1101,2,0),"")</f>
        <v/>
      </c>
      <c r="BF158" s="114" t="str">
        <f>_xlfn.IFNA(VLOOKUP($BD158,Programma!$F$3:$H$1101,3,0),"")</f>
        <v/>
      </c>
      <c r="BG158" s="114" t="str">
        <f>_xlfn.IFNA(VLOOKUP($BD158,Programma!$F$3:$I$1101,4,0),"")</f>
        <v/>
      </c>
      <c r="BH158" s="114" t="str">
        <f>_xlfn.IFNA(VLOOKUP($BD158,Programma!$F$3:$J$1101,5,0),"")</f>
        <v/>
      </c>
      <c r="BI158" s="114" t="str">
        <f>_xlfn.IFNA(VLOOKUP($BD158,Programma!$F$3:$K$1101,6,0),"")</f>
        <v/>
      </c>
      <c r="BJ158" s="114" t="str">
        <f>_xlfn.IFNA(VLOOKUP($BD158,Programma!$F$3:$L$1101,7,0),"")</f>
        <v/>
      </c>
      <c r="BK158" s="114" t="str">
        <f>_xlfn.IFNA(VLOOKUP($BD158,Programma!$F$3:$M$1101,8,0),"")</f>
        <v/>
      </c>
      <c r="BL158" s="114" t="str">
        <f>_xlfn.IFNA(VLOOKUP($BD158,Programma!$F$3:$N$1101,9,0),"")</f>
        <v/>
      </c>
      <c r="BM158" s="114" t="str">
        <f>_xlfn.IFNA(VLOOKUP($BD158,Programma!$F$3:$O$1101,10,0),"")</f>
        <v/>
      </c>
      <c r="BN158" s="114" t="str">
        <f>_xlfn.IFNA(VLOOKUP($BD158,Programma!$F$3:$P$1101,11,0),"")</f>
        <v/>
      </c>
      <c r="BO158" s="114" t="str">
        <f>_xlfn.IFNA(VLOOKUP($BD158,Programma!$F$3:$Q$1101,12,0),"")</f>
        <v/>
      </c>
      <c r="BP158" s="114" t="str">
        <f>_xlfn.IFNA(VLOOKUP($BD158,Programma!$F$3:$R$1101,13,0),"")</f>
        <v/>
      </c>
      <c r="BQ158" s="114" t="str">
        <f>_xlfn.IFNA(VLOOKUP($BD158,Programma!$F$3:$S$1101,14,0),"")</f>
        <v/>
      </c>
      <c r="BR158" s="114" t="str">
        <f>_xlfn.IFNA(VLOOKUP($BD158,Programma!$F$3:$T$1101,15,0),"")</f>
        <v/>
      </c>
      <c r="BS158" s="114" t="str">
        <f>_xlfn.IFNA(VLOOKUP($BD158,Programma!$F$3:$U$1101,16,0),"")</f>
        <v/>
      </c>
      <c r="BT158" s="114" t="str">
        <f>_xlfn.IFNA(VLOOKUP($BD158,Programma!$F$3:$V$1101,17,0),"")</f>
        <v/>
      </c>
      <c r="BU158" s="114" t="str">
        <f>_xlfn.IFNA(VLOOKUP($BD158,Programma!$F$3:$W$1101,18,0),"")</f>
        <v/>
      </c>
      <c r="BV158" s="114" t="str">
        <f>_xlfn.IFNA(VLOOKUP($BD158,Programma!$F$3:$X$1101,19,0),"")</f>
        <v/>
      </c>
      <c r="BW158" s="114" t="str">
        <f>_xlfn.IFNA(VLOOKUP($BD158,Programma!$F$3:$Y$1101,20,0),"")</f>
        <v/>
      </c>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c r="ET158" s="28"/>
      <c r="EU158" s="28"/>
      <c r="EV158" s="28"/>
      <c r="EW158" s="28"/>
      <c r="EX158" s="28"/>
      <c r="EY158" s="28"/>
      <c r="EZ158" s="28"/>
      <c r="FA158" s="28"/>
      <c r="FB158" s="28"/>
      <c r="FC158" s="28"/>
      <c r="FD158" s="28"/>
      <c r="FE158" s="28"/>
      <c r="FF158" s="28"/>
      <c r="FG158" s="28"/>
      <c r="FH158" s="28"/>
      <c r="FI158" s="28"/>
      <c r="FJ158" s="28"/>
      <c r="FK158" s="28"/>
      <c r="FL158" s="28"/>
      <c r="FM158" s="28"/>
      <c r="FN158" s="28"/>
      <c r="FO158" s="28"/>
      <c r="FP158" s="28"/>
      <c r="FQ158" s="28"/>
      <c r="FR158" s="28"/>
      <c r="FS158" s="28"/>
      <c r="FT158" s="28"/>
      <c r="FU158" s="28"/>
      <c r="FV158" s="28"/>
      <c r="FW158" s="28"/>
      <c r="FX158" s="28"/>
      <c r="FY158" s="28"/>
      <c r="FZ158" s="28"/>
      <c r="GA158" s="28"/>
      <c r="GB158" s="28"/>
      <c r="GC158" s="28"/>
      <c r="GD158" s="28"/>
      <c r="GE158" s="28"/>
      <c r="GF158" s="28"/>
      <c r="GG158" s="28"/>
      <c r="GH158" s="28"/>
      <c r="GI158" s="28"/>
      <c r="GJ158" s="28"/>
      <c r="GK158" s="28"/>
      <c r="GL158" s="28"/>
      <c r="GM158" s="28"/>
      <c r="GN158" s="28"/>
      <c r="GO158" s="28"/>
      <c r="GP158" s="28"/>
      <c r="GQ158" s="28"/>
      <c r="GR158" s="28"/>
      <c r="GS158" s="28"/>
      <c r="GT158" s="28"/>
      <c r="GU158" s="28"/>
      <c r="GV158" s="28"/>
      <c r="GW158" s="28"/>
      <c r="GX158" s="28"/>
      <c r="GY158" s="28"/>
      <c r="GZ158" s="28"/>
      <c r="HA158" s="28"/>
      <c r="HB158" s="28"/>
      <c r="HC158" s="28"/>
      <c r="HD158" s="28"/>
      <c r="HE158" s="28"/>
      <c r="HF158" s="28"/>
      <c r="HG158" s="28"/>
      <c r="HH158" s="28"/>
      <c r="HI158" s="28"/>
      <c r="HJ158" s="28"/>
      <c r="HK158" s="28"/>
      <c r="HL158" s="28"/>
    </row>
    <row r="159" spans="1:220" ht="15" customHeight="1">
      <c r="A159" s="31">
        <v>3</v>
      </c>
      <c r="B159" s="105" t="str">
        <f>VLOOKUP(Ruimtestaat[[#This Row],[Code]],Locaties[[Code]:[Locatie]],2,FALSE)</f>
        <v>Sport IKC Het Startblok</v>
      </c>
      <c r="C159" s="105" t="str">
        <f>VLOOKUP(Ruimtestaat[[#This Row],[Code]],Locaties[[#All],[Code]:[Adres]],4,FALSE)</f>
        <v>Klapstraat 205</v>
      </c>
      <c r="D159" s="105" t="str">
        <f>VLOOKUP(Ruimtestaat[[#This Row],[Code]],Locaties[[#All],[Code]:[Postcode]],5,FALSE)</f>
        <v>6931 CH</v>
      </c>
      <c r="E159" s="105" t="str">
        <f>VLOOKUP(Ruimtestaat[[#This Row],[Code]],Locaties[#All],6,FALSE)</f>
        <v>Westervoort</v>
      </c>
      <c r="F159" s="73" t="s">
        <v>1795</v>
      </c>
      <c r="G159" s="73"/>
      <c r="H159" s="31" t="s">
        <v>1703</v>
      </c>
      <c r="I159" s="113" t="s">
        <v>1676</v>
      </c>
      <c r="J159" s="31">
        <v>16</v>
      </c>
      <c r="K159" s="113" t="str">
        <f>VLOOKUP(Ruimtestaat[[#This Row],[Ruimte code]],Ruimtegroepen[[#All],[Code]:[Ruimte omschrijving]],2,FALSE)</f>
        <v>Leslokalen</v>
      </c>
      <c r="L159" s="73" t="s">
        <v>102</v>
      </c>
      <c r="M159" s="273" t="s">
        <v>120</v>
      </c>
      <c r="N159" s="106">
        <v>56</v>
      </c>
      <c r="O159" s="112"/>
      <c r="P159" s="73"/>
      <c r="Q159" s="107" t="str">
        <f>VLOOKUP(Ruimtestaat[[#This Row],[Ruimte code]],Ruimtegroepen[],4,FALSE)</f>
        <v>Le</v>
      </c>
      <c r="R159" s="73">
        <v>40</v>
      </c>
      <c r="S159" s="73" t="s">
        <v>2</v>
      </c>
      <c r="T159" s="73">
        <f>IF(R159&gt;0,IF(RIGHT(Ruimtestaat[[#This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9" s="73">
        <f>IF(T159&gt;0,VLOOKUP($J159,Ruimtegroepen[],3,FALSE)*VLOOKUP($L159,Vloersoorten[],3,FALSE)*VLOOKUP($S159,Frequenties[],3,FALSE)*VLOOKUP($A159,Locaties[],3,FALSE),0)</f>
        <v>0</v>
      </c>
      <c r="V159" s="73">
        <f>Ruimtestaat[[#This Row],[Uitvoeringen werkdagen]]*Ruimtestaat[[#This Row],[Oppervlak (netto)]]</f>
        <v>11200</v>
      </c>
      <c r="W159" s="108">
        <f>IF(U159&gt;0,Ruimtestaat[[#This Row],[Prest. (m2 /jaar) werkdagen]]/Ruimtestaat[[#This Row],[Norm (m2/uur) werkdagen]],0)</f>
        <v>0</v>
      </c>
      <c r="X159" s="109">
        <f>Ruimtestaat[[#This Row],[uren / jaar werkdagen]]*Tariefsopbouw!$E$35</f>
        <v>0</v>
      </c>
      <c r="Y159" s="73"/>
      <c r="Z159" s="73">
        <f>IF(Ruimtestaat[[#This Row],[Frequentie weekend]]&gt;0,VALUE(LEFT(Y159,1))*R159,0)</f>
        <v>0</v>
      </c>
      <c r="AA159" s="72">
        <f>IF($Z159&gt;0,VLOOKUP($J159,Ruimtegroepen[],3,FALSE)*VLOOKUP($L159,Vloersoorten[],3,FALSE)*VLOOKUP($Y159,Frequenties[],3,FALSE)*VLOOKUP(Ruimtestaat[[#This Row],[Code]],Locaties[],3,FALSE),0)</f>
        <v>0</v>
      </c>
      <c r="AB159" s="72">
        <f>Ruimtestaat[[#This Row],[Uitvoeringen weekend]]*Ruimtestaat[[#This Row],[Oppervlak (netto)]]</f>
        <v>0</v>
      </c>
      <c r="AC159" s="72">
        <f>IF(AA159&gt;0,Ruimtestaat[[#This Row],[Prest. (m2 /jaar) weekend]]/Ruimtestaat[[#This Row],[Norm (m2/uur) weekend]],0)</f>
        <v>0</v>
      </c>
      <c r="AD159" s="109">
        <f>Ruimtestaat[[#This Row],[uren / jaar weekend]]*Tariefsopbouw!$D$40</f>
        <v>0</v>
      </c>
      <c r="AE159" s="108">
        <f>Ruimtestaat[[#This Row],[Prest. (m2 /jaar) weekend]]+Ruimtestaat[[#This Row],[Prest. (m2 /jaar) werkdagen]]</f>
        <v>11200</v>
      </c>
      <c r="AF159" s="108">
        <f>Ruimtestaat[[#This Row],[uren / jaar weekend]]+Ruimtestaat[[#This Row],[uren / jaar werkdagen]]</f>
        <v>0</v>
      </c>
      <c r="AG159" s="103">
        <f>Ruimtestaat[[#This Row],[kosten / jaar weekend]]+Ruimtestaat[[#This Row],[kosten / jaar werkdagen]]</f>
        <v>0</v>
      </c>
      <c r="AH159" s="103"/>
      <c r="AI159" s="110" t="str">
        <f>IF(Ruimtestaat[[#This Row],[Frequentie werkdagen]]="","",_xlfn.CONCAT(Ruimtestaat[[#This Row],[Ruimte code]],"-",Ruimtestaat[[#This Row],[Frequentie werkdagen]]," ",Ruimtestaat[[#This Row],[Vloer code]]))</f>
        <v>16-5w P</v>
      </c>
      <c r="AJ159" s="114" t="str">
        <f>_xlfn.IFNA(VLOOKUP($AI159,Programma!$F$3:$G$1101,2,0),"")</f>
        <v>_</v>
      </c>
      <c r="AK159" s="114" t="str">
        <f>_xlfn.IFNA(VLOOKUP($AI159,Programma!$F$3:$H$1101,3,0),"")</f>
        <v>_</v>
      </c>
      <c r="AL159" s="114" t="str">
        <f>_xlfn.IFNA(VLOOKUP($AI159,Programma!$F$3:$I$1101,4,0),"")</f>
        <v>4w</v>
      </c>
      <c r="AM159" s="114" t="str">
        <f>_xlfn.IFNA(VLOOKUP($AI159,Programma!$F$3:$J$1101,5,0),"")</f>
        <v>1w</v>
      </c>
      <c r="AN159" s="114" t="str">
        <f>_xlfn.IFNA(VLOOKUP($AI159,Programma!$F$3:$K$1101,6,0),"")</f>
        <v>1m</v>
      </c>
      <c r="AO159" s="114" t="str">
        <f>_xlfn.IFNA(VLOOKUP($AI159,Programma!$F$3:$L$1101,7,0),"")</f>
        <v>_</v>
      </c>
      <c r="AP159" s="114" t="str">
        <f>_xlfn.IFNA(VLOOKUP($AI159,Programma!$F$3:$M$1101,8,0),"")</f>
        <v>_</v>
      </c>
      <c r="AQ159" s="114" t="str">
        <f>_xlfn.IFNA(VLOOKUP($AI159,Programma!$F$3:$N$1101,9,0),"")</f>
        <v>_</v>
      </c>
      <c r="AR159" s="114" t="str">
        <f>_xlfn.IFNA(VLOOKUP($AI159,Programma!$F$3:$O$1101,10,0),"")</f>
        <v>5w</v>
      </c>
      <c r="AS159" s="114" t="str">
        <f>_xlfn.IFNA(VLOOKUP($AI159,Programma!$F$3:$P$1101,11,0),"")</f>
        <v>5w</v>
      </c>
      <c r="AT159" s="114" t="str">
        <f>_xlfn.IFNA(VLOOKUP($AI159,Programma!$F$3:$Q$1101,12,0),"")</f>
        <v>1w</v>
      </c>
      <c r="AU159" s="114" t="str">
        <f>_xlfn.IFNA(VLOOKUP($AI159,Programma!$F$3:$R$1101,13,0),"")</f>
        <v>1w</v>
      </c>
      <c r="AV159" s="114" t="str">
        <f>_xlfn.IFNA(VLOOKUP($AI159,Programma!$F$3:$S$1101,14,0),"")</f>
        <v>1m</v>
      </c>
      <c r="AW159" s="114" t="str">
        <f>_xlfn.IFNA(VLOOKUP($AI159,Programma!$F$3:$T$1101,15,0),"")</f>
        <v>2j</v>
      </c>
      <c r="AX159" s="114" t="str">
        <f>_xlfn.IFNA(VLOOKUP($AI159,Programma!$F$3:$U$1101,16,0),"")</f>
        <v>1j</v>
      </c>
      <c r="AY159" s="114" t="str">
        <f>_xlfn.IFNA(VLOOKUP($AI159,Programma!$F$3:$V$1101,17,0),"")</f>
        <v>_</v>
      </c>
      <c r="AZ159" s="114" t="str">
        <f>_xlfn.IFNA(VLOOKUP($AI159,Programma!$F$3:$W$1101,18,0),"")</f>
        <v>_</v>
      </c>
      <c r="BA159" s="114" t="str">
        <f>_xlfn.IFNA(VLOOKUP($AI159,Programma!$F$3:$X$1101,19,0),"")</f>
        <v>_</v>
      </c>
      <c r="BB159" s="114" t="str">
        <f>_xlfn.IFNA(VLOOKUP($AI159,Programma!$F$3:$Y$1101,20,0),"")</f>
        <v>_</v>
      </c>
      <c r="BC159" s="111"/>
      <c r="BD159" s="110" t="str">
        <f>IF(Ruimtestaat[[#This Row],[Frequentie weekend]]="","",_xlfn.CONCAT(Ruimtestaat[[#This Row],[Ruimte code]],"-",Ruimtestaat[[#This Row],[Frequentie weekend]]," ",Ruimtestaat[[#This Row],[Vloer code]]))</f>
        <v/>
      </c>
      <c r="BE159" s="114" t="str">
        <f>_xlfn.IFNA(VLOOKUP($BD159,Programma!$F$3:$G$1101,2,0),"")</f>
        <v/>
      </c>
      <c r="BF159" s="114" t="str">
        <f>_xlfn.IFNA(VLOOKUP($BD159,Programma!$F$3:$H$1101,3,0),"")</f>
        <v/>
      </c>
      <c r="BG159" s="114" t="str">
        <f>_xlfn.IFNA(VLOOKUP($BD159,Programma!$F$3:$I$1101,4,0),"")</f>
        <v/>
      </c>
      <c r="BH159" s="114" t="str">
        <f>_xlfn.IFNA(VLOOKUP($BD159,Programma!$F$3:$J$1101,5,0),"")</f>
        <v/>
      </c>
      <c r="BI159" s="114" t="str">
        <f>_xlfn.IFNA(VLOOKUP($BD159,Programma!$F$3:$K$1101,6,0),"")</f>
        <v/>
      </c>
      <c r="BJ159" s="114" t="str">
        <f>_xlfn.IFNA(VLOOKUP($BD159,Programma!$F$3:$L$1101,7,0),"")</f>
        <v/>
      </c>
      <c r="BK159" s="114" t="str">
        <f>_xlfn.IFNA(VLOOKUP($BD159,Programma!$F$3:$M$1101,8,0),"")</f>
        <v/>
      </c>
      <c r="BL159" s="114" t="str">
        <f>_xlfn.IFNA(VLOOKUP($BD159,Programma!$F$3:$N$1101,9,0),"")</f>
        <v/>
      </c>
      <c r="BM159" s="114" t="str">
        <f>_xlfn.IFNA(VLOOKUP($BD159,Programma!$F$3:$O$1101,10,0),"")</f>
        <v/>
      </c>
      <c r="BN159" s="114" t="str">
        <f>_xlfn.IFNA(VLOOKUP($BD159,Programma!$F$3:$P$1101,11,0),"")</f>
        <v/>
      </c>
      <c r="BO159" s="114" t="str">
        <f>_xlfn.IFNA(VLOOKUP($BD159,Programma!$F$3:$Q$1101,12,0),"")</f>
        <v/>
      </c>
      <c r="BP159" s="114" t="str">
        <f>_xlfn.IFNA(VLOOKUP($BD159,Programma!$F$3:$R$1101,13,0),"")</f>
        <v/>
      </c>
      <c r="BQ159" s="114" t="str">
        <f>_xlfn.IFNA(VLOOKUP($BD159,Programma!$F$3:$S$1101,14,0),"")</f>
        <v/>
      </c>
      <c r="BR159" s="114" t="str">
        <f>_xlfn.IFNA(VLOOKUP($BD159,Programma!$F$3:$T$1101,15,0),"")</f>
        <v/>
      </c>
      <c r="BS159" s="114" t="str">
        <f>_xlfn.IFNA(VLOOKUP($BD159,Programma!$F$3:$U$1101,16,0),"")</f>
        <v/>
      </c>
      <c r="BT159" s="114" t="str">
        <f>_xlfn.IFNA(VLOOKUP($BD159,Programma!$F$3:$V$1101,17,0),"")</f>
        <v/>
      </c>
      <c r="BU159" s="114" t="str">
        <f>_xlfn.IFNA(VLOOKUP($BD159,Programma!$F$3:$W$1101,18,0),"")</f>
        <v/>
      </c>
      <c r="BV159" s="114" t="str">
        <f>_xlfn.IFNA(VLOOKUP($BD159,Programma!$F$3:$X$1101,19,0),"")</f>
        <v/>
      </c>
      <c r="BW159" s="114" t="str">
        <f>_xlfn.IFNA(VLOOKUP($BD159,Programma!$F$3:$Y$1101,20,0),"")</f>
        <v/>
      </c>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c r="EA159" s="28"/>
      <c r="EB159" s="28"/>
      <c r="EC159" s="28"/>
      <c r="ED159" s="28"/>
      <c r="EE159" s="28"/>
      <c r="EF159" s="28"/>
      <c r="EG159" s="28"/>
      <c r="EH159" s="28"/>
      <c r="EI159" s="28"/>
      <c r="EJ159" s="28"/>
      <c r="EK159" s="28"/>
      <c r="EL159" s="28"/>
      <c r="EM159" s="28"/>
      <c r="EN159" s="28"/>
      <c r="EO159" s="28"/>
      <c r="EP159" s="28"/>
      <c r="EQ159" s="28"/>
      <c r="ER159" s="28"/>
      <c r="ES159" s="28"/>
      <c r="ET159" s="28"/>
      <c r="EU159" s="28"/>
      <c r="EV159" s="28"/>
      <c r="EW159" s="28"/>
      <c r="EX159" s="28"/>
      <c r="EY159" s="28"/>
      <c r="EZ159" s="28"/>
      <c r="FA159" s="28"/>
      <c r="FB159" s="28"/>
      <c r="FC159" s="28"/>
      <c r="FD159" s="28"/>
      <c r="FE159" s="28"/>
      <c r="FF159" s="28"/>
      <c r="FG159" s="28"/>
      <c r="FH159" s="28"/>
      <c r="FI159" s="28"/>
      <c r="FJ159" s="28"/>
      <c r="FK159" s="28"/>
      <c r="FL159" s="28"/>
      <c r="FM159" s="28"/>
      <c r="FN159" s="28"/>
      <c r="FO159" s="28"/>
      <c r="FP159" s="28"/>
      <c r="FQ159" s="28"/>
      <c r="FR159" s="28"/>
      <c r="FS159" s="28"/>
      <c r="FT159" s="28"/>
      <c r="FU159" s="28"/>
      <c r="FV159" s="28"/>
      <c r="FW159" s="28"/>
      <c r="FX159" s="28"/>
      <c r="FY159" s="28"/>
      <c r="FZ159" s="28"/>
      <c r="GA159" s="28"/>
      <c r="GB159" s="28"/>
      <c r="GC159" s="28"/>
      <c r="GD159" s="28"/>
      <c r="GE159" s="28"/>
      <c r="GF159" s="28"/>
      <c r="GG159" s="28"/>
      <c r="GH159" s="28"/>
      <c r="GI159" s="28"/>
      <c r="GJ159" s="28"/>
      <c r="GK159" s="28"/>
      <c r="GL159" s="28"/>
      <c r="GM159" s="28"/>
      <c r="GN159" s="28"/>
      <c r="GO159" s="28"/>
      <c r="GP159" s="28"/>
      <c r="GQ159" s="28"/>
      <c r="GR159" s="28"/>
      <c r="GS159" s="28"/>
      <c r="GT159" s="28"/>
      <c r="GU159" s="28"/>
      <c r="GV159" s="28"/>
      <c r="GW159" s="28"/>
      <c r="GX159" s="28"/>
      <c r="GY159" s="28"/>
      <c r="GZ159" s="28"/>
      <c r="HA159" s="28"/>
      <c r="HB159" s="28"/>
      <c r="HC159" s="28"/>
      <c r="HD159" s="28"/>
      <c r="HE159" s="28"/>
      <c r="HF159" s="28"/>
      <c r="HG159" s="28"/>
      <c r="HH159" s="28"/>
      <c r="HI159" s="28"/>
      <c r="HJ159" s="28"/>
      <c r="HK159" s="28"/>
      <c r="HL159" s="28"/>
    </row>
    <row r="160" spans="1:220" ht="15" customHeight="1">
      <c r="A160" s="31">
        <v>3</v>
      </c>
      <c r="B160" s="105" t="str">
        <f>VLOOKUP(Ruimtestaat[[#This Row],[Code]],Locaties[[Code]:[Locatie]],2,FALSE)</f>
        <v>Sport IKC Het Startblok</v>
      </c>
      <c r="C160" s="105" t="str">
        <f>VLOOKUP(Ruimtestaat[[#This Row],[Code]],Locaties[[#All],[Code]:[Adres]],4,FALSE)</f>
        <v>Klapstraat 205</v>
      </c>
      <c r="D160" s="105" t="str">
        <f>VLOOKUP(Ruimtestaat[[#This Row],[Code]],Locaties[[#All],[Code]:[Postcode]],5,FALSE)</f>
        <v>6931 CH</v>
      </c>
      <c r="E160" s="105" t="str">
        <f>VLOOKUP(Ruimtestaat[[#This Row],[Code]],Locaties[#All],6,FALSE)</f>
        <v>Westervoort</v>
      </c>
      <c r="F160" s="73" t="s">
        <v>1795</v>
      </c>
      <c r="G160" s="73"/>
      <c r="H160" s="31" t="s">
        <v>1704</v>
      </c>
      <c r="I160" s="113" t="s">
        <v>1674</v>
      </c>
      <c r="J160" s="31">
        <v>16</v>
      </c>
      <c r="K160" s="113" t="str">
        <f>VLOOKUP(Ruimtestaat[[#This Row],[Ruimte code]],Ruimtegroepen[[#All],[Code]:[Ruimte omschrijving]],2,FALSE)</f>
        <v>Leslokalen</v>
      </c>
      <c r="L160" s="73" t="s">
        <v>102</v>
      </c>
      <c r="M160" s="273" t="s">
        <v>120</v>
      </c>
      <c r="N160" s="106">
        <v>56</v>
      </c>
      <c r="O160" s="112"/>
      <c r="P160" s="112"/>
      <c r="Q160" s="107" t="str">
        <f>VLOOKUP(Ruimtestaat[[#This Row],[Ruimte code]],Ruimtegroepen[],4,FALSE)</f>
        <v>Le</v>
      </c>
      <c r="R160" s="73">
        <v>40</v>
      </c>
      <c r="S160" s="73" t="s">
        <v>2</v>
      </c>
      <c r="T160" s="73">
        <f>IF(R160&gt;0,IF(RIGHT(Ruimtestaat[[#This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0" s="73">
        <f>IF(T160&gt;0,VLOOKUP($J160,Ruimtegroepen[],3,FALSE)*VLOOKUP($L160,Vloersoorten[],3,FALSE)*VLOOKUP($S160,Frequenties[],3,FALSE)*VLOOKUP($A160,Locaties[],3,FALSE),0)</f>
        <v>0</v>
      </c>
      <c r="V160" s="73">
        <f>Ruimtestaat[[#This Row],[Uitvoeringen werkdagen]]*Ruimtestaat[[#This Row],[Oppervlak (netto)]]</f>
        <v>11200</v>
      </c>
      <c r="W160" s="108">
        <f>IF(U160&gt;0,Ruimtestaat[[#This Row],[Prest. (m2 /jaar) werkdagen]]/Ruimtestaat[[#This Row],[Norm (m2/uur) werkdagen]],0)</f>
        <v>0</v>
      </c>
      <c r="X160" s="109">
        <f>Ruimtestaat[[#This Row],[uren / jaar werkdagen]]*Tariefsopbouw!$E$35</f>
        <v>0</v>
      </c>
      <c r="Y160" s="73"/>
      <c r="Z160" s="73">
        <f>IF(Ruimtestaat[[#This Row],[Frequentie weekend]]&gt;0,VALUE(LEFT(Y160,1))*R160,0)</f>
        <v>0</v>
      </c>
      <c r="AA160" s="72">
        <f>IF($Z160&gt;0,VLOOKUP($J160,Ruimtegroepen[],3,FALSE)*VLOOKUP($L160,Vloersoorten[],3,FALSE)*VLOOKUP($Y160,Frequenties[],3,FALSE)*VLOOKUP(Ruimtestaat[[#This Row],[Code]],Locaties[],3,FALSE),0)</f>
        <v>0</v>
      </c>
      <c r="AB160" s="72">
        <f>Ruimtestaat[[#This Row],[Uitvoeringen weekend]]*Ruimtestaat[[#This Row],[Oppervlak (netto)]]</f>
        <v>0</v>
      </c>
      <c r="AC160" s="72">
        <f>IF(AA160&gt;0,Ruimtestaat[[#This Row],[Prest. (m2 /jaar) weekend]]/Ruimtestaat[[#This Row],[Norm (m2/uur) weekend]],0)</f>
        <v>0</v>
      </c>
      <c r="AD160" s="109">
        <f>Ruimtestaat[[#This Row],[uren / jaar weekend]]*Tariefsopbouw!$D$40</f>
        <v>0</v>
      </c>
      <c r="AE160" s="108">
        <f>Ruimtestaat[[#This Row],[Prest. (m2 /jaar) weekend]]+Ruimtestaat[[#This Row],[Prest. (m2 /jaar) werkdagen]]</f>
        <v>11200</v>
      </c>
      <c r="AF160" s="108">
        <f>Ruimtestaat[[#This Row],[uren / jaar weekend]]+Ruimtestaat[[#This Row],[uren / jaar werkdagen]]</f>
        <v>0</v>
      </c>
      <c r="AG160" s="103">
        <f>Ruimtestaat[[#This Row],[kosten / jaar weekend]]+Ruimtestaat[[#This Row],[kosten / jaar werkdagen]]</f>
        <v>0</v>
      </c>
      <c r="AH160" s="103"/>
      <c r="AI160" s="110" t="str">
        <f>IF(Ruimtestaat[[#This Row],[Frequentie werkdagen]]="","",_xlfn.CONCAT(Ruimtestaat[[#This Row],[Ruimte code]],"-",Ruimtestaat[[#This Row],[Frequentie werkdagen]]," ",Ruimtestaat[[#This Row],[Vloer code]]))</f>
        <v>16-5w P</v>
      </c>
      <c r="AJ160" s="114" t="str">
        <f>_xlfn.IFNA(VLOOKUP($AI160,Programma!$F$3:$G$1101,2,0),"")</f>
        <v>_</v>
      </c>
      <c r="AK160" s="114" t="str">
        <f>_xlfn.IFNA(VLOOKUP($AI160,Programma!$F$3:$H$1101,3,0),"")</f>
        <v>_</v>
      </c>
      <c r="AL160" s="114" t="str">
        <f>_xlfn.IFNA(VLOOKUP($AI160,Programma!$F$3:$I$1101,4,0),"")</f>
        <v>4w</v>
      </c>
      <c r="AM160" s="114" t="str">
        <f>_xlfn.IFNA(VLOOKUP($AI160,Programma!$F$3:$J$1101,5,0),"")</f>
        <v>1w</v>
      </c>
      <c r="AN160" s="114" t="str">
        <f>_xlfn.IFNA(VLOOKUP($AI160,Programma!$F$3:$K$1101,6,0),"")</f>
        <v>1m</v>
      </c>
      <c r="AO160" s="114" t="str">
        <f>_xlfn.IFNA(VLOOKUP($AI160,Programma!$F$3:$L$1101,7,0),"")</f>
        <v>_</v>
      </c>
      <c r="AP160" s="114" t="str">
        <f>_xlfn.IFNA(VLOOKUP($AI160,Programma!$F$3:$M$1101,8,0),"")</f>
        <v>_</v>
      </c>
      <c r="AQ160" s="114" t="str">
        <f>_xlfn.IFNA(VLOOKUP($AI160,Programma!$F$3:$N$1101,9,0),"")</f>
        <v>_</v>
      </c>
      <c r="AR160" s="114" t="str">
        <f>_xlfn.IFNA(VLOOKUP($AI160,Programma!$F$3:$O$1101,10,0),"")</f>
        <v>5w</v>
      </c>
      <c r="AS160" s="114" t="str">
        <f>_xlfn.IFNA(VLOOKUP($AI160,Programma!$F$3:$P$1101,11,0),"")</f>
        <v>5w</v>
      </c>
      <c r="AT160" s="114" t="str">
        <f>_xlfn.IFNA(VLOOKUP($AI160,Programma!$F$3:$Q$1101,12,0),"")</f>
        <v>1w</v>
      </c>
      <c r="AU160" s="114" t="str">
        <f>_xlfn.IFNA(VLOOKUP($AI160,Programma!$F$3:$R$1101,13,0),"")</f>
        <v>1w</v>
      </c>
      <c r="AV160" s="114" t="str">
        <f>_xlfn.IFNA(VLOOKUP($AI160,Programma!$F$3:$S$1101,14,0),"")</f>
        <v>1m</v>
      </c>
      <c r="AW160" s="114" t="str">
        <f>_xlfn.IFNA(VLOOKUP($AI160,Programma!$F$3:$T$1101,15,0),"")</f>
        <v>2j</v>
      </c>
      <c r="AX160" s="114" t="str">
        <f>_xlfn.IFNA(VLOOKUP($AI160,Programma!$F$3:$U$1101,16,0),"")</f>
        <v>1j</v>
      </c>
      <c r="AY160" s="114" t="str">
        <f>_xlfn.IFNA(VLOOKUP($AI160,Programma!$F$3:$V$1101,17,0),"")</f>
        <v>_</v>
      </c>
      <c r="AZ160" s="114" t="str">
        <f>_xlfn.IFNA(VLOOKUP($AI160,Programma!$F$3:$W$1101,18,0),"")</f>
        <v>_</v>
      </c>
      <c r="BA160" s="114" t="str">
        <f>_xlfn.IFNA(VLOOKUP($AI160,Programma!$F$3:$X$1101,19,0),"")</f>
        <v>_</v>
      </c>
      <c r="BB160" s="114" t="str">
        <f>_xlfn.IFNA(VLOOKUP($AI160,Programma!$F$3:$Y$1101,20,0),"")</f>
        <v>_</v>
      </c>
      <c r="BC160" s="111"/>
      <c r="BD160" s="110" t="str">
        <f>IF(Ruimtestaat[[#This Row],[Frequentie weekend]]="","",_xlfn.CONCAT(Ruimtestaat[[#This Row],[Ruimte code]],"-",Ruimtestaat[[#This Row],[Frequentie weekend]]," ",Ruimtestaat[[#This Row],[Vloer code]]))</f>
        <v/>
      </c>
      <c r="BE160" s="114" t="str">
        <f>_xlfn.IFNA(VLOOKUP($BD160,Programma!$F$3:$G$1101,2,0),"")</f>
        <v/>
      </c>
      <c r="BF160" s="114" t="str">
        <f>_xlfn.IFNA(VLOOKUP($BD160,Programma!$F$3:$H$1101,3,0),"")</f>
        <v/>
      </c>
      <c r="BG160" s="114" t="str">
        <f>_xlfn.IFNA(VLOOKUP($BD160,Programma!$F$3:$I$1101,4,0),"")</f>
        <v/>
      </c>
      <c r="BH160" s="114" t="str">
        <f>_xlfn.IFNA(VLOOKUP($BD160,Programma!$F$3:$J$1101,5,0),"")</f>
        <v/>
      </c>
      <c r="BI160" s="114" t="str">
        <f>_xlfn.IFNA(VLOOKUP($BD160,Programma!$F$3:$K$1101,6,0),"")</f>
        <v/>
      </c>
      <c r="BJ160" s="114" t="str">
        <f>_xlfn.IFNA(VLOOKUP($BD160,Programma!$F$3:$L$1101,7,0),"")</f>
        <v/>
      </c>
      <c r="BK160" s="114" t="str">
        <f>_xlfn.IFNA(VLOOKUP($BD160,Programma!$F$3:$M$1101,8,0),"")</f>
        <v/>
      </c>
      <c r="BL160" s="114" t="str">
        <f>_xlfn.IFNA(VLOOKUP($BD160,Programma!$F$3:$N$1101,9,0),"")</f>
        <v/>
      </c>
      <c r="BM160" s="114" t="str">
        <f>_xlfn.IFNA(VLOOKUP($BD160,Programma!$F$3:$O$1101,10,0),"")</f>
        <v/>
      </c>
      <c r="BN160" s="114" t="str">
        <f>_xlfn.IFNA(VLOOKUP($BD160,Programma!$F$3:$P$1101,11,0),"")</f>
        <v/>
      </c>
      <c r="BO160" s="114" t="str">
        <f>_xlfn.IFNA(VLOOKUP($BD160,Programma!$F$3:$Q$1101,12,0),"")</f>
        <v/>
      </c>
      <c r="BP160" s="114" t="str">
        <f>_xlfn.IFNA(VLOOKUP($BD160,Programma!$F$3:$R$1101,13,0),"")</f>
        <v/>
      </c>
      <c r="BQ160" s="114" t="str">
        <f>_xlfn.IFNA(VLOOKUP($BD160,Programma!$F$3:$S$1101,14,0),"")</f>
        <v/>
      </c>
      <c r="BR160" s="114" t="str">
        <f>_xlfn.IFNA(VLOOKUP($BD160,Programma!$F$3:$T$1101,15,0),"")</f>
        <v/>
      </c>
      <c r="BS160" s="114" t="str">
        <f>_xlfn.IFNA(VLOOKUP($BD160,Programma!$F$3:$U$1101,16,0),"")</f>
        <v/>
      </c>
      <c r="BT160" s="114" t="str">
        <f>_xlfn.IFNA(VLOOKUP($BD160,Programma!$F$3:$V$1101,17,0),"")</f>
        <v/>
      </c>
      <c r="BU160" s="114" t="str">
        <f>_xlfn.IFNA(VLOOKUP($BD160,Programma!$F$3:$W$1101,18,0),"")</f>
        <v/>
      </c>
      <c r="BV160" s="114" t="str">
        <f>_xlfn.IFNA(VLOOKUP($BD160,Programma!$F$3:$X$1101,19,0),"")</f>
        <v/>
      </c>
      <c r="BW160" s="114" t="str">
        <f>_xlfn.IFNA(VLOOKUP($BD160,Programma!$F$3:$Y$1101,20,0),"")</f>
        <v/>
      </c>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c r="EO160" s="28"/>
      <c r="EP160" s="28"/>
      <c r="EQ160" s="28"/>
      <c r="ER160" s="28"/>
      <c r="ES160" s="28"/>
      <c r="ET160" s="28"/>
      <c r="EU160" s="28"/>
      <c r="EV160" s="28"/>
      <c r="EW160" s="28"/>
      <c r="EX160" s="28"/>
      <c r="EY160" s="28"/>
      <c r="EZ160" s="28"/>
      <c r="FA160" s="28"/>
      <c r="FB160" s="28"/>
      <c r="FC160" s="28"/>
      <c r="FD160" s="28"/>
      <c r="FE160" s="28"/>
      <c r="FF160" s="28"/>
      <c r="FG160" s="28"/>
      <c r="FH160" s="28"/>
      <c r="FI160" s="28"/>
      <c r="FJ160" s="28"/>
      <c r="FK160" s="28"/>
      <c r="FL160" s="28"/>
      <c r="FM160" s="28"/>
      <c r="FN160" s="28"/>
      <c r="FO160" s="28"/>
      <c r="FP160" s="28"/>
      <c r="FQ160" s="28"/>
      <c r="FR160" s="28"/>
      <c r="FS160" s="28"/>
      <c r="FT160" s="28"/>
      <c r="FU160" s="28"/>
      <c r="FV160" s="28"/>
      <c r="FW160" s="28"/>
      <c r="FX160" s="28"/>
      <c r="FY160" s="28"/>
      <c r="FZ160" s="28"/>
      <c r="GA160" s="28"/>
      <c r="GB160" s="28"/>
      <c r="GC160" s="28"/>
      <c r="GD160" s="28"/>
      <c r="GE160" s="28"/>
      <c r="GF160" s="28"/>
      <c r="GG160" s="28"/>
      <c r="GH160" s="28"/>
      <c r="GI160" s="28"/>
      <c r="GJ160" s="28"/>
      <c r="GK160" s="28"/>
      <c r="GL160" s="28"/>
      <c r="GM160" s="28"/>
      <c r="GN160" s="28"/>
      <c r="GO160" s="28"/>
      <c r="GP160" s="28"/>
      <c r="GQ160" s="28"/>
      <c r="GR160" s="28"/>
      <c r="GS160" s="28"/>
      <c r="GT160" s="28"/>
      <c r="GU160" s="28"/>
      <c r="GV160" s="28"/>
      <c r="GW160" s="28"/>
      <c r="GX160" s="28"/>
      <c r="GY160" s="28"/>
      <c r="GZ160" s="28"/>
      <c r="HA160" s="28"/>
      <c r="HB160" s="28"/>
      <c r="HC160" s="28"/>
      <c r="HD160" s="28"/>
      <c r="HE160" s="28"/>
      <c r="HF160" s="28"/>
      <c r="HG160" s="28"/>
      <c r="HH160" s="28"/>
      <c r="HI160" s="28"/>
      <c r="HJ160" s="28"/>
      <c r="HK160" s="28"/>
      <c r="HL160" s="28"/>
    </row>
    <row r="161" spans="1:220" ht="15" customHeight="1">
      <c r="A161" s="31">
        <v>3</v>
      </c>
      <c r="B161" s="105" t="str">
        <f>VLOOKUP(Ruimtestaat[[#This Row],[Code]],Locaties[[Code]:[Locatie]],2,FALSE)</f>
        <v>Sport IKC Het Startblok</v>
      </c>
      <c r="C161" s="105" t="str">
        <f>VLOOKUP(Ruimtestaat[[#This Row],[Code]],Locaties[[#All],[Code]:[Adres]],4,FALSE)</f>
        <v>Klapstraat 205</v>
      </c>
      <c r="D161" s="105" t="str">
        <f>VLOOKUP(Ruimtestaat[[#This Row],[Code]],Locaties[[#All],[Code]:[Postcode]],5,FALSE)</f>
        <v>6931 CH</v>
      </c>
      <c r="E161" s="105" t="str">
        <f>VLOOKUP(Ruimtestaat[[#This Row],[Code]],Locaties[#All],6,FALSE)</f>
        <v>Westervoort</v>
      </c>
      <c r="F161" s="73" t="s">
        <v>1795</v>
      </c>
      <c r="G161" s="73"/>
      <c r="H161" s="31" t="s">
        <v>1705</v>
      </c>
      <c r="I161" s="113" t="s">
        <v>1673</v>
      </c>
      <c r="J161" s="31">
        <v>16</v>
      </c>
      <c r="K161" s="113" t="str">
        <f>VLOOKUP(Ruimtestaat[[#This Row],[Ruimte code]],Ruimtegroepen[[#All],[Code]:[Ruimte omschrijving]],2,FALSE)</f>
        <v>Leslokalen</v>
      </c>
      <c r="L161" s="73" t="s">
        <v>102</v>
      </c>
      <c r="M161" s="273" t="s">
        <v>120</v>
      </c>
      <c r="N161" s="106">
        <v>56</v>
      </c>
      <c r="O161" s="112"/>
      <c r="P161" s="112"/>
      <c r="Q161" s="107" t="str">
        <f>VLOOKUP(Ruimtestaat[[#This Row],[Ruimte code]],Ruimtegroepen[],4,FALSE)</f>
        <v>Le</v>
      </c>
      <c r="R161" s="73">
        <v>40</v>
      </c>
      <c r="S161" s="73" t="s">
        <v>2</v>
      </c>
      <c r="T161" s="73">
        <f>IF(R161&gt;0,IF(RIGHT(Ruimtestaat[[#This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1" s="73">
        <f>IF(T161&gt;0,VLOOKUP($J161,Ruimtegroepen[],3,FALSE)*VLOOKUP($L161,Vloersoorten[],3,FALSE)*VLOOKUP($S161,Frequenties[],3,FALSE)*VLOOKUP($A161,Locaties[],3,FALSE),0)</f>
        <v>0</v>
      </c>
      <c r="V161" s="73">
        <f>Ruimtestaat[[#This Row],[Uitvoeringen werkdagen]]*Ruimtestaat[[#This Row],[Oppervlak (netto)]]</f>
        <v>11200</v>
      </c>
      <c r="W161" s="108">
        <f>IF(U161&gt;0,Ruimtestaat[[#This Row],[Prest. (m2 /jaar) werkdagen]]/Ruimtestaat[[#This Row],[Norm (m2/uur) werkdagen]],0)</f>
        <v>0</v>
      </c>
      <c r="X161" s="109">
        <f>Ruimtestaat[[#This Row],[uren / jaar werkdagen]]*Tariefsopbouw!$E$35</f>
        <v>0</v>
      </c>
      <c r="Y161" s="73"/>
      <c r="Z161" s="73">
        <f>IF(Ruimtestaat[[#This Row],[Frequentie weekend]]&gt;0,VALUE(LEFT(Y161,1))*R161,0)</f>
        <v>0</v>
      </c>
      <c r="AA161" s="72">
        <f>IF($Z161&gt;0,VLOOKUP($J161,Ruimtegroepen[],3,FALSE)*VLOOKUP($L161,Vloersoorten[],3,FALSE)*VLOOKUP($Y161,Frequenties[],3,FALSE)*VLOOKUP(Ruimtestaat[[#This Row],[Code]],Locaties[],3,FALSE),0)</f>
        <v>0</v>
      </c>
      <c r="AB161" s="72">
        <f>Ruimtestaat[[#This Row],[Uitvoeringen weekend]]*Ruimtestaat[[#This Row],[Oppervlak (netto)]]</f>
        <v>0</v>
      </c>
      <c r="AC161" s="72">
        <f>IF(AA161&gt;0,Ruimtestaat[[#This Row],[Prest. (m2 /jaar) weekend]]/Ruimtestaat[[#This Row],[Norm (m2/uur) weekend]],0)</f>
        <v>0</v>
      </c>
      <c r="AD161" s="109">
        <f>Ruimtestaat[[#This Row],[uren / jaar weekend]]*Tariefsopbouw!$D$40</f>
        <v>0</v>
      </c>
      <c r="AE161" s="108">
        <f>Ruimtestaat[[#This Row],[Prest. (m2 /jaar) weekend]]+Ruimtestaat[[#This Row],[Prest. (m2 /jaar) werkdagen]]</f>
        <v>11200</v>
      </c>
      <c r="AF161" s="108">
        <f>Ruimtestaat[[#This Row],[uren / jaar weekend]]+Ruimtestaat[[#This Row],[uren / jaar werkdagen]]</f>
        <v>0</v>
      </c>
      <c r="AG161" s="103">
        <f>Ruimtestaat[[#This Row],[kosten / jaar weekend]]+Ruimtestaat[[#This Row],[kosten / jaar werkdagen]]</f>
        <v>0</v>
      </c>
      <c r="AH161" s="103"/>
      <c r="AI161" s="110" t="str">
        <f>IF(Ruimtestaat[[#This Row],[Frequentie werkdagen]]="","",_xlfn.CONCAT(Ruimtestaat[[#This Row],[Ruimte code]],"-",Ruimtestaat[[#This Row],[Frequentie werkdagen]]," ",Ruimtestaat[[#This Row],[Vloer code]]))</f>
        <v>16-5w P</v>
      </c>
      <c r="AJ161" s="114" t="str">
        <f>_xlfn.IFNA(VLOOKUP($AI161,Programma!$F$3:$G$1101,2,0),"")</f>
        <v>_</v>
      </c>
      <c r="AK161" s="114" t="str">
        <f>_xlfn.IFNA(VLOOKUP($AI161,Programma!$F$3:$H$1101,3,0),"")</f>
        <v>_</v>
      </c>
      <c r="AL161" s="114" t="str">
        <f>_xlfn.IFNA(VLOOKUP($AI161,Programma!$F$3:$I$1101,4,0),"")</f>
        <v>4w</v>
      </c>
      <c r="AM161" s="114" t="str">
        <f>_xlfn.IFNA(VLOOKUP($AI161,Programma!$F$3:$J$1101,5,0),"")</f>
        <v>1w</v>
      </c>
      <c r="AN161" s="114" t="str">
        <f>_xlfn.IFNA(VLOOKUP($AI161,Programma!$F$3:$K$1101,6,0),"")</f>
        <v>1m</v>
      </c>
      <c r="AO161" s="114" t="str">
        <f>_xlfn.IFNA(VLOOKUP($AI161,Programma!$F$3:$L$1101,7,0),"")</f>
        <v>_</v>
      </c>
      <c r="AP161" s="114" t="str">
        <f>_xlfn.IFNA(VLOOKUP($AI161,Programma!$F$3:$M$1101,8,0),"")</f>
        <v>_</v>
      </c>
      <c r="AQ161" s="114" t="str">
        <f>_xlfn.IFNA(VLOOKUP($AI161,Programma!$F$3:$N$1101,9,0),"")</f>
        <v>_</v>
      </c>
      <c r="AR161" s="114" t="str">
        <f>_xlfn.IFNA(VLOOKUP($AI161,Programma!$F$3:$O$1101,10,0),"")</f>
        <v>5w</v>
      </c>
      <c r="AS161" s="114" t="str">
        <f>_xlfn.IFNA(VLOOKUP($AI161,Programma!$F$3:$P$1101,11,0),"")</f>
        <v>5w</v>
      </c>
      <c r="AT161" s="114" t="str">
        <f>_xlfn.IFNA(VLOOKUP($AI161,Programma!$F$3:$Q$1101,12,0),"")</f>
        <v>1w</v>
      </c>
      <c r="AU161" s="114" t="str">
        <f>_xlfn.IFNA(VLOOKUP($AI161,Programma!$F$3:$R$1101,13,0),"")</f>
        <v>1w</v>
      </c>
      <c r="AV161" s="114" t="str">
        <f>_xlfn.IFNA(VLOOKUP($AI161,Programma!$F$3:$S$1101,14,0),"")</f>
        <v>1m</v>
      </c>
      <c r="AW161" s="114" t="str">
        <f>_xlfn.IFNA(VLOOKUP($AI161,Programma!$F$3:$T$1101,15,0),"")</f>
        <v>2j</v>
      </c>
      <c r="AX161" s="114" t="str">
        <f>_xlfn.IFNA(VLOOKUP($AI161,Programma!$F$3:$U$1101,16,0),"")</f>
        <v>1j</v>
      </c>
      <c r="AY161" s="114" t="str">
        <f>_xlfn.IFNA(VLOOKUP($AI161,Programma!$F$3:$V$1101,17,0),"")</f>
        <v>_</v>
      </c>
      <c r="AZ161" s="114" t="str">
        <f>_xlfn.IFNA(VLOOKUP($AI161,Programma!$F$3:$W$1101,18,0),"")</f>
        <v>_</v>
      </c>
      <c r="BA161" s="114" t="str">
        <f>_xlfn.IFNA(VLOOKUP($AI161,Programma!$F$3:$X$1101,19,0),"")</f>
        <v>_</v>
      </c>
      <c r="BB161" s="114" t="str">
        <f>_xlfn.IFNA(VLOOKUP($AI161,Programma!$F$3:$Y$1101,20,0),"")</f>
        <v>_</v>
      </c>
      <c r="BC161" s="111"/>
      <c r="BD161" s="110" t="str">
        <f>IF(Ruimtestaat[[#This Row],[Frequentie weekend]]="","",_xlfn.CONCAT(Ruimtestaat[[#This Row],[Ruimte code]],"-",Ruimtestaat[[#This Row],[Frequentie weekend]]," ",Ruimtestaat[[#This Row],[Vloer code]]))</f>
        <v/>
      </c>
      <c r="BE161" s="114" t="str">
        <f>_xlfn.IFNA(VLOOKUP($BD161,Programma!$F$3:$G$1101,2,0),"")</f>
        <v/>
      </c>
      <c r="BF161" s="114" t="str">
        <f>_xlfn.IFNA(VLOOKUP($BD161,Programma!$F$3:$H$1101,3,0),"")</f>
        <v/>
      </c>
      <c r="BG161" s="114" t="str">
        <f>_xlfn.IFNA(VLOOKUP($BD161,Programma!$F$3:$I$1101,4,0),"")</f>
        <v/>
      </c>
      <c r="BH161" s="114" t="str">
        <f>_xlfn.IFNA(VLOOKUP($BD161,Programma!$F$3:$J$1101,5,0),"")</f>
        <v/>
      </c>
      <c r="BI161" s="114" t="str">
        <f>_xlfn.IFNA(VLOOKUP($BD161,Programma!$F$3:$K$1101,6,0),"")</f>
        <v/>
      </c>
      <c r="BJ161" s="114" t="str">
        <f>_xlfn.IFNA(VLOOKUP($BD161,Programma!$F$3:$L$1101,7,0),"")</f>
        <v/>
      </c>
      <c r="BK161" s="114" t="str">
        <f>_xlfn.IFNA(VLOOKUP($BD161,Programma!$F$3:$M$1101,8,0),"")</f>
        <v/>
      </c>
      <c r="BL161" s="114" t="str">
        <f>_xlfn.IFNA(VLOOKUP($BD161,Programma!$F$3:$N$1101,9,0),"")</f>
        <v/>
      </c>
      <c r="BM161" s="114" t="str">
        <f>_xlfn.IFNA(VLOOKUP($BD161,Programma!$F$3:$O$1101,10,0),"")</f>
        <v/>
      </c>
      <c r="BN161" s="114" t="str">
        <f>_xlfn.IFNA(VLOOKUP($BD161,Programma!$F$3:$P$1101,11,0),"")</f>
        <v/>
      </c>
      <c r="BO161" s="114" t="str">
        <f>_xlfn.IFNA(VLOOKUP($BD161,Programma!$F$3:$Q$1101,12,0),"")</f>
        <v/>
      </c>
      <c r="BP161" s="114" t="str">
        <f>_xlfn.IFNA(VLOOKUP($BD161,Programma!$F$3:$R$1101,13,0),"")</f>
        <v/>
      </c>
      <c r="BQ161" s="114" t="str">
        <f>_xlfn.IFNA(VLOOKUP($BD161,Programma!$F$3:$S$1101,14,0),"")</f>
        <v/>
      </c>
      <c r="BR161" s="114" t="str">
        <f>_xlfn.IFNA(VLOOKUP($BD161,Programma!$F$3:$T$1101,15,0),"")</f>
        <v/>
      </c>
      <c r="BS161" s="114" t="str">
        <f>_xlfn.IFNA(VLOOKUP($BD161,Programma!$F$3:$U$1101,16,0),"")</f>
        <v/>
      </c>
      <c r="BT161" s="114" t="str">
        <f>_xlfn.IFNA(VLOOKUP($BD161,Programma!$F$3:$V$1101,17,0),"")</f>
        <v/>
      </c>
      <c r="BU161" s="114" t="str">
        <f>_xlfn.IFNA(VLOOKUP($BD161,Programma!$F$3:$W$1101,18,0),"")</f>
        <v/>
      </c>
      <c r="BV161" s="114" t="str">
        <f>_xlfn.IFNA(VLOOKUP($BD161,Programma!$F$3:$X$1101,19,0),"")</f>
        <v/>
      </c>
      <c r="BW161" s="114" t="str">
        <f>_xlfn.IFNA(VLOOKUP($BD161,Programma!$F$3:$Y$1101,20,0),"")</f>
        <v/>
      </c>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c r="ET161" s="28"/>
      <c r="EU161" s="28"/>
      <c r="EV161" s="28"/>
      <c r="EW161" s="28"/>
      <c r="EX161" s="28"/>
      <c r="EY161" s="28"/>
      <c r="EZ161" s="28"/>
      <c r="FA161" s="28"/>
      <c r="FB161" s="28"/>
      <c r="FC161" s="28"/>
      <c r="FD161" s="28"/>
      <c r="FE161" s="28"/>
      <c r="FF161" s="28"/>
      <c r="FG161" s="28"/>
      <c r="FH161" s="28"/>
      <c r="FI161" s="28"/>
      <c r="FJ161" s="28"/>
      <c r="FK161" s="28"/>
      <c r="FL161" s="28"/>
      <c r="FM161" s="28"/>
      <c r="FN161" s="28"/>
      <c r="FO161" s="28"/>
      <c r="FP161" s="28"/>
      <c r="FQ161" s="28"/>
      <c r="FR161" s="28"/>
      <c r="FS161" s="28"/>
      <c r="FT161" s="28"/>
      <c r="FU161" s="28"/>
      <c r="FV161" s="28"/>
      <c r="FW161" s="28"/>
      <c r="FX161" s="28"/>
      <c r="FY161" s="28"/>
      <c r="FZ161" s="28"/>
      <c r="GA161" s="28"/>
      <c r="GB161" s="28"/>
      <c r="GC161" s="28"/>
      <c r="GD161" s="28"/>
      <c r="GE161" s="28"/>
      <c r="GF161" s="28"/>
      <c r="GG161" s="28"/>
      <c r="GH161" s="28"/>
      <c r="GI161" s="28"/>
      <c r="GJ161" s="28"/>
      <c r="GK161" s="28"/>
      <c r="GL161" s="28"/>
      <c r="GM161" s="28"/>
      <c r="GN161" s="28"/>
      <c r="GO161" s="28"/>
      <c r="GP161" s="28"/>
      <c r="GQ161" s="28"/>
      <c r="GR161" s="28"/>
      <c r="GS161" s="28"/>
      <c r="GT161" s="28"/>
      <c r="GU161" s="28"/>
      <c r="GV161" s="28"/>
      <c r="GW161" s="28"/>
      <c r="GX161" s="28"/>
      <c r="GY161" s="28"/>
      <c r="GZ161" s="28"/>
      <c r="HA161" s="28"/>
      <c r="HB161" s="28"/>
      <c r="HC161" s="28"/>
      <c r="HD161" s="28"/>
      <c r="HE161" s="28"/>
      <c r="HF161" s="28"/>
      <c r="HG161" s="28"/>
      <c r="HH161" s="28"/>
      <c r="HI161" s="28"/>
      <c r="HJ161" s="28"/>
      <c r="HK161" s="28"/>
      <c r="HL161" s="28"/>
    </row>
    <row r="162" spans="1:220" ht="15" customHeight="1">
      <c r="A162" s="31">
        <v>3</v>
      </c>
      <c r="B162" s="105" t="str">
        <f>VLOOKUP(Ruimtestaat[[#This Row],[Code]],Locaties[[Code]:[Locatie]],2,FALSE)</f>
        <v>Sport IKC Het Startblok</v>
      </c>
      <c r="C162" s="105" t="str">
        <f>VLOOKUP(Ruimtestaat[[#This Row],[Code]],Locaties[[#All],[Code]:[Adres]],4,FALSE)</f>
        <v>Klapstraat 205</v>
      </c>
      <c r="D162" s="105" t="str">
        <f>VLOOKUP(Ruimtestaat[[#This Row],[Code]],Locaties[[#All],[Code]:[Postcode]],5,FALSE)</f>
        <v>6931 CH</v>
      </c>
      <c r="E162" s="105" t="str">
        <f>VLOOKUP(Ruimtestaat[[#This Row],[Code]],Locaties[#All],6,FALSE)</f>
        <v>Westervoort</v>
      </c>
      <c r="F162" s="73" t="s">
        <v>1795</v>
      </c>
      <c r="G162" s="73"/>
      <c r="H162" s="31" t="s">
        <v>1706</v>
      </c>
      <c r="I162" s="113" t="s">
        <v>1667</v>
      </c>
      <c r="J162" s="31">
        <v>16</v>
      </c>
      <c r="K162" s="113" t="str">
        <f>VLOOKUP(Ruimtestaat[[#This Row],[Ruimte code]],Ruimtegroepen[[#All],[Code]:[Ruimte omschrijving]],2,FALSE)</f>
        <v>Leslokalen</v>
      </c>
      <c r="L162" s="73" t="s">
        <v>102</v>
      </c>
      <c r="M162" s="273" t="s">
        <v>120</v>
      </c>
      <c r="N162" s="106">
        <v>56</v>
      </c>
      <c r="O162" s="112"/>
      <c r="P162" s="73"/>
      <c r="Q162" s="107" t="str">
        <f>VLOOKUP(Ruimtestaat[[#This Row],[Ruimte code]],Ruimtegroepen[],4,FALSE)</f>
        <v>Le</v>
      </c>
      <c r="R162" s="73">
        <v>40</v>
      </c>
      <c r="S162" s="73" t="s">
        <v>2</v>
      </c>
      <c r="T162" s="73">
        <f>IF(R162&gt;0,IF(RIGHT(Ruimtestaat[[#This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2" s="73">
        <f>IF(T162&gt;0,VLOOKUP($J162,Ruimtegroepen[],3,FALSE)*VLOOKUP($L162,Vloersoorten[],3,FALSE)*VLOOKUP($S162,Frequenties[],3,FALSE)*VLOOKUP($A162,Locaties[],3,FALSE),0)</f>
        <v>0</v>
      </c>
      <c r="V162" s="73">
        <f>Ruimtestaat[[#This Row],[Uitvoeringen werkdagen]]*Ruimtestaat[[#This Row],[Oppervlak (netto)]]</f>
        <v>11200</v>
      </c>
      <c r="W162" s="108">
        <f>IF(U162&gt;0,Ruimtestaat[[#This Row],[Prest. (m2 /jaar) werkdagen]]/Ruimtestaat[[#This Row],[Norm (m2/uur) werkdagen]],0)</f>
        <v>0</v>
      </c>
      <c r="X162" s="109">
        <f>Ruimtestaat[[#This Row],[uren / jaar werkdagen]]*Tariefsopbouw!$E$35</f>
        <v>0</v>
      </c>
      <c r="Y162" s="73"/>
      <c r="Z162" s="73">
        <f>IF(Ruimtestaat[[#This Row],[Frequentie weekend]]&gt;0,VALUE(LEFT(Y162,1))*R162,0)</f>
        <v>0</v>
      </c>
      <c r="AA162" s="72">
        <f>IF($Z162&gt;0,VLOOKUP($J162,Ruimtegroepen[],3,FALSE)*VLOOKUP($L162,Vloersoorten[],3,FALSE)*VLOOKUP($Y162,Frequenties[],3,FALSE)*VLOOKUP(Ruimtestaat[[#This Row],[Code]],Locaties[],3,FALSE),0)</f>
        <v>0</v>
      </c>
      <c r="AB162" s="72">
        <f>Ruimtestaat[[#This Row],[Uitvoeringen weekend]]*Ruimtestaat[[#This Row],[Oppervlak (netto)]]</f>
        <v>0</v>
      </c>
      <c r="AC162" s="72">
        <f>IF(AA162&gt;0,Ruimtestaat[[#This Row],[Prest. (m2 /jaar) weekend]]/Ruimtestaat[[#This Row],[Norm (m2/uur) weekend]],0)</f>
        <v>0</v>
      </c>
      <c r="AD162" s="109">
        <f>Ruimtestaat[[#This Row],[uren / jaar weekend]]*Tariefsopbouw!$D$40</f>
        <v>0</v>
      </c>
      <c r="AE162" s="108">
        <f>Ruimtestaat[[#This Row],[Prest. (m2 /jaar) weekend]]+Ruimtestaat[[#This Row],[Prest. (m2 /jaar) werkdagen]]</f>
        <v>11200</v>
      </c>
      <c r="AF162" s="108">
        <f>Ruimtestaat[[#This Row],[uren / jaar weekend]]+Ruimtestaat[[#This Row],[uren / jaar werkdagen]]</f>
        <v>0</v>
      </c>
      <c r="AG162" s="103">
        <f>Ruimtestaat[[#This Row],[kosten / jaar weekend]]+Ruimtestaat[[#This Row],[kosten / jaar werkdagen]]</f>
        <v>0</v>
      </c>
      <c r="AH162" s="103"/>
      <c r="AI162" s="110" t="str">
        <f>IF(Ruimtestaat[[#This Row],[Frequentie werkdagen]]="","",_xlfn.CONCAT(Ruimtestaat[[#This Row],[Ruimte code]],"-",Ruimtestaat[[#This Row],[Frequentie werkdagen]]," ",Ruimtestaat[[#This Row],[Vloer code]]))</f>
        <v>16-5w P</v>
      </c>
      <c r="AJ162" s="114" t="str">
        <f>_xlfn.IFNA(VLOOKUP($AI162,Programma!$F$3:$G$1101,2,0),"")</f>
        <v>_</v>
      </c>
      <c r="AK162" s="114" t="str">
        <f>_xlfn.IFNA(VLOOKUP($AI162,Programma!$F$3:$H$1101,3,0),"")</f>
        <v>_</v>
      </c>
      <c r="AL162" s="114" t="str">
        <f>_xlfn.IFNA(VLOOKUP($AI162,Programma!$F$3:$I$1101,4,0),"")</f>
        <v>4w</v>
      </c>
      <c r="AM162" s="114" t="str">
        <f>_xlfn.IFNA(VLOOKUP($AI162,Programma!$F$3:$J$1101,5,0),"")</f>
        <v>1w</v>
      </c>
      <c r="AN162" s="114" t="str">
        <f>_xlfn.IFNA(VLOOKUP($AI162,Programma!$F$3:$K$1101,6,0),"")</f>
        <v>1m</v>
      </c>
      <c r="AO162" s="114" t="str">
        <f>_xlfn.IFNA(VLOOKUP($AI162,Programma!$F$3:$L$1101,7,0),"")</f>
        <v>_</v>
      </c>
      <c r="AP162" s="114" t="str">
        <f>_xlfn.IFNA(VLOOKUP($AI162,Programma!$F$3:$M$1101,8,0),"")</f>
        <v>_</v>
      </c>
      <c r="AQ162" s="114" t="str">
        <f>_xlfn.IFNA(VLOOKUP($AI162,Programma!$F$3:$N$1101,9,0),"")</f>
        <v>_</v>
      </c>
      <c r="AR162" s="114" t="str">
        <f>_xlfn.IFNA(VLOOKUP($AI162,Programma!$F$3:$O$1101,10,0),"")</f>
        <v>5w</v>
      </c>
      <c r="AS162" s="114" t="str">
        <f>_xlfn.IFNA(VLOOKUP($AI162,Programma!$F$3:$P$1101,11,0),"")</f>
        <v>5w</v>
      </c>
      <c r="AT162" s="114" t="str">
        <f>_xlfn.IFNA(VLOOKUP($AI162,Programma!$F$3:$Q$1101,12,0),"")</f>
        <v>1w</v>
      </c>
      <c r="AU162" s="114" t="str">
        <f>_xlfn.IFNA(VLOOKUP($AI162,Programma!$F$3:$R$1101,13,0),"")</f>
        <v>1w</v>
      </c>
      <c r="AV162" s="114" t="str">
        <f>_xlfn.IFNA(VLOOKUP($AI162,Programma!$F$3:$S$1101,14,0),"")</f>
        <v>1m</v>
      </c>
      <c r="AW162" s="114" t="str">
        <f>_xlfn.IFNA(VLOOKUP($AI162,Programma!$F$3:$T$1101,15,0),"")</f>
        <v>2j</v>
      </c>
      <c r="AX162" s="114" t="str">
        <f>_xlfn.IFNA(VLOOKUP($AI162,Programma!$F$3:$U$1101,16,0),"")</f>
        <v>1j</v>
      </c>
      <c r="AY162" s="114" t="str">
        <f>_xlfn.IFNA(VLOOKUP($AI162,Programma!$F$3:$V$1101,17,0),"")</f>
        <v>_</v>
      </c>
      <c r="AZ162" s="114" t="str">
        <f>_xlfn.IFNA(VLOOKUP($AI162,Programma!$F$3:$W$1101,18,0),"")</f>
        <v>_</v>
      </c>
      <c r="BA162" s="114" t="str">
        <f>_xlfn.IFNA(VLOOKUP($AI162,Programma!$F$3:$X$1101,19,0),"")</f>
        <v>_</v>
      </c>
      <c r="BB162" s="114" t="str">
        <f>_xlfn.IFNA(VLOOKUP($AI162,Programma!$F$3:$Y$1101,20,0),"")</f>
        <v>_</v>
      </c>
      <c r="BC162" s="111"/>
      <c r="BD162" s="110" t="str">
        <f>IF(Ruimtestaat[[#This Row],[Frequentie weekend]]="","",_xlfn.CONCAT(Ruimtestaat[[#This Row],[Ruimte code]],"-",Ruimtestaat[[#This Row],[Frequentie weekend]]," ",Ruimtestaat[[#This Row],[Vloer code]]))</f>
        <v/>
      </c>
      <c r="BE162" s="114" t="str">
        <f>_xlfn.IFNA(VLOOKUP($BD162,Programma!$F$3:$G$1101,2,0),"")</f>
        <v/>
      </c>
      <c r="BF162" s="114" t="str">
        <f>_xlfn.IFNA(VLOOKUP($BD162,Programma!$F$3:$H$1101,3,0),"")</f>
        <v/>
      </c>
      <c r="BG162" s="114" t="str">
        <f>_xlfn.IFNA(VLOOKUP($BD162,Programma!$F$3:$I$1101,4,0),"")</f>
        <v/>
      </c>
      <c r="BH162" s="114" t="str">
        <f>_xlfn.IFNA(VLOOKUP($BD162,Programma!$F$3:$J$1101,5,0),"")</f>
        <v/>
      </c>
      <c r="BI162" s="114" t="str">
        <f>_xlfn.IFNA(VLOOKUP($BD162,Programma!$F$3:$K$1101,6,0),"")</f>
        <v/>
      </c>
      <c r="BJ162" s="114" t="str">
        <f>_xlfn.IFNA(VLOOKUP($BD162,Programma!$F$3:$L$1101,7,0),"")</f>
        <v/>
      </c>
      <c r="BK162" s="114" t="str">
        <f>_xlfn.IFNA(VLOOKUP($BD162,Programma!$F$3:$M$1101,8,0),"")</f>
        <v/>
      </c>
      <c r="BL162" s="114" t="str">
        <f>_xlfn.IFNA(VLOOKUP($BD162,Programma!$F$3:$N$1101,9,0),"")</f>
        <v/>
      </c>
      <c r="BM162" s="114" t="str">
        <f>_xlfn.IFNA(VLOOKUP($BD162,Programma!$F$3:$O$1101,10,0),"")</f>
        <v/>
      </c>
      <c r="BN162" s="114" t="str">
        <f>_xlfn.IFNA(VLOOKUP($BD162,Programma!$F$3:$P$1101,11,0),"")</f>
        <v/>
      </c>
      <c r="BO162" s="114" t="str">
        <f>_xlfn.IFNA(VLOOKUP($BD162,Programma!$F$3:$Q$1101,12,0),"")</f>
        <v/>
      </c>
      <c r="BP162" s="114" t="str">
        <f>_xlfn.IFNA(VLOOKUP($BD162,Programma!$F$3:$R$1101,13,0),"")</f>
        <v/>
      </c>
      <c r="BQ162" s="114" t="str">
        <f>_xlfn.IFNA(VLOOKUP($BD162,Programma!$F$3:$S$1101,14,0),"")</f>
        <v/>
      </c>
      <c r="BR162" s="114" t="str">
        <f>_xlfn.IFNA(VLOOKUP($BD162,Programma!$F$3:$T$1101,15,0),"")</f>
        <v/>
      </c>
      <c r="BS162" s="114" t="str">
        <f>_xlfn.IFNA(VLOOKUP($BD162,Programma!$F$3:$U$1101,16,0),"")</f>
        <v/>
      </c>
      <c r="BT162" s="114" t="str">
        <f>_xlfn.IFNA(VLOOKUP($BD162,Programma!$F$3:$V$1101,17,0),"")</f>
        <v/>
      </c>
      <c r="BU162" s="114" t="str">
        <f>_xlfn.IFNA(VLOOKUP($BD162,Programma!$F$3:$W$1101,18,0),"")</f>
        <v/>
      </c>
      <c r="BV162" s="114" t="str">
        <f>_xlfn.IFNA(VLOOKUP($BD162,Programma!$F$3:$X$1101,19,0),"")</f>
        <v/>
      </c>
      <c r="BW162" s="114" t="str">
        <f>_xlfn.IFNA(VLOOKUP($BD162,Programma!$F$3:$Y$1101,20,0),"")</f>
        <v/>
      </c>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c r="HG162" s="28"/>
      <c r="HH162" s="28"/>
      <c r="HI162" s="28"/>
      <c r="HJ162" s="28"/>
      <c r="HK162" s="28"/>
      <c r="HL162" s="28"/>
    </row>
    <row r="163" spans="1:220" ht="15" customHeight="1">
      <c r="A163" s="31">
        <v>3</v>
      </c>
      <c r="B163" s="105" t="str">
        <f>VLOOKUP(Ruimtestaat[[#This Row],[Code]],Locaties[[Code]:[Locatie]],2,FALSE)</f>
        <v>Sport IKC Het Startblok</v>
      </c>
      <c r="C163" s="105" t="str">
        <f>VLOOKUP(Ruimtestaat[[#This Row],[Code]],Locaties[[#All],[Code]:[Adres]],4,FALSE)</f>
        <v>Klapstraat 205</v>
      </c>
      <c r="D163" s="105" t="str">
        <f>VLOOKUP(Ruimtestaat[[#This Row],[Code]],Locaties[[#All],[Code]:[Postcode]],5,FALSE)</f>
        <v>6931 CH</v>
      </c>
      <c r="E163" s="105" t="str">
        <f>VLOOKUP(Ruimtestaat[[#This Row],[Code]],Locaties[#All],6,FALSE)</f>
        <v>Westervoort</v>
      </c>
      <c r="F163" s="73" t="s">
        <v>1795</v>
      </c>
      <c r="G163" s="73"/>
      <c r="H163" s="31" t="s">
        <v>1707</v>
      </c>
      <c r="I163" s="113" t="s">
        <v>1794</v>
      </c>
      <c r="J163" s="31">
        <v>5</v>
      </c>
      <c r="K163" s="113" t="str">
        <f>VLOOKUP(Ruimtestaat[[#This Row],[Ruimte code]],Ruimtegroepen[[#All],[Code]:[Ruimte omschrijving]],2,FALSE)</f>
        <v>Sanitair</v>
      </c>
      <c r="L163" s="73" t="s">
        <v>102</v>
      </c>
      <c r="M163" s="273" t="s">
        <v>120</v>
      </c>
      <c r="N163" s="106">
        <v>12</v>
      </c>
      <c r="O163" s="112"/>
      <c r="P163" s="112"/>
      <c r="Q163" s="107" t="str">
        <f>VLOOKUP(Ruimtestaat[[#This Row],[Ruimte code]],Ruimtegroepen[],4,FALSE)</f>
        <v>Sa</v>
      </c>
      <c r="R163" s="73">
        <v>40</v>
      </c>
      <c r="S163" s="73" t="s">
        <v>2</v>
      </c>
      <c r="T163" s="73">
        <f>IF(R163&gt;0,IF(RIGHT(Ruimtestaat[[#This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3" s="73">
        <f>IF(T163&gt;0,VLOOKUP($J163,Ruimtegroepen[],3,FALSE)*VLOOKUP($L163,Vloersoorten[],3,FALSE)*VLOOKUP($S163,Frequenties[],3,FALSE)*VLOOKUP($A163,Locaties[],3,FALSE),0)</f>
        <v>0</v>
      </c>
      <c r="V163" s="73">
        <f>Ruimtestaat[[#This Row],[Uitvoeringen werkdagen]]*Ruimtestaat[[#This Row],[Oppervlak (netto)]]</f>
        <v>2400</v>
      </c>
      <c r="W163" s="108">
        <f>IF(U163&gt;0,Ruimtestaat[[#This Row],[Prest. (m2 /jaar) werkdagen]]/Ruimtestaat[[#This Row],[Norm (m2/uur) werkdagen]],0)</f>
        <v>0</v>
      </c>
      <c r="X163" s="109">
        <f>Ruimtestaat[[#This Row],[uren / jaar werkdagen]]*Tariefsopbouw!$E$35</f>
        <v>0</v>
      </c>
      <c r="Y163" s="73"/>
      <c r="Z163" s="73">
        <f>IF(Ruimtestaat[[#This Row],[Frequentie weekend]]&gt;0,VALUE(LEFT(Y163,1))*R163,0)</f>
        <v>0</v>
      </c>
      <c r="AA163" s="72">
        <f>IF($Z163&gt;0,VLOOKUP($J163,Ruimtegroepen[],3,FALSE)*VLOOKUP($L163,Vloersoorten[],3,FALSE)*VLOOKUP($Y163,Frequenties[],3,FALSE)*VLOOKUP(Ruimtestaat[[#This Row],[Code]],Locaties[],3,FALSE),0)</f>
        <v>0</v>
      </c>
      <c r="AB163" s="72">
        <f>Ruimtestaat[[#This Row],[Uitvoeringen weekend]]*Ruimtestaat[[#This Row],[Oppervlak (netto)]]</f>
        <v>0</v>
      </c>
      <c r="AC163" s="72">
        <f>IF(AA163&gt;0,Ruimtestaat[[#This Row],[Prest. (m2 /jaar) weekend]]/Ruimtestaat[[#This Row],[Norm (m2/uur) weekend]],0)</f>
        <v>0</v>
      </c>
      <c r="AD163" s="109">
        <f>Ruimtestaat[[#This Row],[uren / jaar weekend]]*Tariefsopbouw!$D$40</f>
        <v>0</v>
      </c>
      <c r="AE163" s="108">
        <f>Ruimtestaat[[#This Row],[Prest. (m2 /jaar) weekend]]+Ruimtestaat[[#This Row],[Prest. (m2 /jaar) werkdagen]]</f>
        <v>2400</v>
      </c>
      <c r="AF163" s="108">
        <f>Ruimtestaat[[#This Row],[uren / jaar weekend]]+Ruimtestaat[[#This Row],[uren / jaar werkdagen]]</f>
        <v>0</v>
      </c>
      <c r="AG163" s="103">
        <f>Ruimtestaat[[#This Row],[kosten / jaar weekend]]+Ruimtestaat[[#This Row],[kosten / jaar werkdagen]]</f>
        <v>0</v>
      </c>
      <c r="AH163" s="103"/>
      <c r="AI163" s="110" t="str">
        <f>IF(Ruimtestaat[[#This Row],[Frequentie werkdagen]]="","",_xlfn.CONCAT(Ruimtestaat[[#This Row],[Ruimte code]],"-",Ruimtestaat[[#This Row],[Frequentie werkdagen]]," ",Ruimtestaat[[#This Row],[Vloer code]]))</f>
        <v>5-5w P</v>
      </c>
      <c r="AJ163" s="114" t="str">
        <f>_xlfn.IFNA(VLOOKUP($AI163,Programma!$F$3:$G$1101,2,0),"")</f>
        <v>_</v>
      </c>
      <c r="AK163" s="114" t="str">
        <f>_xlfn.IFNA(VLOOKUP($AI163,Programma!$F$3:$H$1101,3,0),"")</f>
        <v>_</v>
      </c>
      <c r="AL163" s="114" t="str">
        <f>_xlfn.IFNA(VLOOKUP($AI163,Programma!$F$3:$I$1101,4,0),"")</f>
        <v>_</v>
      </c>
      <c r="AM163" s="114" t="str">
        <f>_xlfn.IFNA(VLOOKUP($AI163,Programma!$F$3:$J$1101,5,0),"")</f>
        <v>4w</v>
      </c>
      <c r="AN163" s="114" t="str">
        <f>_xlfn.IFNA(VLOOKUP($AI163,Programma!$F$3:$K$1101,6,0),"")</f>
        <v>1w</v>
      </c>
      <c r="AO163" s="114" t="str">
        <f>_xlfn.IFNA(VLOOKUP($AI163,Programma!$F$3:$L$1101,7,0),"")</f>
        <v>_</v>
      </c>
      <c r="AP163" s="114" t="str">
        <f>_xlfn.IFNA(VLOOKUP($AI163,Programma!$F$3:$M$1101,8,0),"")</f>
        <v>_</v>
      </c>
      <c r="AQ163" s="114" t="str">
        <f>_xlfn.IFNA(VLOOKUP($AI163,Programma!$F$3:$N$1101,9,0),"")</f>
        <v>_</v>
      </c>
      <c r="AR163" s="114" t="str">
        <f>_xlfn.IFNA(VLOOKUP($AI163,Programma!$F$3:$O$1101,10,0),"")</f>
        <v>_</v>
      </c>
      <c r="AS163" s="114" t="str">
        <f>_xlfn.IFNA(VLOOKUP($AI163,Programma!$F$3:$P$1101,11,0),"")</f>
        <v>_</v>
      </c>
      <c r="AT163" s="114" t="str">
        <f>_xlfn.IFNA(VLOOKUP($AI163,Programma!$F$3:$Q$1101,12,0),"")</f>
        <v>_</v>
      </c>
      <c r="AU163" s="114" t="str">
        <f>_xlfn.IFNA(VLOOKUP($AI163,Programma!$F$3:$R$1101,13,0),"")</f>
        <v>_</v>
      </c>
      <c r="AV163" s="114" t="str">
        <f>_xlfn.IFNA(VLOOKUP($AI163,Programma!$F$3:$S$1101,14,0),"")</f>
        <v>_</v>
      </c>
      <c r="AW163" s="114" t="str">
        <f>_xlfn.IFNA(VLOOKUP($AI163,Programma!$F$3:$T$1101,15,0),"")</f>
        <v>_</v>
      </c>
      <c r="AX163" s="114" t="str">
        <f>_xlfn.IFNA(VLOOKUP($AI163,Programma!$F$3:$U$1101,16,0),"")</f>
        <v>_</v>
      </c>
      <c r="AY163" s="114" t="str">
        <f>_xlfn.IFNA(VLOOKUP($AI163,Programma!$F$3:$V$1101,17,0),"")</f>
        <v>_</v>
      </c>
      <c r="AZ163" s="114" t="str">
        <f>_xlfn.IFNA(VLOOKUP($AI163,Programma!$F$3:$W$1101,18,0),"")</f>
        <v>4w</v>
      </c>
      <c r="BA163" s="114" t="str">
        <f>_xlfn.IFNA(VLOOKUP($AI163,Programma!$F$3:$X$1101,19,0),"")</f>
        <v>1w</v>
      </c>
      <c r="BB163" s="114" t="str">
        <f>_xlfn.IFNA(VLOOKUP($AI163,Programma!$F$3:$Y$1101,20,0),"")</f>
        <v>_</v>
      </c>
      <c r="BC163" s="111"/>
      <c r="BD163" s="110" t="str">
        <f>IF(Ruimtestaat[[#This Row],[Frequentie weekend]]="","",_xlfn.CONCAT(Ruimtestaat[[#This Row],[Ruimte code]],"-",Ruimtestaat[[#This Row],[Frequentie weekend]]," ",Ruimtestaat[[#This Row],[Vloer code]]))</f>
        <v/>
      </c>
      <c r="BE163" s="114" t="str">
        <f>_xlfn.IFNA(VLOOKUP($BD163,Programma!$F$3:$G$1101,2,0),"")</f>
        <v/>
      </c>
      <c r="BF163" s="114" t="str">
        <f>_xlfn.IFNA(VLOOKUP($BD163,Programma!$F$3:$H$1101,3,0),"")</f>
        <v/>
      </c>
      <c r="BG163" s="114" t="str">
        <f>_xlfn.IFNA(VLOOKUP($BD163,Programma!$F$3:$I$1101,4,0),"")</f>
        <v/>
      </c>
      <c r="BH163" s="114" t="str">
        <f>_xlfn.IFNA(VLOOKUP($BD163,Programma!$F$3:$J$1101,5,0),"")</f>
        <v/>
      </c>
      <c r="BI163" s="114" t="str">
        <f>_xlfn.IFNA(VLOOKUP($BD163,Programma!$F$3:$K$1101,6,0),"")</f>
        <v/>
      </c>
      <c r="BJ163" s="114" t="str">
        <f>_xlfn.IFNA(VLOOKUP($BD163,Programma!$F$3:$L$1101,7,0),"")</f>
        <v/>
      </c>
      <c r="BK163" s="114" t="str">
        <f>_xlfn.IFNA(VLOOKUP($BD163,Programma!$F$3:$M$1101,8,0),"")</f>
        <v/>
      </c>
      <c r="BL163" s="114" t="str">
        <f>_xlfn.IFNA(VLOOKUP($BD163,Programma!$F$3:$N$1101,9,0),"")</f>
        <v/>
      </c>
      <c r="BM163" s="114" t="str">
        <f>_xlfn.IFNA(VLOOKUP($BD163,Programma!$F$3:$O$1101,10,0),"")</f>
        <v/>
      </c>
      <c r="BN163" s="114" t="str">
        <f>_xlfn.IFNA(VLOOKUP($BD163,Programma!$F$3:$P$1101,11,0),"")</f>
        <v/>
      </c>
      <c r="BO163" s="114" t="str">
        <f>_xlfn.IFNA(VLOOKUP($BD163,Programma!$F$3:$Q$1101,12,0),"")</f>
        <v/>
      </c>
      <c r="BP163" s="114" t="str">
        <f>_xlfn.IFNA(VLOOKUP($BD163,Programma!$F$3:$R$1101,13,0),"")</f>
        <v/>
      </c>
      <c r="BQ163" s="114" t="str">
        <f>_xlfn.IFNA(VLOOKUP($BD163,Programma!$F$3:$S$1101,14,0),"")</f>
        <v/>
      </c>
      <c r="BR163" s="114" t="str">
        <f>_xlfn.IFNA(VLOOKUP($BD163,Programma!$F$3:$T$1101,15,0),"")</f>
        <v/>
      </c>
      <c r="BS163" s="114" t="str">
        <f>_xlfn.IFNA(VLOOKUP($BD163,Programma!$F$3:$U$1101,16,0),"")</f>
        <v/>
      </c>
      <c r="BT163" s="114" t="str">
        <f>_xlfn.IFNA(VLOOKUP($BD163,Programma!$F$3:$V$1101,17,0),"")</f>
        <v/>
      </c>
      <c r="BU163" s="114" t="str">
        <f>_xlfn.IFNA(VLOOKUP($BD163,Programma!$F$3:$W$1101,18,0),"")</f>
        <v/>
      </c>
      <c r="BV163" s="114" t="str">
        <f>_xlfn.IFNA(VLOOKUP($BD163,Programma!$F$3:$X$1101,19,0),"")</f>
        <v/>
      </c>
      <c r="BW163" s="114" t="str">
        <f>_xlfn.IFNA(VLOOKUP($BD163,Programma!$F$3:$Y$1101,20,0),"")</f>
        <v/>
      </c>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c r="DG163" s="28"/>
      <c r="DH163" s="28"/>
      <c r="DI163" s="28"/>
      <c r="DJ163" s="28"/>
      <c r="DK163" s="28"/>
      <c r="DL163" s="28"/>
      <c r="DM163" s="28"/>
      <c r="DN163" s="28"/>
      <c r="DO163" s="28"/>
      <c r="DP163" s="28"/>
      <c r="DQ163" s="28"/>
      <c r="DR163" s="28"/>
      <c r="DS163" s="28"/>
      <c r="DT163" s="28"/>
      <c r="DU163" s="28"/>
      <c r="DV163" s="28"/>
      <c r="DW163" s="28"/>
      <c r="DX163" s="28"/>
      <c r="DY163" s="28"/>
      <c r="DZ163" s="28"/>
      <c r="EA163" s="28"/>
      <c r="EB163" s="28"/>
      <c r="EC163" s="28"/>
      <c r="ED163" s="28"/>
      <c r="EE163" s="28"/>
      <c r="EF163" s="28"/>
      <c r="EG163" s="28"/>
      <c r="EH163" s="28"/>
      <c r="EI163" s="28"/>
      <c r="EJ163" s="28"/>
      <c r="EK163" s="28"/>
      <c r="EL163" s="28"/>
      <c r="EM163" s="28"/>
      <c r="EN163" s="28"/>
      <c r="EO163" s="28"/>
      <c r="EP163" s="28"/>
      <c r="EQ163" s="28"/>
      <c r="ER163" s="28"/>
      <c r="ES163" s="28"/>
      <c r="ET163" s="28"/>
      <c r="EU163" s="28"/>
      <c r="EV163" s="28"/>
      <c r="EW163" s="28"/>
      <c r="EX163" s="28"/>
      <c r="EY163" s="28"/>
      <c r="EZ163" s="28"/>
      <c r="FA163" s="28"/>
      <c r="FB163" s="28"/>
      <c r="FC163" s="28"/>
      <c r="FD163" s="28"/>
      <c r="FE163" s="28"/>
      <c r="FF163" s="28"/>
      <c r="FG163" s="28"/>
      <c r="FH163" s="28"/>
      <c r="FI163" s="28"/>
      <c r="FJ163" s="28"/>
      <c r="FK163" s="28"/>
      <c r="FL163" s="28"/>
      <c r="FM163" s="28"/>
      <c r="FN163" s="28"/>
      <c r="FO163" s="28"/>
      <c r="FP163" s="28"/>
      <c r="FQ163" s="28"/>
      <c r="FR163" s="28"/>
      <c r="FS163" s="28"/>
      <c r="FT163" s="28"/>
      <c r="FU163" s="28"/>
      <c r="FV163" s="28"/>
      <c r="FW163" s="28"/>
      <c r="FX163" s="28"/>
      <c r="FY163" s="28"/>
      <c r="FZ163" s="28"/>
      <c r="GA163" s="28"/>
      <c r="GB163" s="28"/>
      <c r="GC163" s="28"/>
      <c r="GD163" s="28"/>
      <c r="GE163" s="28"/>
      <c r="GF163" s="28"/>
      <c r="GG163" s="28"/>
      <c r="GH163" s="28"/>
      <c r="GI163" s="28"/>
      <c r="GJ163" s="28"/>
      <c r="GK163" s="28"/>
      <c r="GL163" s="28"/>
      <c r="GM163" s="28"/>
      <c r="GN163" s="28"/>
      <c r="GO163" s="28"/>
      <c r="GP163" s="28"/>
      <c r="GQ163" s="28"/>
      <c r="GR163" s="28"/>
      <c r="GS163" s="28"/>
      <c r="GT163" s="28"/>
      <c r="GU163" s="28"/>
      <c r="GV163" s="28"/>
      <c r="GW163" s="28"/>
      <c r="GX163" s="28"/>
      <c r="GY163" s="28"/>
      <c r="GZ163" s="28"/>
      <c r="HA163" s="28"/>
      <c r="HB163" s="28"/>
      <c r="HC163" s="28"/>
      <c r="HD163" s="28"/>
      <c r="HE163" s="28"/>
      <c r="HF163" s="28"/>
      <c r="HG163" s="28"/>
      <c r="HH163" s="28"/>
      <c r="HI163" s="28"/>
      <c r="HJ163" s="28"/>
      <c r="HK163" s="28"/>
      <c r="HL163" s="28"/>
    </row>
    <row r="164" spans="1:220" ht="15" customHeight="1">
      <c r="A164" s="31">
        <v>3</v>
      </c>
      <c r="B164" s="105" t="str">
        <f>VLOOKUP(Ruimtestaat[[#This Row],[Code]],Locaties[[Code]:[Locatie]],2,FALSE)</f>
        <v>Sport IKC Het Startblok</v>
      </c>
      <c r="C164" s="105" t="str">
        <f>VLOOKUP(Ruimtestaat[[#This Row],[Code]],Locaties[[#All],[Code]:[Adres]],4,FALSE)</f>
        <v>Klapstraat 205</v>
      </c>
      <c r="D164" s="105" t="str">
        <f>VLOOKUP(Ruimtestaat[[#This Row],[Code]],Locaties[[#All],[Code]:[Postcode]],5,FALSE)</f>
        <v>6931 CH</v>
      </c>
      <c r="E164" s="105" t="str">
        <f>VLOOKUP(Ruimtestaat[[#This Row],[Code]],Locaties[#All],6,FALSE)</f>
        <v>Westervoort</v>
      </c>
      <c r="F164" s="73" t="s">
        <v>1796</v>
      </c>
      <c r="G164" s="73"/>
      <c r="H164" s="31" t="s">
        <v>1799</v>
      </c>
      <c r="I164" s="113" t="s">
        <v>38</v>
      </c>
      <c r="J164" s="31">
        <v>7</v>
      </c>
      <c r="K164" s="113" t="str">
        <f>VLOOKUP(Ruimtestaat[[#This Row],[Ruimte code]],Ruimtegroepen[[#All],[Code]:[Ruimte omschrijving]],2,FALSE)</f>
        <v>Entree</v>
      </c>
      <c r="L164" s="73" t="s">
        <v>102</v>
      </c>
      <c r="M164" s="273" t="s">
        <v>120</v>
      </c>
      <c r="N164" s="106">
        <v>18</v>
      </c>
      <c r="O164" s="112"/>
      <c r="P164" s="112"/>
      <c r="Q164" s="107" t="str">
        <f>VLOOKUP(Ruimtestaat[[#This Row],[Ruimte code]],Ruimtegroepen[],4,FALSE)</f>
        <v>Ve</v>
      </c>
      <c r="R164" s="73">
        <v>40</v>
      </c>
      <c r="S164" s="73" t="s">
        <v>2</v>
      </c>
      <c r="T164" s="73">
        <f>IF(R164&gt;0,IF(RIGHT(Ruimtestaat[[#This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4" s="73">
        <f>IF(T164&gt;0,VLOOKUP($J164,Ruimtegroepen[],3,FALSE)*VLOOKUP($L164,Vloersoorten[],3,FALSE)*VLOOKUP($S164,Frequenties[],3,FALSE)*VLOOKUP($A164,Locaties[],3,FALSE),0)</f>
        <v>0</v>
      </c>
      <c r="V164" s="73">
        <f>Ruimtestaat[[#This Row],[Uitvoeringen werkdagen]]*Ruimtestaat[[#This Row],[Oppervlak (netto)]]</f>
        <v>3600</v>
      </c>
      <c r="W164" s="108">
        <f>IF(U164&gt;0,Ruimtestaat[[#This Row],[Prest. (m2 /jaar) werkdagen]]/Ruimtestaat[[#This Row],[Norm (m2/uur) werkdagen]],0)</f>
        <v>0</v>
      </c>
      <c r="X164" s="109">
        <f>Ruimtestaat[[#This Row],[uren / jaar werkdagen]]*Tariefsopbouw!$E$35</f>
        <v>0</v>
      </c>
      <c r="Y164" s="73"/>
      <c r="Z164" s="73">
        <f>IF(Ruimtestaat[[#This Row],[Frequentie weekend]]&gt;0,VALUE(LEFT(Y164,1))*R164,0)</f>
        <v>0</v>
      </c>
      <c r="AA164" s="72">
        <f>IF($Z164&gt;0,VLOOKUP($J164,Ruimtegroepen[],3,FALSE)*VLOOKUP($L164,Vloersoorten[],3,FALSE)*VLOOKUP($Y164,Frequenties[],3,FALSE)*VLOOKUP(Ruimtestaat[[#This Row],[Code]],Locaties[],3,FALSE),0)</f>
        <v>0</v>
      </c>
      <c r="AB164" s="72">
        <f>Ruimtestaat[[#This Row],[Uitvoeringen weekend]]*Ruimtestaat[[#This Row],[Oppervlak (netto)]]</f>
        <v>0</v>
      </c>
      <c r="AC164" s="72">
        <f>IF(AA164&gt;0,Ruimtestaat[[#This Row],[Prest. (m2 /jaar) weekend]]/Ruimtestaat[[#This Row],[Norm (m2/uur) weekend]],0)</f>
        <v>0</v>
      </c>
      <c r="AD164" s="109">
        <f>Ruimtestaat[[#This Row],[uren / jaar weekend]]*Tariefsopbouw!$D$40</f>
        <v>0</v>
      </c>
      <c r="AE164" s="108">
        <f>Ruimtestaat[[#This Row],[Prest. (m2 /jaar) weekend]]+Ruimtestaat[[#This Row],[Prest. (m2 /jaar) werkdagen]]</f>
        <v>3600</v>
      </c>
      <c r="AF164" s="108">
        <f>Ruimtestaat[[#This Row],[uren / jaar weekend]]+Ruimtestaat[[#This Row],[uren / jaar werkdagen]]</f>
        <v>0</v>
      </c>
      <c r="AG164" s="103">
        <f>Ruimtestaat[[#This Row],[kosten / jaar weekend]]+Ruimtestaat[[#This Row],[kosten / jaar werkdagen]]</f>
        <v>0</v>
      </c>
      <c r="AH164" s="103"/>
      <c r="AI164" s="110" t="str">
        <f>IF(Ruimtestaat[[#This Row],[Frequentie werkdagen]]="","",_xlfn.CONCAT(Ruimtestaat[[#This Row],[Ruimte code]],"-",Ruimtestaat[[#This Row],[Frequentie werkdagen]]," ",Ruimtestaat[[#This Row],[Vloer code]]))</f>
        <v>7-5w P</v>
      </c>
      <c r="AJ164" s="114" t="str">
        <f>_xlfn.IFNA(VLOOKUP($AI164,Programma!$F$3:$G$1101,2,0),"")</f>
        <v>_</v>
      </c>
      <c r="AK164" s="114" t="str">
        <f>_xlfn.IFNA(VLOOKUP($AI164,Programma!$F$3:$H$1101,3,0),"")</f>
        <v>_</v>
      </c>
      <c r="AL164" s="114" t="str">
        <f>_xlfn.IFNA(VLOOKUP($AI164,Programma!$F$3:$I$1101,4,0),"")</f>
        <v>5w</v>
      </c>
      <c r="AM164" s="114" t="str">
        <f>_xlfn.IFNA(VLOOKUP($AI164,Programma!$F$3:$J$1101,5,0),"")</f>
        <v>_</v>
      </c>
      <c r="AN164" s="114" t="str">
        <f>_xlfn.IFNA(VLOOKUP($AI164,Programma!$F$3:$K$1101,6,0),"")</f>
        <v>5w</v>
      </c>
      <c r="AO164" s="114" t="str">
        <f>_xlfn.IFNA(VLOOKUP($AI164,Programma!$F$3:$L$1101,7,0),"")</f>
        <v>_</v>
      </c>
      <c r="AP164" s="114" t="str">
        <f>_xlfn.IFNA(VLOOKUP($AI164,Programma!$F$3:$M$1101,8,0),"")</f>
        <v>_</v>
      </c>
      <c r="AQ164" s="114" t="str">
        <f>_xlfn.IFNA(VLOOKUP($AI164,Programma!$F$3:$N$1101,9,0),"")</f>
        <v>_</v>
      </c>
      <c r="AR164" s="114" t="str">
        <f>_xlfn.IFNA(VLOOKUP($AI164,Programma!$F$3:$O$1101,10,0),"")</f>
        <v>5w</v>
      </c>
      <c r="AS164" s="114" t="str">
        <f>_xlfn.IFNA(VLOOKUP($AI164,Programma!$F$3:$P$1101,11,0),"")</f>
        <v>5w</v>
      </c>
      <c r="AT164" s="114" t="str">
        <f>_xlfn.IFNA(VLOOKUP($AI164,Programma!$F$3:$Q$1101,12,0),"")</f>
        <v>1w</v>
      </c>
      <c r="AU164" s="114" t="str">
        <f>_xlfn.IFNA(VLOOKUP($AI164,Programma!$F$3:$R$1101,13,0),"")</f>
        <v>1w</v>
      </c>
      <c r="AV164" s="114" t="str">
        <f>_xlfn.IFNA(VLOOKUP($AI164,Programma!$F$3:$S$1101,14,0),"")</f>
        <v>1m</v>
      </c>
      <c r="AW164" s="114" t="str">
        <f>_xlfn.IFNA(VLOOKUP($AI164,Programma!$F$3:$T$1101,15,0),"")</f>
        <v>2j</v>
      </c>
      <c r="AX164" s="114" t="str">
        <f>_xlfn.IFNA(VLOOKUP($AI164,Programma!$F$3:$U$1101,16,0),"")</f>
        <v>1j</v>
      </c>
      <c r="AY164" s="114" t="str">
        <f>_xlfn.IFNA(VLOOKUP($AI164,Programma!$F$3:$V$1101,17,0),"")</f>
        <v>_</v>
      </c>
      <c r="AZ164" s="114" t="str">
        <f>_xlfn.IFNA(VLOOKUP($AI164,Programma!$F$3:$W$1101,18,0),"")</f>
        <v>_</v>
      </c>
      <c r="BA164" s="114" t="str">
        <f>_xlfn.IFNA(VLOOKUP($AI164,Programma!$F$3:$X$1101,19,0),"")</f>
        <v>_</v>
      </c>
      <c r="BB164" s="114" t="str">
        <f>_xlfn.IFNA(VLOOKUP($AI164,Programma!$F$3:$Y$1101,20,0),"")</f>
        <v>_</v>
      </c>
      <c r="BC164" s="111"/>
      <c r="BD164" s="110" t="str">
        <f>IF(Ruimtestaat[[#This Row],[Frequentie weekend]]="","",_xlfn.CONCAT(Ruimtestaat[[#This Row],[Ruimte code]],"-",Ruimtestaat[[#This Row],[Frequentie weekend]]," ",Ruimtestaat[[#This Row],[Vloer code]]))</f>
        <v/>
      </c>
      <c r="BE164" s="114" t="str">
        <f>_xlfn.IFNA(VLOOKUP($BD164,Programma!$F$3:$G$1101,2,0),"")</f>
        <v/>
      </c>
      <c r="BF164" s="114" t="str">
        <f>_xlfn.IFNA(VLOOKUP($BD164,Programma!$F$3:$H$1101,3,0),"")</f>
        <v/>
      </c>
      <c r="BG164" s="114" t="str">
        <f>_xlfn.IFNA(VLOOKUP($BD164,Programma!$F$3:$I$1101,4,0),"")</f>
        <v/>
      </c>
      <c r="BH164" s="114" t="str">
        <f>_xlfn.IFNA(VLOOKUP($BD164,Programma!$F$3:$J$1101,5,0),"")</f>
        <v/>
      </c>
      <c r="BI164" s="114" t="str">
        <f>_xlfn.IFNA(VLOOKUP($BD164,Programma!$F$3:$K$1101,6,0),"")</f>
        <v/>
      </c>
      <c r="BJ164" s="114" t="str">
        <f>_xlfn.IFNA(VLOOKUP($BD164,Programma!$F$3:$L$1101,7,0),"")</f>
        <v/>
      </c>
      <c r="BK164" s="114" t="str">
        <f>_xlfn.IFNA(VLOOKUP($BD164,Programma!$F$3:$M$1101,8,0),"")</f>
        <v/>
      </c>
      <c r="BL164" s="114" t="str">
        <f>_xlfn.IFNA(VLOOKUP($BD164,Programma!$F$3:$N$1101,9,0),"")</f>
        <v/>
      </c>
      <c r="BM164" s="114" t="str">
        <f>_xlfn.IFNA(VLOOKUP($BD164,Programma!$F$3:$O$1101,10,0),"")</f>
        <v/>
      </c>
      <c r="BN164" s="114" t="str">
        <f>_xlfn.IFNA(VLOOKUP($BD164,Programma!$F$3:$P$1101,11,0),"")</f>
        <v/>
      </c>
      <c r="BO164" s="114" t="str">
        <f>_xlfn.IFNA(VLOOKUP($BD164,Programma!$F$3:$Q$1101,12,0),"")</f>
        <v/>
      </c>
      <c r="BP164" s="114" t="str">
        <f>_xlfn.IFNA(VLOOKUP($BD164,Programma!$F$3:$R$1101,13,0),"")</f>
        <v/>
      </c>
      <c r="BQ164" s="114" t="str">
        <f>_xlfn.IFNA(VLOOKUP($BD164,Programma!$F$3:$S$1101,14,0),"")</f>
        <v/>
      </c>
      <c r="BR164" s="114" t="str">
        <f>_xlfn.IFNA(VLOOKUP($BD164,Programma!$F$3:$T$1101,15,0),"")</f>
        <v/>
      </c>
      <c r="BS164" s="114" t="str">
        <f>_xlfn.IFNA(VLOOKUP($BD164,Programma!$F$3:$U$1101,16,0),"")</f>
        <v/>
      </c>
      <c r="BT164" s="114" t="str">
        <f>_xlfn.IFNA(VLOOKUP($BD164,Programma!$F$3:$V$1101,17,0),"")</f>
        <v/>
      </c>
      <c r="BU164" s="114" t="str">
        <f>_xlfn.IFNA(VLOOKUP($BD164,Programma!$F$3:$W$1101,18,0),"")</f>
        <v/>
      </c>
      <c r="BV164" s="114" t="str">
        <f>_xlfn.IFNA(VLOOKUP($BD164,Programma!$F$3:$X$1101,19,0),"")</f>
        <v/>
      </c>
      <c r="BW164" s="114" t="str">
        <f>_xlfn.IFNA(VLOOKUP($BD164,Programma!$F$3:$Y$1101,20,0),"")</f>
        <v/>
      </c>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c r="EA164" s="28"/>
      <c r="EB164" s="28"/>
      <c r="EC164" s="28"/>
      <c r="ED164" s="28"/>
      <c r="EE164" s="28"/>
      <c r="EF164" s="28"/>
      <c r="EG164" s="28"/>
      <c r="EH164" s="28"/>
      <c r="EI164" s="28"/>
      <c r="EJ164" s="28"/>
      <c r="EK164" s="28"/>
      <c r="EL164" s="28"/>
      <c r="EM164" s="28"/>
      <c r="EN164" s="28"/>
      <c r="EO164" s="28"/>
      <c r="EP164" s="28"/>
      <c r="EQ164" s="28"/>
      <c r="ER164" s="28"/>
      <c r="ES164" s="28"/>
      <c r="ET164" s="28"/>
      <c r="EU164" s="28"/>
      <c r="EV164" s="28"/>
      <c r="EW164" s="28"/>
      <c r="EX164" s="28"/>
      <c r="EY164" s="28"/>
      <c r="EZ164" s="28"/>
      <c r="FA164" s="28"/>
      <c r="FB164" s="28"/>
      <c r="FC164" s="28"/>
      <c r="FD164" s="28"/>
      <c r="FE164" s="28"/>
      <c r="FF164" s="28"/>
      <c r="FG164" s="28"/>
      <c r="FH164" s="28"/>
      <c r="FI164" s="28"/>
      <c r="FJ164" s="28"/>
      <c r="FK164" s="28"/>
      <c r="FL164" s="28"/>
      <c r="FM164" s="28"/>
      <c r="FN164" s="28"/>
      <c r="FO164" s="28"/>
      <c r="FP164" s="28"/>
      <c r="FQ164" s="28"/>
      <c r="FR164" s="28"/>
      <c r="FS164" s="28"/>
      <c r="FT164" s="28"/>
      <c r="FU164" s="28"/>
      <c r="FV164" s="28"/>
      <c r="FW164" s="28"/>
      <c r="FX164" s="28"/>
      <c r="FY164" s="28"/>
      <c r="FZ164" s="28"/>
      <c r="GA164" s="28"/>
      <c r="GB164" s="28"/>
      <c r="GC164" s="28"/>
      <c r="GD164" s="28"/>
      <c r="GE164" s="28"/>
      <c r="GF164" s="28"/>
      <c r="GG164" s="28"/>
      <c r="GH164" s="28"/>
      <c r="GI164" s="28"/>
      <c r="GJ164" s="28"/>
      <c r="GK164" s="28"/>
      <c r="GL164" s="28"/>
      <c r="GM164" s="28"/>
      <c r="GN164" s="28"/>
      <c r="GO164" s="28"/>
      <c r="GP164" s="28"/>
      <c r="GQ164" s="28"/>
      <c r="GR164" s="28"/>
      <c r="GS164" s="28"/>
      <c r="GT164" s="28"/>
      <c r="GU164" s="28"/>
      <c r="GV164" s="28"/>
      <c r="GW164" s="28"/>
      <c r="GX164" s="28"/>
      <c r="GY164" s="28"/>
      <c r="GZ164" s="28"/>
      <c r="HA164" s="28"/>
      <c r="HB164" s="28"/>
      <c r="HC164" s="28"/>
      <c r="HD164" s="28"/>
      <c r="HE164" s="28"/>
      <c r="HF164" s="28"/>
      <c r="HG164" s="28"/>
      <c r="HH164" s="28"/>
      <c r="HI164" s="28"/>
      <c r="HJ164" s="28"/>
      <c r="HK164" s="28"/>
      <c r="HL164" s="28"/>
    </row>
    <row r="165" spans="1:220" ht="15" customHeight="1">
      <c r="A165" s="31">
        <v>3</v>
      </c>
      <c r="B165" s="105" t="str">
        <f>VLOOKUP(Ruimtestaat[[#This Row],[Code]],Locaties[[Code]:[Locatie]],2,FALSE)</f>
        <v>Sport IKC Het Startblok</v>
      </c>
      <c r="C165" s="105" t="str">
        <f>VLOOKUP(Ruimtestaat[[#This Row],[Code]],Locaties[[#All],[Code]:[Adres]],4,FALSE)</f>
        <v>Klapstraat 205</v>
      </c>
      <c r="D165" s="105" t="str">
        <f>VLOOKUP(Ruimtestaat[[#This Row],[Code]],Locaties[[#All],[Code]:[Postcode]],5,FALSE)</f>
        <v>6931 CH</v>
      </c>
      <c r="E165" s="105" t="str">
        <f>VLOOKUP(Ruimtestaat[[#This Row],[Code]],Locaties[#All],6,FALSE)</f>
        <v>Westervoort</v>
      </c>
      <c r="F165" s="73" t="s">
        <v>1796</v>
      </c>
      <c r="G165" s="73"/>
      <c r="H165" s="31" t="s">
        <v>1800</v>
      </c>
      <c r="I165" s="113" t="s">
        <v>1741</v>
      </c>
      <c r="J165" s="31">
        <v>16</v>
      </c>
      <c r="K165" s="113" t="str">
        <f>VLOOKUP(Ruimtestaat[[#This Row],[Ruimte code]],Ruimtegroepen[[#All],[Code]:[Ruimte omschrijving]],2,FALSE)</f>
        <v>Leslokalen</v>
      </c>
      <c r="L165" s="73" t="s">
        <v>102</v>
      </c>
      <c r="M165" s="273" t="s">
        <v>120</v>
      </c>
      <c r="N165" s="106">
        <v>54</v>
      </c>
      <c r="O165" s="112"/>
      <c r="P165" s="73"/>
      <c r="Q165" s="107" t="str">
        <f>VLOOKUP(Ruimtestaat[[#This Row],[Ruimte code]],Ruimtegroepen[],4,FALSE)</f>
        <v>Le</v>
      </c>
      <c r="R165" s="73">
        <v>40</v>
      </c>
      <c r="S165" s="73" t="s">
        <v>2</v>
      </c>
      <c r="T165" s="73">
        <f>IF(R165&gt;0,IF(RIGHT(Ruimtestaat[[#This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5" s="73">
        <f>IF(T165&gt;0,VLOOKUP($J165,Ruimtegroepen[],3,FALSE)*VLOOKUP($L165,Vloersoorten[],3,FALSE)*VLOOKUP($S165,Frequenties[],3,FALSE)*VLOOKUP($A165,Locaties[],3,FALSE),0)</f>
        <v>0</v>
      </c>
      <c r="V165" s="73">
        <f>Ruimtestaat[[#This Row],[Uitvoeringen werkdagen]]*Ruimtestaat[[#This Row],[Oppervlak (netto)]]</f>
        <v>10800</v>
      </c>
      <c r="W165" s="108">
        <f>IF(U165&gt;0,Ruimtestaat[[#This Row],[Prest. (m2 /jaar) werkdagen]]/Ruimtestaat[[#This Row],[Norm (m2/uur) werkdagen]],0)</f>
        <v>0</v>
      </c>
      <c r="X165" s="109">
        <f>Ruimtestaat[[#This Row],[uren / jaar werkdagen]]*Tariefsopbouw!$E$35</f>
        <v>0</v>
      </c>
      <c r="Y165" s="73"/>
      <c r="Z165" s="73">
        <f>IF(Ruimtestaat[[#This Row],[Frequentie weekend]]&gt;0,VALUE(LEFT(Y165,1))*R165,0)</f>
        <v>0</v>
      </c>
      <c r="AA165" s="72">
        <f>IF($Z165&gt;0,VLOOKUP($J165,Ruimtegroepen[],3,FALSE)*VLOOKUP($L165,Vloersoorten[],3,FALSE)*VLOOKUP($Y165,Frequenties[],3,FALSE)*VLOOKUP(Ruimtestaat[[#This Row],[Code]],Locaties[],3,FALSE),0)</f>
        <v>0</v>
      </c>
      <c r="AB165" s="72">
        <f>Ruimtestaat[[#This Row],[Uitvoeringen weekend]]*Ruimtestaat[[#This Row],[Oppervlak (netto)]]</f>
        <v>0</v>
      </c>
      <c r="AC165" s="72">
        <f>IF(AA165&gt;0,Ruimtestaat[[#This Row],[Prest. (m2 /jaar) weekend]]/Ruimtestaat[[#This Row],[Norm (m2/uur) weekend]],0)</f>
        <v>0</v>
      </c>
      <c r="AD165" s="109">
        <f>Ruimtestaat[[#This Row],[uren / jaar weekend]]*Tariefsopbouw!$D$40</f>
        <v>0</v>
      </c>
      <c r="AE165" s="108">
        <f>Ruimtestaat[[#This Row],[Prest. (m2 /jaar) weekend]]+Ruimtestaat[[#This Row],[Prest. (m2 /jaar) werkdagen]]</f>
        <v>10800</v>
      </c>
      <c r="AF165" s="108">
        <f>Ruimtestaat[[#This Row],[uren / jaar weekend]]+Ruimtestaat[[#This Row],[uren / jaar werkdagen]]</f>
        <v>0</v>
      </c>
      <c r="AG165" s="103">
        <f>Ruimtestaat[[#This Row],[kosten / jaar weekend]]+Ruimtestaat[[#This Row],[kosten / jaar werkdagen]]</f>
        <v>0</v>
      </c>
      <c r="AH165" s="103"/>
      <c r="AI165" s="110" t="str">
        <f>IF(Ruimtestaat[[#This Row],[Frequentie werkdagen]]="","",_xlfn.CONCAT(Ruimtestaat[[#This Row],[Ruimte code]],"-",Ruimtestaat[[#This Row],[Frequentie werkdagen]]," ",Ruimtestaat[[#This Row],[Vloer code]]))</f>
        <v>16-5w P</v>
      </c>
      <c r="AJ165" s="114" t="str">
        <f>_xlfn.IFNA(VLOOKUP($AI165,Programma!$F$3:$G$1101,2,0),"")</f>
        <v>_</v>
      </c>
      <c r="AK165" s="114" t="str">
        <f>_xlfn.IFNA(VLOOKUP($AI165,Programma!$F$3:$H$1101,3,0),"")</f>
        <v>_</v>
      </c>
      <c r="AL165" s="114" t="str">
        <f>_xlfn.IFNA(VLOOKUP($AI165,Programma!$F$3:$I$1101,4,0),"")</f>
        <v>4w</v>
      </c>
      <c r="AM165" s="114" t="str">
        <f>_xlfn.IFNA(VLOOKUP($AI165,Programma!$F$3:$J$1101,5,0),"")</f>
        <v>1w</v>
      </c>
      <c r="AN165" s="114" t="str">
        <f>_xlfn.IFNA(VLOOKUP($AI165,Programma!$F$3:$K$1101,6,0),"")</f>
        <v>1m</v>
      </c>
      <c r="AO165" s="114" t="str">
        <f>_xlfn.IFNA(VLOOKUP($AI165,Programma!$F$3:$L$1101,7,0),"")</f>
        <v>_</v>
      </c>
      <c r="AP165" s="114" t="str">
        <f>_xlfn.IFNA(VLOOKUP($AI165,Programma!$F$3:$M$1101,8,0),"")</f>
        <v>_</v>
      </c>
      <c r="AQ165" s="114" t="str">
        <f>_xlfn.IFNA(VLOOKUP($AI165,Programma!$F$3:$N$1101,9,0),"")</f>
        <v>_</v>
      </c>
      <c r="AR165" s="114" t="str">
        <f>_xlfn.IFNA(VLOOKUP($AI165,Programma!$F$3:$O$1101,10,0),"")</f>
        <v>5w</v>
      </c>
      <c r="AS165" s="114" t="str">
        <f>_xlfn.IFNA(VLOOKUP($AI165,Programma!$F$3:$P$1101,11,0),"")</f>
        <v>5w</v>
      </c>
      <c r="AT165" s="114" t="str">
        <f>_xlfn.IFNA(VLOOKUP($AI165,Programma!$F$3:$Q$1101,12,0),"")</f>
        <v>1w</v>
      </c>
      <c r="AU165" s="114" t="str">
        <f>_xlfn.IFNA(VLOOKUP($AI165,Programma!$F$3:$R$1101,13,0),"")</f>
        <v>1w</v>
      </c>
      <c r="AV165" s="114" t="str">
        <f>_xlfn.IFNA(VLOOKUP($AI165,Programma!$F$3:$S$1101,14,0),"")</f>
        <v>1m</v>
      </c>
      <c r="AW165" s="114" t="str">
        <f>_xlfn.IFNA(VLOOKUP($AI165,Programma!$F$3:$T$1101,15,0),"")</f>
        <v>2j</v>
      </c>
      <c r="AX165" s="114" t="str">
        <f>_xlfn.IFNA(VLOOKUP($AI165,Programma!$F$3:$U$1101,16,0),"")</f>
        <v>1j</v>
      </c>
      <c r="AY165" s="114" t="str">
        <f>_xlfn.IFNA(VLOOKUP($AI165,Programma!$F$3:$V$1101,17,0),"")</f>
        <v>_</v>
      </c>
      <c r="AZ165" s="114" t="str">
        <f>_xlfn.IFNA(VLOOKUP($AI165,Programma!$F$3:$W$1101,18,0),"")</f>
        <v>_</v>
      </c>
      <c r="BA165" s="114" t="str">
        <f>_xlfn.IFNA(VLOOKUP($AI165,Programma!$F$3:$X$1101,19,0),"")</f>
        <v>_</v>
      </c>
      <c r="BB165" s="114" t="str">
        <f>_xlfn.IFNA(VLOOKUP($AI165,Programma!$F$3:$Y$1101,20,0),"")</f>
        <v>_</v>
      </c>
      <c r="BC165" s="111"/>
      <c r="BD165" s="110" t="str">
        <f>IF(Ruimtestaat[[#This Row],[Frequentie weekend]]="","",_xlfn.CONCAT(Ruimtestaat[[#This Row],[Ruimte code]],"-",Ruimtestaat[[#This Row],[Frequentie weekend]]," ",Ruimtestaat[[#This Row],[Vloer code]]))</f>
        <v/>
      </c>
      <c r="BE165" s="114" t="str">
        <f>_xlfn.IFNA(VLOOKUP($BD165,Programma!$F$3:$G$1101,2,0),"")</f>
        <v/>
      </c>
      <c r="BF165" s="114" t="str">
        <f>_xlfn.IFNA(VLOOKUP($BD165,Programma!$F$3:$H$1101,3,0),"")</f>
        <v/>
      </c>
      <c r="BG165" s="114" t="str">
        <f>_xlfn.IFNA(VLOOKUP($BD165,Programma!$F$3:$I$1101,4,0),"")</f>
        <v/>
      </c>
      <c r="BH165" s="114" t="str">
        <f>_xlfn.IFNA(VLOOKUP($BD165,Programma!$F$3:$J$1101,5,0),"")</f>
        <v/>
      </c>
      <c r="BI165" s="114" t="str">
        <f>_xlfn.IFNA(VLOOKUP($BD165,Programma!$F$3:$K$1101,6,0),"")</f>
        <v/>
      </c>
      <c r="BJ165" s="114" t="str">
        <f>_xlfn.IFNA(VLOOKUP($BD165,Programma!$F$3:$L$1101,7,0),"")</f>
        <v/>
      </c>
      <c r="BK165" s="114" t="str">
        <f>_xlfn.IFNA(VLOOKUP($BD165,Programma!$F$3:$M$1101,8,0),"")</f>
        <v/>
      </c>
      <c r="BL165" s="114" t="str">
        <f>_xlfn.IFNA(VLOOKUP($BD165,Programma!$F$3:$N$1101,9,0),"")</f>
        <v/>
      </c>
      <c r="BM165" s="114" t="str">
        <f>_xlfn.IFNA(VLOOKUP($BD165,Programma!$F$3:$O$1101,10,0),"")</f>
        <v/>
      </c>
      <c r="BN165" s="114" t="str">
        <f>_xlfn.IFNA(VLOOKUP($BD165,Programma!$F$3:$P$1101,11,0),"")</f>
        <v/>
      </c>
      <c r="BO165" s="114" t="str">
        <f>_xlfn.IFNA(VLOOKUP($BD165,Programma!$F$3:$Q$1101,12,0),"")</f>
        <v/>
      </c>
      <c r="BP165" s="114" t="str">
        <f>_xlfn.IFNA(VLOOKUP($BD165,Programma!$F$3:$R$1101,13,0),"")</f>
        <v/>
      </c>
      <c r="BQ165" s="114" t="str">
        <f>_xlfn.IFNA(VLOOKUP($BD165,Programma!$F$3:$S$1101,14,0),"")</f>
        <v/>
      </c>
      <c r="BR165" s="114" t="str">
        <f>_xlfn.IFNA(VLOOKUP($BD165,Programma!$F$3:$T$1101,15,0),"")</f>
        <v/>
      </c>
      <c r="BS165" s="114" t="str">
        <f>_xlfn.IFNA(VLOOKUP($BD165,Programma!$F$3:$U$1101,16,0),"")</f>
        <v/>
      </c>
      <c r="BT165" s="114" t="str">
        <f>_xlfn.IFNA(VLOOKUP($BD165,Programma!$F$3:$V$1101,17,0),"")</f>
        <v/>
      </c>
      <c r="BU165" s="114" t="str">
        <f>_xlfn.IFNA(VLOOKUP($BD165,Programma!$F$3:$W$1101,18,0),"")</f>
        <v/>
      </c>
      <c r="BV165" s="114" t="str">
        <f>_xlfn.IFNA(VLOOKUP($BD165,Programma!$F$3:$X$1101,19,0),"")</f>
        <v/>
      </c>
      <c r="BW165" s="114" t="str">
        <f>_xlfn.IFNA(VLOOKUP($BD165,Programma!$F$3:$Y$1101,20,0),"")</f>
        <v/>
      </c>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c r="EO165" s="28"/>
      <c r="EP165" s="28"/>
      <c r="EQ165" s="28"/>
      <c r="ER165" s="28"/>
      <c r="ES165" s="28"/>
      <c r="ET165" s="28"/>
      <c r="EU165" s="28"/>
      <c r="EV165" s="28"/>
      <c r="EW165" s="28"/>
      <c r="EX165" s="28"/>
      <c r="EY165" s="28"/>
      <c r="EZ165" s="28"/>
      <c r="FA165" s="28"/>
      <c r="FB165" s="28"/>
      <c r="FC165" s="28"/>
      <c r="FD165" s="28"/>
      <c r="FE165" s="28"/>
      <c r="FF165" s="28"/>
      <c r="FG165" s="28"/>
      <c r="FH165" s="28"/>
      <c r="FI165" s="28"/>
      <c r="FJ165" s="28"/>
      <c r="FK165" s="28"/>
      <c r="FL165" s="28"/>
      <c r="FM165" s="28"/>
      <c r="FN165" s="28"/>
      <c r="FO165" s="28"/>
      <c r="FP165" s="28"/>
      <c r="FQ165" s="28"/>
      <c r="FR165" s="28"/>
      <c r="FS165" s="28"/>
      <c r="FT165" s="28"/>
      <c r="FU165" s="28"/>
      <c r="FV165" s="28"/>
      <c r="FW165" s="28"/>
      <c r="FX165" s="28"/>
      <c r="FY165" s="28"/>
      <c r="FZ165" s="28"/>
      <c r="GA165" s="28"/>
      <c r="GB165" s="28"/>
      <c r="GC165" s="28"/>
      <c r="GD165" s="28"/>
      <c r="GE165" s="28"/>
      <c r="GF165" s="28"/>
      <c r="GG165" s="28"/>
      <c r="GH165" s="28"/>
      <c r="GI165" s="28"/>
      <c r="GJ165" s="28"/>
      <c r="GK165" s="28"/>
      <c r="GL165" s="28"/>
      <c r="GM165" s="28"/>
      <c r="GN165" s="28"/>
      <c r="GO165" s="28"/>
      <c r="GP165" s="28"/>
      <c r="GQ165" s="28"/>
      <c r="GR165" s="28"/>
      <c r="GS165" s="28"/>
      <c r="GT165" s="28"/>
      <c r="GU165" s="28"/>
      <c r="GV165" s="28"/>
      <c r="GW165" s="28"/>
      <c r="GX165" s="28"/>
      <c r="GY165" s="28"/>
      <c r="GZ165" s="28"/>
      <c r="HA165" s="28"/>
      <c r="HB165" s="28"/>
      <c r="HC165" s="28"/>
      <c r="HD165" s="28"/>
      <c r="HE165" s="28"/>
      <c r="HF165" s="28"/>
      <c r="HG165" s="28"/>
      <c r="HH165" s="28"/>
      <c r="HI165" s="28"/>
      <c r="HJ165" s="28"/>
      <c r="HK165" s="28"/>
      <c r="HL165" s="28"/>
    </row>
    <row r="166" spans="1:220" ht="15" customHeight="1">
      <c r="A166" s="31">
        <v>3</v>
      </c>
      <c r="B166" s="105" t="str">
        <f>VLOOKUP(Ruimtestaat[[#This Row],[Code]],Locaties[[Code]:[Locatie]],2,FALSE)</f>
        <v>Sport IKC Het Startblok</v>
      </c>
      <c r="C166" s="105" t="str">
        <f>VLOOKUP(Ruimtestaat[[#This Row],[Code]],Locaties[[#All],[Code]:[Adres]],4,FALSE)</f>
        <v>Klapstraat 205</v>
      </c>
      <c r="D166" s="105" t="str">
        <f>VLOOKUP(Ruimtestaat[[#This Row],[Code]],Locaties[[#All],[Code]:[Postcode]],5,FALSE)</f>
        <v>6931 CH</v>
      </c>
      <c r="E166" s="105" t="str">
        <f>VLOOKUP(Ruimtestaat[[#This Row],[Code]],Locaties[#All],6,FALSE)</f>
        <v>Westervoort</v>
      </c>
      <c r="F166" s="73" t="s">
        <v>1796</v>
      </c>
      <c r="G166" s="73"/>
      <c r="H166" s="31" t="s">
        <v>1801</v>
      </c>
      <c r="I166" s="113" t="s">
        <v>1797</v>
      </c>
      <c r="J166" s="31">
        <v>5</v>
      </c>
      <c r="K166" s="113" t="str">
        <f>VLOOKUP(Ruimtestaat[[#This Row],[Ruimte code]],Ruimtegroepen[[#All],[Code]:[Ruimte omschrijving]],2,FALSE)</f>
        <v>Sanitair</v>
      </c>
      <c r="L166" s="73" t="s">
        <v>102</v>
      </c>
      <c r="M166" s="273" t="s">
        <v>120</v>
      </c>
      <c r="N166" s="106">
        <v>12</v>
      </c>
      <c r="O166" s="112"/>
      <c r="P166" s="112"/>
      <c r="Q166" s="107" t="str">
        <f>VLOOKUP(Ruimtestaat[[#This Row],[Ruimte code]],Ruimtegroepen[],4,FALSE)</f>
        <v>Sa</v>
      </c>
      <c r="R166" s="73">
        <v>40</v>
      </c>
      <c r="S166" s="73" t="s">
        <v>2</v>
      </c>
      <c r="T166" s="73">
        <f>IF(R166&gt;0,IF(RIGHT(Ruimtestaat[[#This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6" s="73">
        <f>IF(T166&gt;0,VLOOKUP($J166,Ruimtegroepen[],3,FALSE)*VLOOKUP($L166,Vloersoorten[],3,FALSE)*VLOOKUP($S166,Frequenties[],3,FALSE)*VLOOKUP($A166,Locaties[],3,FALSE),0)</f>
        <v>0</v>
      </c>
      <c r="V166" s="73">
        <f>Ruimtestaat[[#This Row],[Uitvoeringen werkdagen]]*Ruimtestaat[[#This Row],[Oppervlak (netto)]]</f>
        <v>2400</v>
      </c>
      <c r="W166" s="108">
        <f>IF(U166&gt;0,Ruimtestaat[[#This Row],[Prest. (m2 /jaar) werkdagen]]/Ruimtestaat[[#This Row],[Norm (m2/uur) werkdagen]],0)</f>
        <v>0</v>
      </c>
      <c r="X166" s="109">
        <f>Ruimtestaat[[#This Row],[uren / jaar werkdagen]]*Tariefsopbouw!$E$35</f>
        <v>0</v>
      </c>
      <c r="Y166" s="73"/>
      <c r="Z166" s="73">
        <f>IF(Ruimtestaat[[#This Row],[Frequentie weekend]]&gt;0,VALUE(LEFT(Y166,1))*R166,0)</f>
        <v>0</v>
      </c>
      <c r="AA166" s="72">
        <f>IF($Z166&gt;0,VLOOKUP($J166,Ruimtegroepen[],3,FALSE)*VLOOKUP($L166,Vloersoorten[],3,FALSE)*VLOOKUP($Y166,Frequenties[],3,FALSE)*VLOOKUP(Ruimtestaat[[#This Row],[Code]],Locaties[],3,FALSE),0)</f>
        <v>0</v>
      </c>
      <c r="AB166" s="72">
        <f>Ruimtestaat[[#This Row],[Uitvoeringen weekend]]*Ruimtestaat[[#This Row],[Oppervlak (netto)]]</f>
        <v>0</v>
      </c>
      <c r="AC166" s="72">
        <f>IF(AA166&gt;0,Ruimtestaat[[#This Row],[Prest. (m2 /jaar) weekend]]/Ruimtestaat[[#This Row],[Norm (m2/uur) weekend]],0)</f>
        <v>0</v>
      </c>
      <c r="AD166" s="109">
        <f>Ruimtestaat[[#This Row],[uren / jaar weekend]]*Tariefsopbouw!$D$40</f>
        <v>0</v>
      </c>
      <c r="AE166" s="108">
        <f>Ruimtestaat[[#This Row],[Prest. (m2 /jaar) weekend]]+Ruimtestaat[[#This Row],[Prest. (m2 /jaar) werkdagen]]</f>
        <v>2400</v>
      </c>
      <c r="AF166" s="108">
        <f>Ruimtestaat[[#This Row],[uren / jaar weekend]]+Ruimtestaat[[#This Row],[uren / jaar werkdagen]]</f>
        <v>0</v>
      </c>
      <c r="AG166" s="103">
        <f>Ruimtestaat[[#This Row],[kosten / jaar weekend]]+Ruimtestaat[[#This Row],[kosten / jaar werkdagen]]</f>
        <v>0</v>
      </c>
      <c r="AH166" s="103"/>
      <c r="AI166" s="110" t="str">
        <f>IF(Ruimtestaat[[#This Row],[Frequentie werkdagen]]="","",_xlfn.CONCAT(Ruimtestaat[[#This Row],[Ruimte code]],"-",Ruimtestaat[[#This Row],[Frequentie werkdagen]]," ",Ruimtestaat[[#This Row],[Vloer code]]))</f>
        <v>5-5w P</v>
      </c>
      <c r="AJ166" s="114" t="str">
        <f>_xlfn.IFNA(VLOOKUP($AI166,Programma!$F$3:$G$1101,2,0),"")</f>
        <v>_</v>
      </c>
      <c r="AK166" s="114" t="str">
        <f>_xlfn.IFNA(VLOOKUP($AI166,Programma!$F$3:$H$1101,3,0),"")</f>
        <v>_</v>
      </c>
      <c r="AL166" s="114" t="str">
        <f>_xlfn.IFNA(VLOOKUP($AI166,Programma!$F$3:$I$1101,4,0),"")</f>
        <v>_</v>
      </c>
      <c r="AM166" s="114" t="str">
        <f>_xlfn.IFNA(VLOOKUP($AI166,Programma!$F$3:$J$1101,5,0),"")</f>
        <v>4w</v>
      </c>
      <c r="AN166" s="114" t="str">
        <f>_xlfn.IFNA(VLOOKUP($AI166,Programma!$F$3:$K$1101,6,0),"")</f>
        <v>1w</v>
      </c>
      <c r="AO166" s="114" t="str">
        <f>_xlfn.IFNA(VLOOKUP($AI166,Programma!$F$3:$L$1101,7,0),"")</f>
        <v>_</v>
      </c>
      <c r="AP166" s="114" t="str">
        <f>_xlfn.IFNA(VLOOKUP($AI166,Programma!$F$3:$M$1101,8,0),"")</f>
        <v>_</v>
      </c>
      <c r="AQ166" s="114" t="str">
        <f>_xlfn.IFNA(VLOOKUP($AI166,Programma!$F$3:$N$1101,9,0),"")</f>
        <v>_</v>
      </c>
      <c r="AR166" s="114" t="str">
        <f>_xlfn.IFNA(VLOOKUP($AI166,Programma!$F$3:$O$1101,10,0),"")</f>
        <v>_</v>
      </c>
      <c r="AS166" s="114" t="str">
        <f>_xlfn.IFNA(VLOOKUP($AI166,Programma!$F$3:$P$1101,11,0),"")</f>
        <v>_</v>
      </c>
      <c r="AT166" s="114" t="str">
        <f>_xlfn.IFNA(VLOOKUP($AI166,Programma!$F$3:$Q$1101,12,0),"")</f>
        <v>_</v>
      </c>
      <c r="AU166" s="114" t="str">
        <f>_xlfn.IFNA(VLOOKUP($AI166,Programma!$F$3:$R$1101,13,0),"")</f>
        <v>_</v>
      </c>
      <c r="AV166" s="114" t="str">
        <f>_xlfn.IFNA(VLOOKUP($AI166,Programma!$F$3:$S$1101,14,0),"")</f>
        <v>_</v>
      </c>
      <c r="AW166" s="114" t="str">
        <f>_xlfn.IFNA(VLOOKUP($AI166,Programma!$F$3:$T$1101,15,0),"")</f>
        <v>_</v>
      </c>
      <c r="AX166" s="114" t="str">
        <f>_xlfn.IFNA(VLOOKUP($AI166,Programma!$F$3:$U$1101,16,0),"")</f>
        <v>_</v>
      </c>
      <c r="AY166" s="114" t="str">
        <f>_xlfn.IFNA(VLOOKUP($AI166,Programma!$F$3:$V$1101,17,0),"")</f>
        <v>_</v>
      </c>
      <c r="AZ166" s="114" t="str">
        <f>_xlfn.IFNA(VLOOKUP($AI166,Programma!$F$3:$W$1101,18,0),"")</f>
        <v>4w</v>
      </c>
      <c r="BA166" s="114" t="str">
        <f>_xlfn.IFNA(VLOOKUP($AI166,Programma!$F$3:$X$1101,19,0),"")</f>
        <v>1w</v>
      </c>
      <c r="BB166" s="114" t="str">
        <f>_xlfn.IFNA(VLOOKUP($AI166,Programma!$F$3:$Y$1101,20,0),"")</f>
        <v>_</v>
      </c>
      <c r="BC166" s="111"/>
      <c r="BD166" s="110" t="str">
        <f>IF(Ruimtestaat[[#This Row],[Frequentie weekend]]="","",_xlfn.CONCAT(Ruimtestaat[[#This Row],[Ruimte code]],"-",Ruimtestaat[[#This Row],[Frequentie weekend]]," ",Ruimtestaat[[#This Row],[Vloer code]]))</f>
        <v/>
      </c>
      <c r="BE166" s="114" t="str">
        <f>_xlfn.IFNA(VLOOKUP($BD166,Programma!$F$3:$G$1101,2,0),"")</f>
        <v/>
      </c>
      <c r="BF166" s="114" t="str">
        <f>_xlfn.IFNA(VLOOKUP($BD166,Programma!$F$3:$H$1101,3,0),"")</f>
        <v/>
      </c>
      <c r="BG166" s="114" t="str">
        <f>_xlfn.IFNA(VLOOKUP($BD166,Programma!$F$3:$I$1101,4,0),"")</f>
        <v/>
      </c>
      <c r="BH166" s="114" t="str">
        <f>_xlfn.IFNA(VLOOKUP($BD166,Programma!$F$3:$J$1101,5,0),"")</f>
        <v/>
      </c>
      <c r="BI166" s="114" t="str">
        <f>_xlfn.IFNA(VLOOKUP($BD166,Programma!$F$3:$K$1101,6,0),"")</f>
        <v/>
      </c>
      <c r="BJ166" s="114" t="str">
        <f>_xlfn.IFNA(VLOOKUP($BD166,Programma!$F$3:$L$1101,7,0),"")</f>
        <v/>
      </c>
      <c r="BK166" s="114" t="str">
        <f>_xlfn.IFNA(VLOOKUP($BD166,Programma!$F$3:$M$1101,8,0),"")</f>
        <v/>
      </c>
      <c r="BL166" s="114" t="str">
        <f>_xlfn.IFNA(VLOOKUP($BD166,Programma!$F$3:$N$1101,9,0),"")</f>
        <v/>
      </c>
      <c r="BM166" s="114" t="str">
        <f>_xlfn.IFNA(VLOOKUP($BD166,Programma!$F$3:$O$1101,10,0),"")</f>
        <v/>
      </c>
      <c r="BN166" s="114" t="str">
        <f>_xlfn.IFNA(VLOOKUP($BD166,Programma!$F$3:$P$1101,11,0),"")</f>
        <v/>
      </c>
      <c r="BO166" s="114" t="str">
        <f>_xlfn.IFNA(VLOOKUP($BD166,Programma!$F$3:$Q$1101,12,0),"")</f>
        <v/>
      </c>
      <c r="BP166" s="114" t="str">
        <f>_xlfn.IFNA(VLOOKUP($BD166,Programma!$F$3:$R$1101,13,0),"")</f>
        <v/>
      </c>
      <c r="BQ166" s="114" t="str">
        <f>_xlfn.IFNA(VLOOKUP($BD166,Programma!$F$3:$S$1101,14,0),"")</f>
        <v/>
      </c>
      <c r="BR166" s="114" t="str">
        <f>_xlfn.IFNA(VLOOKUP($BD166,Programma!$F$3:$T$1101,15,0),"")</f>
        <v/>
      </c>
      <c r="BS166" s="114" t="str">
        <f>_xlfn.IFNA(VLOOKUP($BD166,Programma!$F$3:$U$1101,16,0),"")</f>
        <v/>
      </c>
      <c r="BT166" s="114" t="str">
        <f>_xlfn.IFNA(VLOOKUP($BD166,Programma!$F$3:$V$1101,17,0),"")</f>
        <v/>
      </c>
      <c r="BU166" s="114" t="str">
        <f>_xlfn.IFNA(VLOOKUP($BD166,Programma!$F$3:$W$1101,18,0),"")</f>
        <v/>
      </c>
      <c r="BV166" s="114" t="str">
        <f>_xlfn.IFNA(VLOOKUP($BD166,Programma!$F$3:$X$1101,19,0),"")</f>
        <v/>
      </c>
      <c r="BW166" s="114" t="str">
        <f>_xlfn.IFNA(VLOOKUP($BD166,Programma!$F$3:$Y$1101,20,0),"")</f>
        <v/>
      </c>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c r="HL166" s="28"/>
    </row>
    <row r="167" spans="1:220" ht="15" customHeight="1">
      <c r="A167" s="31">
        <v>3</v>
      </c>
      <c r="B167" s="105" t="str">
        <f>VLOOKUP(Ruimtestaat[[#This Row],[Code]],Locaties[[Code]:[Locatie]],2,FALSE)</f>
        <v>Sport IKC Het Startblok</v>
      </c>
      <c r="C167" s="105" t="str">
        <f>VLOOKUP(Ruimtestaat[[#This Row],[Code]],Locaties[[#All],[Code]:[Adres]],4,FALSE)</f>
        <v>Klapstraat 205</v>
      </c>
      <c r="D167" s="105" t="str">
        <f>VLOOKUP(Ruimtestaat[[#This Row],[Code]],Locaties[[#All],[Code]:[Postcode]],5,FALSE)</f>
        <v>6931 CH</v>
      </c>
      <c r="E167" s="105" t="str">
        <f>VLOOKUP(Ruimtestaat[[#This Row],[Code]],Locaties[#All],6,FALSE)</f>
        <v>Westervoort</v>
      </c>
      <c r="F167" s="73" t="s">
        <v>1796</v>
      </c>
      <c r="G167" s="73"/>
      <c r="H167" s="31" t="s">
        <v>1802</v>
      </c>
      <c r="I167" s="113" t="s">
        <v>1742</v>
      </c>
      <c r="J167" s="31">
        <v>16</v>
      </c>
      <c r="K167" s="113" t="str">
        <f>VLOOKUP(Ruimtestaat[[#This Row],[Ruimte code]],Ruimtegroepen[[#All],[Code]:[Ruimte omschrijving]],2,FALSE)</f>
        <v>Leslokalen</v>
      </c>
      <c r="L167" s="73" t="s">
        <v>102</v>
      </c>
      <c r="M167" s="273" t="s">
        <v>120</v>
      </c>
      <c r="N167" s="106">
        <v>54</v>
      </c>
      <c r="O167" s="112"/>
      <c r="P167" s="112"/>
      <c r="Q167" s="107" t="str">
        <f>VLOOKUP(Ruimtestaat[[#This Row],[Ruimte code]],Ruimtegroepen[],4,FALSE)</f>
        <v>Le</v>
      </c>
      <c r="R167" s="73">
        <v>40</v>
      </c>
      <c r="S167" s="73" t="s">
        <v>2</v>
      </c>
      <c r="T167" s="73">
        <f>IF(R167&gt;0,IF(RIGHT(Ruimtestaat[[#This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7" s="73">
        <f>IF(T167&gt;0,VLOOKUP($J167,Ruimtegroepen[],3,FALSE)*VLOOKUP($L167,Vloersoorten[],3,FALSE)*VLOOKUP($S167,Frequenties[],3,FALSE)*VLOOKUP($A167,Locaties[],3,FALSE),0)</f>
        <v>0</v>
      </c>
      <c r="V167" s="73">
        <f>Ruimtestaat[[#This Row],[Uitvoeringen werkdagen]]*Ruimtestaat[[#This Row],[Oppervlak (netto)]]</f>
        <v>10800</v>
      </c>
      <c r="W167" s="108">
        <f>IF(U167&gt;0,Ruimtestaat[[#This Row],[Prest. (m2 /jaar) werkdagen]]/Ruimtestaat[[#This Row],[Norm (m2/uur) werkdagen]],0)</f>
        <v>0</v>
      </c>
      <c r="X167" s="109">
        <f>Ruimtestaat[[#This Row],[uren / jaar werkdagen]]*Tariefsopbouw!$E$35</f>
        <v>0</v>
      </c>
      <c r="Y167" s="73"/>
      <c r="Z167" s="73">
        <f>IF(Ruimtestaat[[#This Row],[Frequentie weekend]]&gt;0,VALUE(LEFT(Y167,1))*R167,0)</f>
        <v>0</v>
      </c>
      <c r="AA167" s="72">
        <f>IF($Z167&gt;0,VLOOKUP($J167,Ruimtegroepen[],3,FALSE)*VLOOKUP($L167,Vloersoorten[],3,FALSE)*VLOOKUP($Y167,Frequenties[],3,FALSE)*VLOOKUP(Ruimtestaat[[#This Row],[Code]],Locaties[],3,FALSE),0)</f>
        <v>0</v>
      </c>
      <c r="AB167" s="72">
        <f>Ruimtestaat[[#This Row],[Uitvoeringen weekend]]*Ruimtestaat[[#This Row],[Oppervlak (netto)]]</f>
        <v>0</v>
      </c>
      <c r="AC167" s="72">
        <f>IF(AA167&gt;0,Ruimtestaat[[#This Row],[Prest. (m2 /jaar) weekend]]/Ruimtestaat[[#This Row],[Norm (m2/uur) weekend]],0)</f>
        <v>0</v>
      </c>
      <c r="AD167" s="109">
        <f>Ruimtestaat[[#This Row],[uren / jaar weekend]]*Tariefsopbouw!$D$40</f>
        <v>0</v>
      </c>
      <c r="AE167" s="108">
        <f>Ruimtestaat[[#This Row],[Prest. (m2 /jaar) weekend]]+Ruimtestaat[[#This Row],[Prest. (m2 /jaar) werkdagen]]</f>
        <v>10800</v>
      </c>
      <c r="AF167" s="108">
        <f>Ruimtestaat[[#This Row],[uren / jaar weekend]]+Ruimtestaat[[#This Row],[uren / jaar werkdagen]]</f>
        <v>0</v>
      </c>
      <c r="AG167" s="103">
        <f>Ruimtestaat[[#This Row],[kosten / jaar weekend]]+Ruimtestaat[[#This Row],[kosten / jaar werkdagen]]</f>
        <v>0</v>
      </c>
      <c r="AH167" s="103"/>
      <c r="AI167" s="110" t="str">
        <f>IF(Ruimtestaat[[#This Row],[Frequentie werkdagen]]="","",_xlfn.CONCAT(Ruimtestaat[[#This Row],[Ruimte code]],"-",Ruimtestaat[[#This Row],[Frequentie werkdagen]]," ",Ruimtestaat[[#This Row],[Vloer code]]))</f>
        <v>16-5w P</v>
      </c>
      <c r="AJ167" s="114" t="str">
        <f>_xlfn.IFNA(VLOOKUP($AI167,Programma!$F$3:$G$1101,2,0),"")</f>
        <v>_</v>
      </c>
      <c r="AK167" s="114" t="str">
        <f>_xlfn.IFNA(VLOOKUP($AI167,Programma!$F$3:$H$1101,3,0),"")</f>
        <v>_</v>
      </c>
      <c r="AL167" s="114" t="str">
        <f>_xlfn.IFNA(VLOOKUP($AI167,Programma!$F$3:$I$1101,4,0),"")</f>
        <v>4w</v>
      </c>
      <c r="AM167" s="114" t="str">
        <f>_xlfn.IFNA(VLOOKUP($AI167,Programma!$F$3:$J$1101,5,0),"")</f>
        <v>1w</v>
      </c>
      <c r="AN167" s="114" t="str">
        <f>_xlfn.IFNA(VLOOKUP($AI167,Programma!$F$3:$K$1101,6,0),"")</f>
        <v>1m</v>
      </c>
      <c r="AO167" s="114" t="str">
        <f>_xlfn.IFNA(VLOOKUP($AI167,Programma!$F$3:$L$1101,7,0),"")</f>
        <v>_</v>
      </c>
      <c r="AP167" s="114" t="str">
        <f>_xlfn.IFNA(VLOOKUP($AI167,Programma!$F$3:$M$1101,8,0),"")</f>
        <v>_</v>
      </c>
      <c r="AQ167" s="114" t="str">
        <f>_xlfn.IFNA(VLOOKUP($AI167,Programma!$F$3:$N$1101,9,0),"")</f>
        <v>_</v>
      </c>
      <c r="AR167" s="114" t="str">
        <f>_xlfn.IFNA(VLOOKUP($AI167,Programma!$F$3:$O$1101,10,0),"")</f>
        <v>5w</v>
      </c>
      <c r="AS167" s="114" t="str">
        <f>_xlfn.IFNA(VLOOKUP($AI167,Programma!$F$3:$P$1101,11,0),"")</f>
        <v>5w</v>
      </c>
      <c r="AT167" s="114" t="str">
        <f>_xlfn.IFNA(VLOOKUP($AI167,Programma!$F$3:$Q$1101,12,0),"")</f>
        <v>1w</v>
      </c>
      <c r="AU167" s="114" t="str">
        <f>_xlfn.IFNA(VLOOKUP($AI167,Programma!$F$3:$R$1101,13,0),"")</f>
        <v>1w</v>
      </c>
      <c r="AV167" s="114" t="str">
        <f>_xlfn.IFNA(VLOOKUP($AI167,Programma!$F$3:$S$1101,14,0),"")</f>
        <v>1m</v>
      </c>
      <c r="AW167" s="114" t="str">
        <f>_xlfn.IFNA(VLOOKUP($AI167,Programma!$F$3:$T$1101,15,0),"")</f>
        <v>2j</v>
      </c>
      <c r="AX167" s="114" t="str">
        <f>_xlfn.IFNA(VLOOKUP($AI167,Programma!$F$3:$U$1101,16,0),"")</f>
        <v>1j</v>
      </c>
      <c r="AY167" s="114" t="str">
        <f>_xlfn.IFNA(VLOOKUP($AI167,Programma!$F$3:$V$1101,17,0),"")</f>
        <v>_</v>
      </c>
      <c r="AZ167" s="114" t="str">
        <f>_xlfn.IFNA(VLOOKUP($AI167,Programma!$F$3:$W$1101,18,0),"")</f>
        <v>_</v>
      </c>
      <c r="BA167" s="114" t="str">
        <f>_xlfn.IFNA(VLOOKUP($AI167,Programma!$F$3:$X$1101,19,0),"")</f>
        <v>_</v>
      </c>
      <c r="BB167" s="114" t="str">
        <f>_xlfn.IFNA(VLOOKUP($AI167,Programma!$F$3:$Y$1101,20,0),"")</f>
        <v>_</v>
      </c>
      <c r="BC167" s="111"/>
      <c r="BD167" s="110" t="str">
        <f>IF(Ruimtestaat[[#This Row],[Frequentie weekend]]="","",_xlfn.CONCAT(Ruimtestaat[[#This Row],[Ruimte code]],"-",Ruimtestaat[[#This Row],[Frequentie weekend]]," ",Ruimtestaat[[#This Row],[Vloer code]]))</f>
        <v/>
      </c>
      <c r="BE167" s="114" t="str">
        <f>_xlfn.IFNA(VLOOKUP($BD167,Programma!$F$3:$G$1101,2,0),"")</f>
        <v/>
      </c>
      <c r="BF167" s="114" t="str">
        <f>_xlfn.IFNA(VLOOKUP($BD167,Programma!$F$3:$H$1101,3,0),"")</f>
        <v/>
      </c>
      <c r="BG167" s="114" t="str">
        <f>_xlfn.IFNA(VLOOKUP($BD167,Programma!$F$3:$I$1101,4,0),"")</f>
        <v/>
      </c>
      <c r="BH167" s="114" t="str">
        <f>_xlfn.IFNA(VLOOKUP($BD167,Programma!$F$3:$J$1101,5,0),"")</f>
        <v/>
      </c>
      <c r="BI167" s="114" t="str">
        <f>_xlfn.IFNA(VLOOKUP($BD167,Programma!$F$3:$K$1101,6,0),"")</f>
        <v/>
      </c>
      <c r="BJ167" s="114" t="str">
        <f>_xlfn.IFNA(VLOOKUP($BD167,Programma!$F$3:$L$1101,7,0),"")</f>
        <v/>
      </c>
      <c r="BK167" s="114" t="str">
        <f>_xlfn.IFNA(VLOOKUP($BD167,Programma!$F$3:$M$1101,8,0),"")</f>
        <v/>
      </c>
      <c r="BL167" s="114" t="str">
        <f>_xlfn.IFNA(VLOOKUP($BD167,Programma!$F$3:$N$1101,9,0),"")</f>
        <v/>
      </c>
      <c r="BM167" s="114" t="str">
        <f>_xlfn.IFNA(VLOOKUP($BD167,Programma!$F$3:$O$1101,10,0),"")</f>
        <v/>
      </c>
      <c r="BN167" s="114" t="str">
        <f>_xlfn.IFNA(VLOOKUP($BD167,Programma!$F$3:$P$1101,11,0),"")</f>
        <v/>
      </c>
      <c r="BO167" s="114" t="str">
        <f>_xlfn.IFNA(VLOOKUP($BD167,Programma!$F$3:$Q$1101,12,0),"")</f>
        <v/>
      </c>
      <c r="BP167" s="114" t="str">
        <f>_xlfn.IFNA(VLOOKUP($BD167,Programma!$F$3:$R$1101,13,0),"")</f>
        <v/>
      </c>
      <c r="BQ167" s="114" t="str">
        <f>_xlfn.IFNA(VLOOKUP($BD167,Programma!$F$3:$S$1101,14,0),"")</f>
        <v/>
      </c>
      <c r="BR167" s="114" t="str">
        <f>_xlfn.IFNA(VLOOKUP($BD167,Programma!$F$3:$T$1101,15,0),"")</f>
        <v/>
      </c>
      <c r="BS167" s="114" t="str">
        <f>_xlfn.IFNA(VLOOKUP($BD167,Programma!$F$3:$U$1101,16,0),"")</f>
        <v/>
      </c>
      <c r="BT167" s="114" t="str">
        <f>_xlfn.IFNA(VLOOKUP($BD167,Programma!$F$3:$V$1101,17,0),"")</f>
        <v/>
      </c>
      <c r="BU167" s="114" t="str">
        <f>_xlfn.IFNA(VLOOKUP($BD167,Programma!$F$3:$W$1101,18,0),"")</f>
        <v/>
      </c>
      <c r="BV167" s="114" t="str">
        <f>_xlfn.IFNA(VLOOKUP($BD167,Programma!$F$3:$X$1101,19,0),"")</f>
        <v/>
      </c>
      <c r="BW167" s="114" t="str">
        <f>_xlfn.IFNA(VLOOKUP($BD167,Programma!$F$3:$Y$1101,20,0),"")</f>
        <v/>
      </c>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c r="ET167" s="28"/>
      <c r="EU167" s="28"/>
      <c r="EV167" s="28"/>
      <c r="EW167" s="28"/>
      <c r="EX167" s="28"/>
      <c r="EY167" s="28"/>
      <c r="EZ167" s="28"/>
      <c r="FA167" s="28"/>
      <c r="FB167" s="28"/>
      <c r="FC167" s="28"/>
      <c r="FD167" s="28"/>
      <c r="FE167" s="28"/>
      <c r="FF167" s="28"/>
      <c r="FG167" s="28"/>
      <c r="FH167" s="28"/>
      <c r="FI167" s="28"/>
      <c r="FJ167" s="28"/>
      <c r="FK167" s="28"/>
      <c r="FL167" s="28"/>
      <c r="FM167" s="28"/>
      <c r="FN167" s="28"/>
      <c r="FO167" s="28"/>
      <c r="FP167" s="28"/>
      <c r="FQ167" s="28"/>
      <c r="FR167" s="28"/>
      <c r="FS167" s="28"/>
      <c r="FT167" s="28"/>
      <c r="FU167" s="28"/>
      <c r="FV167" s="28"/>
      <c r="FW167" s="28"/>
      <c r="FX167" s="28"/>
      <c r="FY167" s="28"/>
      <c r="FZ167" s="28"/>
      <c r="GA167" s="28"/>
      <c r="GB167" s="28"/>
      <c r="GC167" s="28"/>
      <c r="GD167" s="28"/>
      <c r="GE167" s="28"/>
      <c r="GF167" s="28"/>
      <c r="GG167" s="28"/>
      <c r="GH167" s="28"/>
      <c r="GI167" s="28"/>
      <c r="GJ167" s="28"/>
      <c r="GK167" s="28"/>
      <c r="GL167" s="28"/>
      <c r="GM167" s="28"/>
      <c r="GN167" s="28"/>
      <c r="GO167" s="28"/>
      <c r="GP167" s="28"/>
      <c r="GQ167" s="28"/>
      <c r="GR167" s="28"/>
      <c r="GS167" s="28"/>
      <c r="GT167" s="28"/>
      <c r="GU167" s="28"/>
      <c r="GV167" s="28"/>
      <c r="GW167" s="28"/>
      <c r="GX167" s="28"/>
      <c r="GY167" s="28"/>
      <c r="GZ167" s="28"/>
      <c r="HA167" s="28"/>
      <c r="HB167" s="28"/>
      <c r="HC167" s="28"/>
      <c r="HD167" s="28"/>
      <c r="HE167" s="28"/>
      <c r="HF167" s="28"/>
      <c r="HG167" s="28"/>
      <c r="HH167" s="28"/>
      <c r="HI167" s="28"/>
      <c r="HJ167" s="28"/>
      <c r="HK167" s="28"/>
      <c r="HL167" s="28"/>
    </row>
    <row r="168" spans="1:220" ht="15" customHeight="1">
      <c r="A168" s="31">
        <v>4</v>
      </c>
      <c r="B168" s="105" t="str">
        <f>VLOOKUP(Ruimtestaat[[#This Row],[Code]],Locaties[[Code]:[Locatie]],2,FALSE)</f>
        <v>IKC De Brug</v>
      </c>
      <c r="C168" s="105" t="str">
        <f>VLOOKUP(Ruimtestaat[[#This Row],[Code]],Locaties[[#All],[Code]:[Adres]],4,FALSE)</f>
        <v>Schoolstraat 7</v>
      </c>
      <c r="D168" s="105" t="str">
        <f>VLOOKUP(Ruimtestaat[[#This Row],[Code]],Locaties[[#All],[Code]:[Postcode]],5,FALSE)</f>
        <v>6931 DV</v>
      </c>
      <c r="E168" s="105" t="str">
        <f>VLOOKUP(Ruimtestaat[[#This Row],[Code]],Locaties[#All],6,FALSE)</f>
        <v>Westervoort</v>
      </c>
      <c r="F168" s="73" t="s">
        <v>1798</v>
      </c>
      <c r="G168" s="73"/>
      <c r="H168" s="31" t="s">
        <v>1803</v>
      </c>
      <c r="I168" s="113" t="s">
        <v>1724</v>
      </c>
      <c r="J168" s="31">
        <v>16</v>
      </c>
      <c r="K168" s="113" t="str">
        <f>VLOOKUP(Ruimtestaat[[#This Row],[Ruimte code]],Ruimtegroepen[[#All],[Code]:[Ruimte omschrijving]],2,FALSE)</f>
        <v>Leslokalen</v>
      </c>
      <c r="L168" s="73" t="s">
        <v>100</v>
      </c>
      <c r="M168" s="273" t="s">
        <v>1982</v>
      </c>
      <c r="N168" s="106">
        <v>49.8</v>
      </c>
      <c r="O168" s="112"/>
      <c r="P168" s="73"/>
      <c r="Q168" s="107" t="str">
        <f>VLOOKUP(Ruimtestaat[[#This Row],[Ruimte code]],Ruimtegroepen[],4,FALSE)</f>
        <v>Le</v>
      </c>
      <c r="R168" s="73">
        <v>40</v>
      </c>
      <c r="S168" s="73" t="s">
        <v>2</v>
      </c>
      <c r="T168" s="73">
        <f>IF(R168&gt;0,IF(RIGHT(Ruimtestaat[[#This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8" s="73">
        <f>IF(T168&gt;0,VLOOKUP($J168,Ruimtegroepen[],3,FALSE)*VLOOKUP($L168,Vloersoorten[],3,FALSE)*VLOOKUP($S168,Frequenties[],3,FALSE)*VLOOKUP($A168,Locaties[],3,FALSE),0)</f>
        <v>0</v>
      </c>
      <c r="V168" s="73">
        <f>Ruimtestaat[[#This Row],[Uitvoeringen werkdagen]]*Ruimtestaat[[#This Row],[Oppervlak (netto)]]</f>
        <v>9960</v>
      </c>
      <c r="W168" s="108">
        <f>IF(U168&gt;0,Ruimtestaat[[#This Row],[Prest. (m2 /jaar) werkdagen]]/Ruimtestaat[[#This Row],[Norm (m2/uur) werkdagen]],0)</f>
        <v>0</v>
      </c>
      <c r="X168" s="109">
        <f>Ruimtestaat[[#This Row],[uren / jaar werkdagen]]*Tariefsopbouw!$E$35</f>
        <v>0</v>
      </c>
      <c r="Y168" s="73"/>
      <c r="Z168" s="73">
        <f>IF(Ruimtestaat[[#This Row],[Frequentie weekend]]&gt;0,VALUE(LEFT(Y168,1))*R168,0)</f>
        <v>0</v>
      </c>
      <c r="AA168" s="72">
        <f>IF($Z168&gt;0,VLOOKUP($J168,Ruimtegroepen[],3,FALSE)*VLOOKUP($L168,Vloersoorten[],3,FALSE)*VLOOKUP($Y168,Frequenties[],3,FALSE)*VLOOKUP(Ruimtestaat[[#This Row],[Code]],Locaties[],3,FALSE),0)</f>
        <v>0</v>
      </c>
      <c r="AB168" s="72">
        <f>Ruimtestaat[[#This Row],[Uitvoeringen weekend]]*Ruimtestaat[[#This Row],[Oppervlak (netto)]]</f>
        <v>0</v>
      </c>
      <c r="AC168" s="72">
        <f>IF(AA168&gt;0,Ruimtestaat[[#This Row],[Prest. (m2 /jaar) weekend]]/Ruimtestaat[[#This Row],[Norm (m2/uur) weekend]],0)</f>
        <v>0</v>
      </c>
      <c r="AD168" s="109">
        <f>Ruimtestaat[[#This Row],[uren / jaar weekend]]*Tariefsopbouw!$D$40</f>
        <v>0</v>
      </c>
      <c r="AE168" s="108">
        <f>Ruimtestaat[[#This Row],[Prest. (m2 /jaar) weekend]]+Ruimtestaat[[#This Row],[Prest. (m2 /jaar) werkdagen]]</f>
        <v>9960</v>
      </c>
      <c r="AF168" s="108">
        <f>Ruimtestaat[[#This Row],[uren / jaar weekend]]+Ruimtestaat[[#This Row],[uren / jaar werkdagen]]</f>
        <v>0</v>
      </c>
      <c r="AG168" s="103">
        <f>Ruimtestaat[[#This Row],[kosten / jaar weekend]]+Ruimtestaat[[#This Row],[kosten / jaar werkdagen]]</f>
        <v>0</v>
      </c>
      <c r="AH168" s="103"/>
      <c r="AI168" s="110" t="str">
        <f>IF(Ruimtestaat[[#This Row],[Frequentie werkdagen]]="","",_xlfn.CONCAT(Ruimtestaat[[#This Row],[Ruimte code]],"-",Ruimtestaat[[#This Row],[Frequentie werkdagen]]," ",Ruimtestaat[[#This Row],[Vloer code]]))</f>
        <v>16-5w L</v>
      </c>
      <c r="AJ168" s="114" t="str">
        <f>_xlfn.IFNA(VLOOKUP($AI168,Programma!$F$3:$G$1101,2,0),"")</f>
        <v>_</v>
      </c>
      <c r="AK168" s="114" t="str">
        <f>_xlfn.IFNA(VLOOKUP($AI168,Programma!$F$3:$H$1101,3,0),"")</f>
        <v>_</v>
      </c>
      <c r="AL168" s="114" t="str">
        <f>_xlfn.IFNA(VLOOKUP($AI168,Programma!$F$3:$I$1101,4,0),"")</f>
        <v>4w</v>
      </c>
      <c r="AM168" s="114" t="str">
        <f>_xlfn.IFNA(VLOOKUP($AI168,Programma!$F$3:$J$1101,5,0),"")</f>
        <v>1w</v>
      </c>
      <c r="AN168" s="114" t="str">
        <f>_xlfn.IFNA(VLOOKUP($AI168,Programma!$F$3:$K$1101,6,0),"")</f>
        <v>_</v>
      </c>
      <c r="AO168" s="114" t="str">
        <f>_xlfn.IFNA(VLOOKUP($AI168,Programma!$F$3:$L$1101,7,0),"")</f>
        <v>_</v>
      </c>
      <c r="AP168" s="114" t="str">
        <f>_xlfn.IFNA(VLOOKUP($AI168,Programma!$F$3:$M$1101,8,0),"")</f>
        <v>_</v>
      </c>
      <c r="AQ168" s="114" t="str">
        <f>_xlfn.IFNA(VLOOKUP($AI168,Programma!$F$3:$N$1101,9,0),"")</f>
        <v>_</v>
      </c>
      <c r="AR168" s="114" t="str">
        <f>_xlfn.IFNA(VLOOKUP($AI168,Programma!$F$3:$O$1101,10,0),"")</f>
        <v>5w</v>
      </c>
      <c r="AS168" s="114" t="str">
        <f>_xlfn.IFNA(VLOOKUP($AI168,Programma!$F$3:$P$1101,11,0),"")</f>
        <v>5w</v>
      </c>
      <c r="AT168" s="114" t="str">
        <f>_xlfn.IFNA(VLOOKUP($AI168,Programma!$F$3:$Q$1101,12,0),"")</f>
        <v>1w</v>
      </c>
      <c r="AU168" s="114" t="str">
        <f>_xlfn.IFNA(VLOOKUP($AI168,Programma!$F$3:$R$1101,13,0),"")</f>
        <v>1w</v>
      </c>
      <c r="AV168" s="114" t="str">
        <f>_xlfn.IFNA(VLOOKUP($AI168,Programma!$F$3:$S$1101,14,0),"")</f>
        <v>1m</v>
      </c>
      <c r="AW168" s="114" t="str">
        <f>_xlfn.IFNA(VLOOKUP($AI168,Programma!$F$3:$T$1101,15,0),"")</f>
        <v>2j</v>
      </c>
      <c r="AX168" s="114" t="str">
        <f>_xlfn.IFNA(VLOOKUP($AI168,Programma!$F$3:$U$1101,16,0),"")</f>
        <v>1j</v>
      </c>
      <c r="AY168" s="114" t="str">
        <f>_xlfn.IFNA(VLOOKUP($AI168,Programma!$F$3:$V$1101,17,0),"")</f>
        <v>_</v>
      </c>
      <c r="AZ168" s="114" t="str">
        <f>_xlfn.IFNA(VLOOKUP($AI168,Programma!$F$3:$W$1101,18,0),"")</f>
        <v>_</v>
      </c>
      <c r="BA168" s="114" t="str">
        <f>_xlfn.IFNA(VLOOKUP($AI168,Programma!$F$3:$X$1101,19,0),"")</f>
        <v>_</v>
      </c>
      <c r="BB168" s="114" t="str">
        <f>_xlfn.IFNA(VLOOKUP($AI168,Programma!$F$3:$Y$1101,20,0),"")</f>
        <v>_</v>
      </c>
      <c r="BC168" s="111"/>
      <c r="BD168" s="110" t="str">
        <f>IF(Ruimtestaat[[#This Row],[Frequentie weekend]]="","",_xlfn.CONCAT(Ruimtestaat[[#This Row],[Ruimte code]],"-",Ruimtestaat[[#This Row],[Frequentie weekend]]," ",Ruimtestaat[[#This Row],[Vloer code]]))</f>
        <v/>
      </c>
      <c r="BE168" s="114" t="str">
        <f>_xlfn.IFNA(VLOOKUP($BD168,Programma!$F$3:$G$1101,2,0),"")</f>
        <v/>
      </c>
      <c r="BF168" s="114" t="str">
        <f>_xlfn.IFNA(VLOOKUP($BD168,Programma!$F$3:$H$1101,3,0),"")</f>
        <v/>
      </c>
      <c r="BG168" s="114" t="str">
        <f>_xlfn.IFNA(VLOOKUP($BD168,Programma!$F$3:$I$1101,4,0),"")</f>
        <v/>
      </c>
      <c r="BH168" s="114" t="str">
        <f>_xlfn.IFNA(VLOOKUP($BD168,Programma!$F$3:$J$1101,5,0),"")</f>
        <v/>
      </c>
      <c r="BI168" s="114" t="str">
        <f>_xlfn.IFNA(VLOOKUP($BD168,Programma!$F$3:$K$1101,6,0),"")</f>
        <v/>
      </c>
      <c r="BJ168" s="114" t="str">
        <f>_xlfn.IFNA(VLOOKUP($BD168,Programma!$F$3:$L$1101,7,0),"")</f>
        <v/>
      </c>
      <c r="BK168" s="114" t="str">
        <f>_xlfn.IFNA(VLOOKUP($BD168,Programma!$F$3:$M$1101,8,0),"")</f>
        <v/>
      </c>
      <c r="BL168" s="114" t="str">
        <f>_xlfn.IFNA(VLOOKUP($BD168,Programma!$F$3:$N$1101,9,0),"")</f>
        <v/>
      </c>
      <c r="BM168" s="114" t="str">
        <f>_xlfn.IFNA(VLOOKUP($BD168,Programma!$F$3:$O$1101,10,0),"")</f>
        <v/>
      </c>
      <c r="BN168" s="114" t="str">
        <f>_xlfn.IFNA(VLOOKUP($BD168,Programma!$F$3:$P$1101,11,0),"")</f>
        <v/>
      </c>
      <c r="BO168" s="114" t="str">
        <f>_xlfn.IFNA(VLOOKUP($BD168,Programma!$F$3:$Q$1101,12,0),"")</f>
        <v/>
      </c>
      <c r="BP168" s="114" t="str">
        <f>_xlfn.IFNA(VLOOKUP($BD168,Programma!$F$3:$R$1101,13,0),"")</f>
        <v/>
      </c>
      <c r="BQ168" s="114" t="str">
        <f>_xlfn.IFNA(VLOOKUP($BD168,Programma!$F$3:$S$1101,14,0),"")</f>
        <v/>
      </c>
      <c r="BR168" s="114" t="str">
        <f>_xlfn.IFNA(VLOOKUP($BD168,Programma!$F$3:$T$1101,15,0),"")</f>
        <v/>
      </c>
      <c r="BS168" s="114" t="str">
        <f>_xlfn.IFNA(VLOOKUP($BD168,Programma!$F$3:$U$1101,16,0),"")</f>
        <v/>
      </c>
      <c r="BT168" s="114" t="str">
        <f>_xlfn.IFNA(VLOOKUP($BD168,Programma!$F$3:$V$1101,17,0),"")</f>
        <v/>
      </c>
      <c r="BU168" s="114" t="str">
        <f>_xlfn.IFNA(VLOOKUP($BD168,Programma!$F$3:$W$1101,18,0),"")</f>
        <v/>
      </c>
      <c r="BV168" s="114" t="str">
        <f>_xlfn.IFNA(VLOOKUP($BD168,Programma!$F$3:$X$1101,19,0),"")</f>
        <v/>
      </c>
      <c r="BW168" s="114" t="str">
        <f>_xlfn.IFNA(VLOOKUP($BD168,Programma!$F$3:$Y$1101,20,0),"")</f>
        <v/>
      </c>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c r="EO168" s="28"/>
      <c r="EP168" s="28"/>
      <c r="EQ168" s="28"/>
      <c r="ER168" s="28"/>
      <c r="ES168" s="28"/>
      <c r="ET168" s="28"/>
      <c r="EU168" s="28"/>
      <c r="EV168" s="28"/>
      <c r="EW168" s="28"/>
      <c r="EX168" s="28"/>
      <c r="EY168" s="28"/>
      <c r="EZ168" s="28"/>
      <c r="FA168" s="28"/>
      <c r="FB168" s="28"/>
      <c r="FC168" s="28"/>
      <c r="FD168" s="28"/>
      <c r="FE168" s="28"/>
      <c r="FF168" s="28"/>
      <c r="FG168" s="28"/>
      <c r="FH168" s="28"/>
      <c r="FI168" s="28"/>
      <c r="FJ168" s="28"/>
      <c r="FK168" s="28"/>
      <c r="FL168" s="28"/>
      <c r="FM168" s="28"/>
      <c r="FN168" s="28"/>
      <c r="FO168" s="28"/>
      <c r="FP168" s="28"/>
      <c r="FQ168" s="28"/>
      <c r="FR168" s="28"/>
      <c r="FS168" s="28"/>
      <c r="FT168" s="28"/>
      <c r="FU168" s="28"/>
      <c r="FV168" s="28"/>
      <c r="FW168" s="28"/>
      <c r="FX168" s="28"/>
      <c r="FY168" s="28"/>
      <c r="FZ168" s="28"/>
      <c r="GA168" s="28"/>
      <c r="GB168" s="28"/>
      <c r="GC168" s="28"/>
      <c r="GD168" s="28"/>
      <c r="GE168" s="28"/>
      <c r="GF168" s="28"/>
      <c r="GG168" s="28"/>
      <c r="GH168" s="28"/>
      <c r="GI168" s="28"/>
      <c r="GJ168" s="28"/>
      <c r="GK168" s="28"/>
      <c r="GL168" s="28"/>
      <c r="GM168" s="28"/>
      <c r="GN168" s="28"/>
      <c r="GO168" s="28"/>
      <c r="GP168" s="28"/>
      <c r="GQ168" s="28"/>
      <c r="GR168" s="28"/>
      <c r="GS168" s="28"/>
      <c r="GT168" s="28"/>
      <c r="GU168" s="28"/>
      <c r="GV168" s="28"/>
      <c r="GW168" s="28"/>
      <c r="GX168" s="28"/>
      <c r="GY168" s="28"/>
      <c r="GZ168" s="28"/>
      <c r="HA168" s="28"/>
      <c r="HB168" s="28"/>
      <c r="HC168" s="28"/>
      <c r="HD168" s="28"/>
      <c r="HE168" s="28"/>
      <c r="HF168" s="28"/>
      <c r="HG168" s="28"/>
      <c r="HH168" s="28"/>
      <c r="HI168" s="28"/>
      <c r="HJ168" s="28"/>
      <c r="HK168" s="28"/>
      <c r="HL168" s="28"/>
    </row>
    <row r="169" spans="1:220" ht="15" customHeight="1">
      <c r="A169" s="31">
        <v>4</v>
      </c>
      <c r="B169" s="105" t="str">
        <f>VLOOKUP(Ruimtestaat[[#This Row],[Code]],Locaties[[Code]:[Locatie]],2,FALSE)</f>
        <v>IKC De Brug</v>
      </c>
      <c r="C169" s="105" t="str">
        <f>VLOOKUP(Ruimtestaat[[#This Row],[Code]],Locaties[[#All],[Code]:[Adres]],4,FALSE)</f>
        <v>Schoolstraat 7</v>
      </c>
      <c r="D169" s="105" t="str">
        <f>VLOOKUP(Ruimtestaat[[#This Row],[Code]],Locaties[[#All],[Code]:[Postcode]],5,FALSE)</f>
        <v>6931 DV</v>
      </c>
      <c r="E169" s="105" t="str">
        <f>VLOOKUP(Ruimtestaat[[#This Row],[Code]],Locaties[#All],6,FALSE)</f>
        <v>Westervoort</v>
      </c>
      <c r="F169" s="73" t="s">
        <v>1798</v>
      </c>
      <c r="G169" s="73"/>
      <c r="H169" s="31" t="s">
        <v>1806</v>
      </c>
      <c r="I169" s="113" t="s">
        <v>1804</v>
      </c>
      <c r="J169" s="31">
        <v>7</v>
      </c>
      <c r="K169" s="113" t="str">
        <f>VLOOKUP(Ruimtestaat[[#This Row],[Ruimte code]],Ruimtegroepen[[#All],[Code]:[Ruimte omschrijving]],2,FALSE)</f>
        <v>Entree</v>
      </c>
      <c r="L169" s="73" t="s">
        <v>100</v>
      </c>
      <c r="M169" s="273" t="s">
        <v>1982</v>
      </c>
      <c r="N169" s="106">
        <v>12.6</v>
      </c>
      <c r="O169" s="112"/>
      <c r="P169" s="112"/>
      <c r="Q169" s="107" t="str">
        <f>VLOOKUP(Ruimtestaat[[#This Row],[Ruimte code]],Ruimtegroepen[],4,FALSE)</f>
        <v>Ve</v>
      </c>
      <c r="R169" s="73">
        <v>40</v>
      </c>
      <c r="S169" s="73" t="s">
        <v>2</v>
      </c>
      <c r="T169" s="73">
        <f>IF(R169&gt;0,IF(RIGHT(Ruimtestaat[[#This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9" s="73">
        <f>IF(T169&gt;0,VLOOKUP($J169,Ruimtegroepen[],3,FALSE)*VLOOKUP($L169,Vloersoorten[],3,FALSE)*VLOOKUP($S169,Frequenties[],3,FALSE)*VLOOKUP($A169,Locaties[],3,FALSE),0)</f>
        <v>0</v>
      </c>
      <c r="V169" s="73">
        <f>Ruimtestaat[[#This Row],[Uitvoeringen werkdagen]]*Ruimtestaat[[#This Row],[Oppervlak (netto)]]</f>
        <v>2520</v>
      </c>
      <c r="W169" s="108">
        <f>IF(U169&gt;0,Ruimtestaat[[#This Row],[Prest. (m2 /jaar) werkdagen]]/Ruimtestaat[[#This Row],[Norm (m2/uur) werkdagen]],0)</f>
        <v>0</v>
      </c>
      <c r="X169" s="109">
        <f>Ruimtestaat[[#This Row],[uren / jaar werkdagen]]*Tariefsopbouw!$E$35</f>
        <v>0</v>
      </c>
      <c r="Y169" s="73"/>
      <c r="Z169" s="73">
        <f>IF(Ruimtestaat[[#This Row],[Frequentie weekend]]&gt;0,VALUE(LEFT(Y169,1))*R169,0)</f>
        <v>0</v>
      </c>
      <c r="AA169" s="72">
        <f>IF($Z169&gt;0,VLOOKUP($J169,Ruimtegroepen[],3,FALSE)*VLOOKUP($L169,Vloersoorten[],3,FALSE)*VLOOKUP($Y169,Frequenties[],3,FALSE)*VLOOKUP(Ruimtestaat[[#This Row],[Code]],Locaties[],3,FALSE),0)</f>
        <v>0</v>
      </c>
      <c r="AB169" s="72">
        <f>Ruimtestaat[[#This Row],[Uitvoeringen weekend]]*Ruimtestaat[[#This Row],[Oppervlak (netto)]]</f>
        <v>0</v>
      </c>
      <c r="AC169" s="72">
        <f>IF(AA169&gt;0,Ruimtestaat[[#This Row],[Prest. (m2 /jaar) weekend]]/Ruimtestaat[[#This Row],[Norm (m2/uur) weekend]],0)</f>
        <v>0</v>
      </c>
      <c r="AD169" s="109">
        <f>Ruimtestaat[[#This Row],[uren / jaar weekend]]*Tariefsopbouw!$D$40</f>
        <v>0</v>
      </c>
      <c r="AE169" s="108">
        <f>Ruimtestaat[[#This Row],[Prest. (m2 /jaar) weekend]]+Ruimtestaat[[#This Row],[Prest. (m2 /jaar) werkdagen]]</f>
        <v>2520</v>
      </c>
      <c r="AF169" s="108">
        <f>Ruimtestaat[[#This Row],[uren / jaar weekend]]+Ruimtestaat[[#This Row],[uren / jaar werkdagen]]</f>
        <v>0</v>
      </c>
      <c r="AG169" s="103">
        <f>Ruimtestaat[[#This Row],[kosten / jaar weekend]]+Ruimtestaat[[#This Row],[kosten / jaar werkdagen]]</f>
        <v>0</v>
      </c>
      <c r="AH169" s="103"/>
      <c r="AI169" s="110" t="str">
        <f>IF(Ruimtestaat[[#This Row],[Frequentie werkdagen]]="","",_xlfn.CONCAT(Ruimtestaat[[#This Row],[Ruimte code]],"-",Ruimtestaat[[#This Row],[Frequentie werkdagen]]," ",Ruimtestaat[[#This Row],[Vloer code]]))</f>
        <v>7-5w L</v>
      </c>
      <c r="AJ169" s="114" t="str">
        <f>_xlfn.IFNA(VLOOKUP($AI169,Programma!$F$3:$G$1101,2,0),"")</f>
        <v>_</v>
      </c>
      <c r="AK169" s="114" t="str">
        <f>_xlfn.IFNA(VLOOKUP($AI169,Programma!$F$3:$H$1101,3,0),"")</f>
        <v>_</v>
      </c>
      <c r="AL169" s="114" t="str">
        <f>_xlfn.IFNA(VLOOKUP($AI169,Programma!$F$3:$I$1101,4,0),"")</f>
        <v>_</v>
      </c>
      <c r="AM169" s="114" t="str">
        <f>_xlfn.IFNA(VLOOKUP($AI169,Programma!$F$3:$J$1101,5,0),"")</f>
        <v>5w</v>
      </c>
      <c r="AN169" s="114" t="str">
        <f>_xlfn.IFNA(VLOOKUP($AI169,Programma!$F$3:$K$1101,6,0),"")</f>
        <v>_</v>
      </c>
      <c r="AO169" s="114" t="str">
        <f>_xlfn.IFNA(VLOOKUP($AI169,Programma!$F$3:$L$1101,7,0),"")</f>
        <v>_</v>
      </c>
      <c r="AP169" s="114" t="str">
        <f>_xlfn.IFNA(VLOOKUP($AI169,Programma!$F$3:$M$1101,8,0),"")</f>
        <v>_</v>
      </c>
      <c r="AQ169" s="114" t="str">
        <f>_xlfn.IFNA(VLOOKUP($AI169,Programma!$F$3:$N$1101,9,0),"")</f>
        <v>_</v>
      </c>
      <c r="AR169" s="114" t="str">
        <f>_xlfn.IFNA(VLOOKUP($AI169,Programma!$F$3:$O$1101,10,0),"")</f>
        <v>5w</v>
      </c>
      <c r="AS169" s="114" t="str">
        <f>_xlfn.IFNA(VLOOKUP($AI169,Programma!$F$3:$P$1101,11,0),"")</f>
        <v>5w</v>
      </c>
      <c r="AT169" s="114" t="str">
        <f>_xlfn.IFNA(VLOOKUP($AI169,Programma!$F$3:$Q$1101,12,0),"")</f>
        <v>1w</v>
      </c>
      <c r="AU169" s="114" t="str">
        <f>_xlfn.IFNA(VLOOKUP($AI169,Programma!$F$3:$R$1101,13,0),"")</f>
        <v>1w</v>
      </c>
      <c r="AV169" s="114" t="str">
        <f>_xlfn.IFNA(VLOOKUP($AI169,Programma!$F$3:$S$1101,14,0),"")</f>
        <v>1m</v>
      </c>
      <c r="AW169" s="114" t="str">
        <f>_xlfn.IFNA(VLOOKUP($AI169,Programma!$F$3:$T$1101,15,0),"")</f>
        <v>2j</v>
      </c>
      <c r="AX169" s="114" t="str">
        <f>_xlfn.IFNA(VLOOKUP($AI169,Programma!$F$3:$U$1101,16,0),"")</f>
        <v>1j</v>
      </c>
      <c r="AY169" s="114" t="str">
        <f>_xlfn.IFNA(VLOOKUP($AI169,Programma!$F$3:$V$1101,17,0),"")</f>
        <v>_</v>
      </c>
      <c r="AZ169" s="114" t="str">
        <f>_xlfn.IFNA(VLOOKUP($AI169,Programma!$F$3:$W$1101,18,0),"")</f>
        <v>_</v>
      </c>
      <c r="BA169" s="114" t="str">
        <f>_xlfn.IFNA(VLOOKUP($AI169,Programma!$F$3:$X$1101,19,0),"")</f>
        <v>_</v>
      </c>
      <c r="BB169" s="114" t="str">
        <f>_xlfn.IFNA(VLOOKUP($AI169,Programma!$F$3:$Y$1101,20,0),"")</f>
        <v>_</v>
      </c>
      <c r="BC169" s="111"/>
      <c r="BD169" s="110" t="str">
        <f>IF(Ruimtestaat[[#This Row],[Frequentie weekend]]="","",_xlfn.CONCAT(Ruimtestaat[[#This Row],[Ruimte code]],"-",Ruimtestaat[[#This Row],[Frequentie weekend]]," ",Ruimtestaat[[#This Row],[Vloer code]]))</f>
        <v/>
      </c>
      <c r="BE169" s="114" t="str">
        <f>_xlfn.IFNA(VLOOKUP($BD169,Programma!$F$3:$G$1101,2,0),"")</f>
        <v/>
      </c>
      <c r="BF169" s="114" t="str">
        <f>_xlfn.IFNA(VLOOKUP($BD169,Programma!$F$3:$H$1101,3,0),"")</f>
        <v/>
      </c>
      <c r="BG169" s="114" t="str">
        <f>_xlfn.IFNA(VLOOKUP($BD169,Programma!$F$3:$I$1101,4,0),"")</f>
        <v/>
      </c>
      <c r="BH169" s="114" t="str">
        <f>_xlfn.IFNA(VLOOKUP($BD169,Programma!$F$3:$J$1101,5,0),"")</f>
        <v/>
      </c>
      <c r="BI169" s="114" t="str">
        <f>_xlfn.IFNA(VLOOKUP($BD169,Programma!$F$3:$K$1101,6,0),"")</f>
        <v/>
      </c>
      <c r="BJ169" s="114" t="str">
        <f>_xlfn.IFNA(VLOOKUP($BD169,Programma!$F$3:$L$1101,7,0),"")</f>
        <v/>
      </c>
      <c r="BK169" s="114" t="str">
        <f>_xlfn.IFNA(VLOOKUP($BD169,Programma!$F$3:$M$1101,8,0),"")</f>
        <v/>
      </c>
      <c r="BL169" s="114" t="str">
        <f>_xlfn.IFNA(VLOOKUP($BD169,Programma!$F$3:$N$1101,9,0),"")</f>
        <v/>
      </c>
      <c r="BM169" s="114" t="str">
        <f>_xlfn.IFNA(VLOOKUP($BD169,Programma!$F$3:$O$1101,10,0),"")</f>
        <v/>
      </c>
      <c r="BN169" s="114" t="str">
        <f>_xlfn.IFNA(VLOOKUP($BD169,Programma!$F$3:$P$1101,11,0),"")</f>
        <v/>
      </c>
      <c r="BO169" s="114" t="str">
        <f>_xlfn.IFNA(VLOOKUP($BD169,Programma!$F$3:$Q$1101,12,0),"")</f>
        <v/>
      </c>
      <c r="BP169" s="114" t="str">
        <f>_xlfn.IFNA(VLOOKUP($BD169,Programma!$F$3:$R$1101,13,0),"")</f>
        <v/>
      </c>
      <c r="BQ169" s="114" t="str">
        <f>_xlfn.IFNA(VLOOKUP($BD169,Programma!$F$3:$S$1101,14,0),"")</f>
        <v/>
      </c>
      <c r="BR169" s="114" t="str">
        <f>_xlfn.IFNA(VLOOKUP($BD169,Programma!$F$3:$T$1101,15,0),"")</f>
        <v/>
      </c>
      <c r="BS169" s="114" t="str">
        <f>_xlfn.IFNA(VLOOKUP($BD169,Programma!$F$3:$U$1101,16,0),"")</f>
        <v/>
      </c>
      <c r="BT169" s="114" t="str">
        <f>_xlfn.IFNA(VLOOKUP($BD169,Programma!$F$3:$V$1101,17,0),"")</f>
        <v/>
      </c>
      <c r="BU169" s="114" t="str">
        <f>_xlfn.IFNA(VLOOKUP($BD169,Programma!$F$3:$W$1101,18,0),"")</f>
        <v/>
      </c>
      <c r="BV169" s="114" t="str">
        <f>_xlfn.IFNA(VLOOKUP($BD169,Programma!$F$3:$X$1101,19,0),"")</f>
        <v/>
      </c>
      <c r="BW169" s="114" t="str">
        <f>_xlfn.IFNA(VLOOKUP($BD169,Programma!$F$3:$Y$1101,20,0),"")</f>
        <v/>
      </c>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c r="EO169" s="28"/>
      <c r="EP169" s="28"/>
      <c r="EQ169" s="28"/>
      <c r="ER169" s="28"/>
      <c r="ES169" s="28"/>
      <c r="ET169" s="28"/>
      <c r="EU169" s="28"/>
      <c r="EV169" s="28"/>
      <c r="EW169" s="28"/>
      <c r="EX169" s="28"/>
      <c r="EY169" s="28"/>
      <c r="EZ169" s="28"/>
      <c r="FA169" s="28"/>
      <c r="FB169" s="28"/>
      <c r="FC169" s="28"/>
      <c r="FD169" s="28"/>
      <c r="FE169" s="28"/>
      <c r="FF169" s="28"/>
      <c r="FG169" s="28"/>
      <c r="FH169" s="28"/>
      <c r="FI169" s="28"/>
      <c r="FJ169" s="28"/>
      <c r="FK169" s="28"/>
      <c r="FL169" s="28"/>
      <c r="FM169" s="28"/>
      <c r="FN169" s="28"/>
      <c r="FO169" s="28"/>
      <c r="FP169" s="28"/>
      <c r="FQ169" s="28"/>
      <c r="FR169" s="28"/>
      <c r="FS169" s="28"/>
      <c r="FT169" s="28"/>
      <c r="FU169" s="28"/>
      <c r="FV169" s="28"/>
      <c r="FW169" s="28"/>
      <c r="FX169" s="28"/>
      <c r="FY169" s="28"/>
      <c r="FZ169" s="28"/>
      <c r="GA169" s="28"/>
      <c r="GB169" s="28"/>
      <c r="GC169" s="28"/>
      <c r="GD169" s="28"/>
      <c r="GE169" s="28"/>
      <c r="GF169" s="28"/>
      <c r="GG169" s="28"/>
      <c r="GH169" s="28"/>
      <c r="GI169" s="28"/>
      <c r="GJ169" s="28"/>
      <c r="GK169" s="28"/>
      <c r="GL169" s="28"/>
      <c r="GM169" s="28"/>
      <c r="GN169" s="28"/>
      <c r="GO169" s="28"/>
      <c r="GP169" s="28"/>
      <c r="GQ169" s="28"/>
      <c r="GR169" s="28"/>
      <c r="GS169" s="28"/>
      <c r="GT169" s="28"/>
      <c r="GU169" s="28"/>
      <c r="GV169" s="28"/>
      <c r="GW169" s="28"/>
      <c r="GX169" s="28"/>
      <c r="GY169" s="28"/>
      <c r="GZ169" s="28"/>
      <c r="HA169" s="28"/>
      <c r="HB169" s="28"/>
      <c r="HC169" s="28"/>
      <c r="HD169" s="28"/>
      <c r="HE169" s="28"/>
      <c r="HF169" s="28"/>
      <c r="HG169" s="28"/>
      <c r="HH169" s="28"/>
      <c r="HI169" s="28"/>
      <c r="HJ169" s="28"/>
      <c r="HK169" s="28"/>
      <c r="HL169" s="28"/>
    </row>
    <row r="170" spans="1:220" ht="15" customHeight="1">
      <c r="A170" s="31">
        <v>4</v>
      </c>
      <c r="B170" s="105" t="str">
        <f>VLOOKUP(Ruimtestaat[[#This Row],[Code]],Locaties[[Code]:[Locatie]],2,FALSE)</f>
        <v>IKC De Brug</v>
      </c>
      <c r="C170" s="105" t="str">
        <f>VLOOKUP(Ruimtestaat[[#This Row],[Code]],Locaties[[#All],[Code]:[Adres]],4,FALSE)</f>
        <v>Schoolstraat 7</v>
      </c>
      <c r="D170" s="105" t="str">
        <f>VLOOKUP(Ruimtestaat[[#This Row],[Code]],Locaties[[#All],[Code]:[Postcode]],5,FALSE)</f>
        <v>6931 DV</v>
      </c>
      <c r="E170" s="105" t="str">
        <f>VLOOKUP(Ruimtestaat[[#This Row],[Code]],Locaties[#All],6,FALSE)</f>
        <v>Westervoort</v>
      </c>
      <c r="F170" s="73" t="s">
        <v>1798</v>
      </c>
      <c r="G170" s="73"/>
      <c r="H170" s="31" t="s">
        <v>1807</v>
      </c>
      <c r="I170" s="113" t="s">
        <v>1723</v>
      </c>
      <c r="J170" s="31">
        <v>5</v>
      </c>
      <c r="K170" s="113" t="str">
        <f>VLOOKUP(Ruimtestaat[[#This Row],[Ruimte code]],Ruimtegroepen[[#All],[Code]:[Ruimte omschrijving]],2,FALSE)</f>
        <v>Sanitair</v>
      </c>
      <c r="L170" s="73" t="s">
        <v>100</v>
      </c>
      <c r="M170" s="273" t="s">
        <v>1982</v>
      </c>
      <c r="N170" s="106">
        <v>2.6</v>
      </c>
      <c r="O170" s="112"/>
      <c r="P170" s="112"/>
      <c r="Q170" s="107" t="str">
        <f>VLOOKUP(Ruimtestaat[[#This Row],[Ruimte code]],Ruimtegroepen[],4,FALSE)</f>
        <v>Sa</v>
      </c>
      <c r="R170" s="73">
        <v>40</v>
      </c>
      <c r="S170" s="73" t="s">
        <v>2</v>
      </c>
      <c r="T170" s="73">
        <f>IF(R170&gt;0,IF(RIGHT(Ruimtestaat[[#This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0" s="73">
        <f>IF(T170&gt;0,VLOOKUP($J170,Ruimtegroepen[],3,FALSE)*VLOOKUP($L170,Vloersoorten[],3,FALSE)*VLOOKUP($S170,Frequenties[],3,FALSE)*VLOOKUP($A170,Locaties[],3,FALSE),0)</f>
        <v>0</v>
      </c>
      <c r="V170" s="73">
        <f>Ruimtestaat[[#This Row],[Uitvoeringen werkdagen]]*Ruimtestaat[[#This Row],[Oppervlak (netto)]]</f>
        <v>520</v>
      </c>
      <c r="W170" s="108">
        <f>IF(U170&gt;0,Ruimtestaat[[#This Row],[Prest. (m2 /jaar) werkdagen]]/Ruimtestaat[[#This Row],[Norm (m2/uur) werkdagen]],0)</f>
        <v>0</v>
      </c>
      <c r="X170" s="109">
        <f>Ruimtestaat[[#This Row],[uren / jaar werkdagen]]*Tariefsopbouw!$E$35</f>
        <v>0</v>
      </c>
      <c r="Y170" s="73"/>
      <c r="Z170" s="73">
        <f>IF(Ruimtestaat[[#This Row],[Frequentie weekend]]&gt;0,VALUE(LEFT(Y170,1))*R170,0)</f>
        <v>0</v>
      </c>
      <c r="AA170" s="72">
        <f>IF($Z170&gt;0,VLOOKUP($J170,Ruimtegroepen[],3,FALSE)*VLOOKUP($L170,Vloersoorten[],3,FALSE)*VLOOKUP($Y170,Frequenties[],3,FALSE)*VLOOKUP(Ruimtestaat[[#This Row],[Code]],Locaties[],3,FALSE),0)</f>
        <v>0</v>
      </c>
      <c r="AB170" s="72">
        <f>Ruimtestaat[[#This Row],[Uitvoeringen weekend]]*Ruimtestaat[[#This Row],[Oppervlak (netto)]]</f>
        <v>0</v>
      </c>
      <c r="AC170" s="72">
        <f>IF(AA170&gt;0,Ruimtestaat[[#This Row],[Prest. (m2 /jaar) weekend]]/Ruimtestaat[[#This Row],[Norm (m2/uur) weekend]],0)</f>
        <v>0</v>
      </c>
      <c r="AD170" s="109">
        <f>Ruimtestaat[[#This Row],[uren / jaar weekend]]*Tariefsopbouw!$D$40</f>
        <v>0</v>
      </c>
      <c r="AE170" s="108">
        <f>Ruimtestaat[[#This Row],[Prest. (m2 /jaar) weekend]]+Ruimtestaat[[#This Row],[Prest. (m2 /jaar) werkdagen]]</f>
        <v>520</v>
      </c>
      <c r="AF170" s="108">
        <f>Ruimtestaat[[#This Row],[uren / jaar weekend]]+Ruimtestaat[[#This Row],[uren / jaar werkdagen]]</f>
        <v>0</v>
      </c>
      <c r="AG170" s="103">
        <f>Ruimtestaat[[#This Row],[kosten / jaar weekend]]+Ruimtestaat[[#This Row],[kosten / jaar werkdagen]]</f>
        <v>0</v>
      </c>
      <c r="AH170" s="103"/>
      <c r="AI170" s="110" t="str">
        <f>IF(Ruimtestaat[[#This Row],[Frequentie werkdagen]]="","",_xlfn.CONCAT(Ruimtestaat[[#This Row],[Ruimte code]],"-",Ruimtestaat[[#This Row],[Frequentie werkdagen]]," ",Ruimtestaat[[#This Row],[Vloer code]]))</f>
        <v>5-5w L</v>
      </c>
      <c r="AJ170" s="114" t="str">
        <f>_xlfn.IFNA(VLOOKUP($AI170,Programma!$F$3:$G$1101,2,0),"")</f>
        <v>_</v>
      </c>
      <c r="AK170" s="114" t="str">
        <f>_xlfn.IFNA(VLOOKUP($AI170,Programma!$F$3:$H$1101,3,0),"")</f>
        <v>_</v>
      </c>
      <c r="AL170" s="114" t="str">
        <f>_xlfn.IFNA(VLOOKUP($AI170,Programma!$F$3:$I$1101,4,0),"")</f>
        <v>_</v>
      </c>
      <c r="AM170" s="114" t="str">
        <f>_xlfn.IFNA(VLOOKUP($AI170,Programma!$F$3:$J$1101,5,0),"")</f>
        <v>4w</v>
      </c>
      <c r="AN170" s="114" t="str">
        <f>_xlfn.IFNA(VLOOKUP($AI170,Programma!$F$3:$K$1101,6,0),"")</f>
        <v>1w</v>
      </c>
      <c r="AO170" s="114" t="str">
        <f>_xlfn.IFNA(VLOOKUP($AI170,Programma!$F$3:$L$1101,7,0),"")</f>
        <v>_</v>
      </c>
      <c r="AP170" s="114" t="str">
        <f>_xlfn.IFNA(VLOOKUP($AI170,Programma!$F$3:$M$1101,8,0),"")</f>
        <v>_</v>
      </c>
      <c r="AQ170" s="114" t="str">
        <f>_xlfn.IFNA(VLOOKUP($AI170,Programma!$F$3:$N$1101,9,0),"")</f>
        <v>_</v>
      </c>
      <c r="AR170" s="114" t="str">
        <f>_xlfn.IFNA(VLOOKUP($AI170,Programma!$F$3:$O$1101,10,0),"")</f>
        <v>_</v>
      </c>
      <c r="AS170" s="114" t="str">
        <f>_xlfn.IFNA(VLOOKUP($AI170,Programma!$F$3:$P$1101,11,0),"")</f>
        <v>_</v>
      </c>
      <c r="AT170" s="114" t="str">
        <f>_xlfn.IFNA(VLOOKUP($AI170,Programma!$F$3:$Q$1101,12,0),"")</f>
        <v>_</v>
      </c>
      <c r="AU170" s="114" t="str">
        <f>_xlfn.IFNA(VLOOKUP($AI170,Programma!$F$3:$R$1101,13,0),"")</f>
        <v>_</v>
      </c>
      <c r="AV170" s="114" t="str">
        <f>_xlfn.IFNA(VLOOKUP($AI170,Programma!$F$3:$S$1101,14,0),"")</f>
        <v>_</v>
      </c>
      <c r="AW170" s="114" t="str">
        <f>_xlfn.IFNA(VLOOKUP($AI170,Programma!$F$3:$T$1101,15,0),"")</f>
        <v>_</v>
      </c>
      <c r="AX170" s="114" t="str">
        <f>_xlfn.IFNA(VLOOKUP($AI170,Programma!$F$3:$U$1101,16,0),"")</f>
        <v>_</v>
      </c>
      <c r="AY170" s="114" t="str">
        <f>_xlfn.IFNA(VLOOKUP($AI170,Programma!$F$3:$V$1101,17,0),"")</f>
        <v>_</v>
      </c>
      <c r="AZ170" s="114" t="str">
        <f>_xlfn.IFNA(VLOOKUP($AI170,Programma!$F$3:$W$1101,18,0),"")</f>
        <v>4w</v>
      </c>
      <c r="BA170" s="114" t="str">
        <f>_xlfn.IFNA(VLOOKUP($AI170,Programma!$F$3:$X$1101,19,0),"")</f>
        <v>1w</v>
      </c>
      <c r="BB170" s="114" t="str">
        <f>_xlfn.IFNA(VLOOKUP($AI170,Programma!$F$3:$Y$1101,20,0),"")</f>
        <v>_</v>
      </c>
      <c r="BC170" s="111"/>
      <c r="BD170" s="110" t="str">
        <f>IF(Ruimtestaat[[#This Row],[Frequentie weekend]]="","",_xlfn.CONCAT(Ruimtestaat[[#This Row],[Ruimte code]],"-",Ruimtestaat[[#This Row],[Frequentie weekend]]," ",Ruimtestaat[[#This Row],[Vloer code]]))</f>
        <v/>
      </c>
      <c r="BE170" s="114" t="str">
        <f>_xlfn.IFNA(VLOOKUP($BD170,Programma!$F$3:$G$1101,2,0),"")</f>
        <v/>
      </c>
      <c r="BF170" s="114" t="str">
        <f>_xlfn.IFNA(VLOOKUP($BD170,Programma!$F$3:$H$1101,3,0),"")</f>
        <v/>
      </c>
      <c r="BG170" s="114" t="str">
        <f>_xlfn.IFNA(VLOOKUP($BD170,Programma!$F$3:$I$1101,4,0),"")</f>
        <v/>
      </c>
      <c r="BH170" s="114" t="str">
        <f>_xlfn.IFNA(VLOOKUP($BD170,Programma!$F$3:$J$1101,5,0),"")</f>
        <v/>
      </c>
      <c r="BI170" s="114" t="str">
        <f>_xlfn.IFNA(VLOOKUP($BD170,Programma!$F$3:$K$1101,6,0),"")</f>
        <v/>
      </c>
      <c r="BJ170" s="114" t="str">
        <f>_xlfn.IFNA(VLOOKUP($BD170,Programma!$F$3:$L$1101,7,0),"")</f>
        <v/>
      </c>
      <c r="BK170" s="114" t="str">
        <f>_xlfn.IFNA(VLOOKUP($BD170,Programma!$F$3:$M$1101,8,0),"")</f>
        <v/>
      </c>
      <c r="BL170" s="114" t="str">
        <f>_xlfn.IFNA(VLOOKUP($BD170,Programma!$F$3:$N$1101,9,0),"")</f>
        <v/>
      </c>
      <c r="BM170" s="114" t="str">
        <f>_xlfn.IFNA(VLOOKUP($BD170,Programma!$F$3:$O$1101,10,0),"")</f>
        <v/>
      </c>
      <c r="BN170" s="114" t="str">
        <f>_xlfn.IFNA(VLOOKUP($BD170,Programma!$F$3:$P$1101,11,0),"")</f>
        <v/>
      </c>
      <c r="BO170" s="114" t="str">
        <f>_xlfn.IFNA(VLOOKUP($BD170,Programma!$F$3:$Q$1101,12,0),"")</f>
        <v/>
      </c>
      <c r="BP170" s="114" t="str">
        <f>_xlfn.IFNA(VLOOKUP($BD170,Programma!$F$3:$R$1101,13,0),"")</f>
        <v/>
      </c>
      <c r="BQ170" s="114" t="str">
        <f>_xlfn.IFNA(VLOOKUP($BD170,Programma!$F$3:$S$1101,14,0),"")</f>
        <v/>
      </c>
      <c r="BR170" s="114" t="str">
        <f>_xlfn.IFNA(VLOOKUP($BD170,Programma!$F$3:$T$1101,15,0),"")</f>
        <v/>
      </c>
      <c r="BS170" s="114" t="str">
        <f>_xlfn.IFNA(VLOOKUP($BD170,Programma!$F$3:$U$1101,16,0),"")</f>
        <v/>
      </c>
      <c r="BT170" s="114" t="str">
        <f>_xlfn.IFNA(VLOOKUP($BD170,Programma!$F$3:$V$1101,17,0),"")</f>
        <v/>
      </c>
      <c r="BU170" s="114" t="str">
        <f>_xlfn.IFNA(VLOOKUP($BD170,Programma!$F$3:$W$1101,18,0),"")</f>
        <v/>
      </c>
      <c r="BV170" s="114" t="str">
        <f>_xlfn.IFNA(VLOOKUP($BD170,Programma!$F$3:$X$1101,19,0),"")</f>
        <v/>
      </c>
      <c r="BW170" s="114" t="str">
        <f>_xlfn.IFNA(VLOOKUP($BD170,Programma!$F$3:$Y$1101,20,0),"")</f>
        <v/>
      </c>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c r="EO170" s="28"/>
      <c r="EP170" s="28"/>
      <c r="EQ170" s="28"/>
      <c r="ER170" s="28"/>
      <c r="ES170" s="28"/>
      <c r="ET170" s="28"/>
      <c r="EU170" s="28"/>
      <c r="EV170" s="28"/>
      <c r="EW170" s="28"/>
      <c r="EX170" s="28"/>
      <c r="EY170" s="28"/>
      <c r="EZ170" s="28"/>
      <c r="FA170" s="28"/>
      <c r="FB170" s="28"/>
      <c r="FC170" s="28"/>
      <c r="FD170" s="28"/>
      <c r="FE170" s="28"/>
      <c r="FF170" s="28"/>
      <c r="FG170" s="28"/>
      <c r="FH170" s="28"/>
      <c r="FI170" s="28"/>
      <c r="FJ170" s="28"/>
      <c r="FK170" s="28"/>
      <c r="FL170" s="28"/>
      <c r="FM170" s="28"/>
      <c r="FN170" s="28"/>
      <c r="FO170" s="28"/>
      <c r="FP170" s="28"/>
      <c r="FQ170" s="28"/>
      <c r="FR170" s="28"/>
      <c r="FS170" s="28"/>
      <c r="FT170" s="28"/>
      <c r="FU170" s="28"/>
      <c r="FV170" s="28"/>
      <c r="FW170" s="28"/>
      <c r="FX170" s="28"/>
      <c r="FY170" s="28"/>
      <c r="FZ170" s="28"/>
      <c r="GA170" s="28"/>
      <c r="GB170" s="28"/>
      <c r="GC170" s="28"/>
      <c r="GD170" s="28"/>
      <c r="GE170" s="28"/>
      <c r="GF170" s="28"/>
      <c r="GG170" s="28"/>
      <c r="GH170" s="28"/>
      <c r="GI170" s="28"/>
      <c r="GJ170" s="28"/>
      <c r="GK170" s="28"/>
      <c r="GL170" s="28"/>
      <c r="GM170" s="28"/>
      <c r="GN170" s="28"/>
      <c r="GO170" s="28"/>
      <c r="GP170" s="28"/>
      <c r="GQ170" s="28"/>
      <c r="GR170" s="28"/>
      <c r="GS170" s="28"/>
      <c r="GT170" s="28"/>
      <c r="GU170" s="28"/>
      <c r="GV170" s="28"/>
      <c r="GW170" s="28"/>
      <c r="GX170" s="28"/>
      <c r="GY170" s="28"/>
      <c r="GZ170" s="28"/>
      <c r="HA170" s="28"/>
      <c r="HB170" s="28"/>
      <c r="HC170" s="28"/>
      <c r="HD170" s="28"/>
      <c r="HE170" s="28"/>
      <c r="HF170" s="28"/>
      <c r="HG170" s="28"/>
      <c r="HH170" s="28"/>
      <c r="HI170" s="28"/>
      <c r="HJ170" s="28"/>
      <c r="HK170" s="28"/>
      <c r="HL170" s="28"/>
    </row>
    <row r="171" spans="1:220" ht="15" customHeight="1">
      <c r="A171" s="31">
        <v>4</v>
      </c>
      <c r="B171" s="105" t="str">
        <f>VLOOKUP(Ruimtestaat[[#This Row],[Code]],Locaties[[Code]:[Locatie]],2,FALSE)</f>
        <v>IKC De Brug</v>
      </c>
      <c r="C171" s="105" t="str">
        <f>VLOOKUP(Ruimtestaat[[#This Row],[Code]],Locaties[[#All],[Code]:[Adres]],4,FALSE)</f>
        <v>Schoolstraat 7</v>
      </c>
      <c r="D171" s="105" t="str">
        <f>VLOOKUP(Ruimtestaat[[#This Row],[Code]],Locaties[[#All],[Code]:[Postcode]],5,FALSE)</f>
        <v>6931 DV</v>
      </c>
      <c r="E171" s="105" t="str">
        <f>VLOOKUP(Ruimtestaat[[#This Row],[Code]],Locaties[#All],6,FALSE)</f>
        <v>Westervoort</v>
      </c>
      <c r="F171" s="73" t="s">
        <v>1798</v>
      </c>
      <c r="G171" s="73"/>
      <c r="H171" s="31" t="s">
        <v>1808</v>
      </c>
      <c r="I171" s="113" t="s">
        <v>1738</v>
      </c>
      <c r="J171" s="31">
        <v>6</v>
      </c>
      <c r="K171" s="113" t="str">
        <f>VLOOKUP(Ruimtestaat[[#This Row],[Ruimte code]],Ruimtegroepen[[#All],[Code]:[Ruimte omschrijving]],2,FALSE)</f>
        <v>Gangen/hallen</v>
      </c>
      <c r="L171" s="73" t="s">
        <v>100</v>
      </c>
      <c r="M171" s="273" t="s">
        <v>1982</v>
      </c>
      <c r="N171" s="106">
        <v>11.7</v>
      </c>
      <c r="O171" s="112"/>
      <c r="P171" s="73"/>
      <c r="Q171" s="107" t="str">
        <f>VLOOKUP(Ruimtestaat[[#This Row],[Ruimte code]],Ruimtegroepen[],4,FALSE)</f>
        <v>Ve</v>
      </c>
      <c r="R171" s="73">
        <v>40</v>
      </c>
      <c r="S171" s="73" t="s">
        <v>2</v>
      </c>
      <c r="T171" s="73">
        <f>IF(R171&gt;0,IF(RIGHT(Ruimtestaat[[#This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1" s="73">
        <f>IF(T171&gt;0,VLOOKUP($J171,Ruimtegroepen[],3,FALSE)*VLOOKUP($L171,Vloersoorten[],3,FALSE)*VLOOKUP($S171,Frequenties[],3,FALSE)*VLOOKUP($A171,Locaties[],3,FALSE),0)</f>
        <v>0</v>
      </c>
      <c r="V171" s="73">
        <f>Ruimtestaat[[#This Row],[Uitvoeringen werkdagen]]*Ruimtestaat[[#This Row],[Oppervlak (netto)]]</f>
        <v>2340</v>
      </c>
      <c r="W171" s="108">
        <f>IF(U171&gt;0,Ruimtestaat[[#This Row],[Prest. (m2 /jaar) werkdagen]]/Ruimtestaat[[#This Row],[Norm (m2/uur) werkdagen]],0)</f>
        <v>0</v>
      </c>
      <c r="X171" s="109">
        <f>Ruimtestaat[[#This Row],[uren / jaar werkdagen]]*Tariefsopbouw!$E$35</f>
        <v>0</v>
      </c>
      <c r="Y171" s="73"/>
      <c r="Z171" s="73">
        <f>IF(Ruimtestaat[[#This Row],[Frequentie weekend]]&gt;0,VALUE(LEFT(Y171,1))*R171,0)</f>
        <v>0</v>
      </c>
      <c r="AA171" s="72">
        <f>IF($Z171&gt;0,VLOOKUP($J171,Ruimtegroepen[],3,FALSE)*VLOOKUP($L171,Vloersoorten[],3,FALSE)*VLOOKUP($Y171,Frequenties[],3,FALSE)*VLOOKUP(Ruimtestaat[[#This Row],[Code]],Locaties[],3,FALSE),0)</f>
        <v>0</v>
      </c>
      <c r="AB171" s="72">
        <f>Ruimtestaat[[#This Row],[Uitvoeringen weekend]]*Ruimtestaat[[#This Row],[Oppervlak (netto)]]</f>
        <v>0</v>
      </c>
      <c r="AC171" s="72">
        <f>IF(AA171&gt;0,Ruimtestaat[[#This Row],[Prest. (m2 /jaar) weekend]]/Ruimtestaat[[#This Row],[Norm (m2/uur) weekend]],0)</f>
        <v>0</v>
      </c>
      <c r="AD171" s="109">
        <f>Ruimtestaat[[#This Row],[uren / jaar weekend]]*Tariefsopbouw!$D$40</f>
        <v>0</v>
      </c>
      <c r="AE171" s="108">
        <f>Ruimtestaat[[#This Row],[Prest. (m2 /jaar) weekend]]+Ruimtestaat[[#This Row],[Prest. (m2 /jaar) werkdagen]]</f>
        <v>2340</v>
      </c>
      <c r="AF171" s="108">
        <f>Ruimtestaat[[#This Row],[uren / jaar weekend]]+Ruimtestaat[[#This Row],[uren / jaar werkdagen]]</f>
        <v>0</v>
      </c>
      <c r="AG171" s="103">
        <f>Ruimtestaat[[#This Row],[kosten / jaar weekend]]+Ruimtestaat[[#This Row],[kosten / jaar werkdagen]]</f>
        <v>0</v>
      </c>
      <c r="AH171" s="103"/>
      <c r="AI171" s="110" t="str">
        <f>IF(Ruimtestaat[[#This Row],[Frequentie werkdagen]]="","",_xlfn.CONCAT(Ruimtestaat[[#This Row],[Ruimte code]],"-",Ruimtestaat[[#This Row],[Frequentie werkdagen]]," ",Ruimtestaat[[#This Row],[Vloer code]]))</f>
        <v>6-5w L</v>
      </c>
      <c r="AJ171" s="114" t="str">
        <f>_xlfn.IFNA(VLOOKUP($AI171,Programma!$F$3:$G$1101,2,0),"")</f>
        <v>_</v>
      </c>
      <c r="AK171" s="114" t="str">
        <f>_xlfn.IFNA(VLOOKUP($AI171,Programma!$F$3:$H$1101,3,0),"")</f>
        <v>_</v>
      </c>
      <c r="AL171" s="114" t="str">
        <f>_xlfn.IFNA(VLOOKUP($AI171,Programma!$F$3:$I$1101,4,0),"")</f>
        <v>_</v>
      </c>
      <c r="AM171" s="114" t="str">
        <f>_xlfn.IFNA(VLOOKUP($AI171,Programma!$F$3:$J$1101,5,0),"")</f>
        <v>5w</v>
      </c>
      <c r="AN171" s="114" t="str">
        <f>_xlfn.IFNA(VLOOKUP($AI171,Programma!$F$3:$K$1101,6,0),"")</f>
        <v>_</v>
      </c>
      <c r="AO171" s="114" t="str">
        <f>_xlfn.IFNA(VLOOKUP($AI171,Programma!$F$3:$L$1101,7,0),"")</f>
        <v>_</v>
      </c>
      <c r="AP171" s="114" t="str">
        <f>_xlfn.IFNA(VLOOKUP($AI171,Programma!$F$3:$M$1101,8,0),"")</f>
        <v>_</v>
      </c>
      <c r="AQ171" s="114" t="str">
        <f>_xlfn.IFNA(VLOOKUP($AI171,Programma!$F$3:$N$1101,9,0),"")</f>
        <v>_</v>
      </c>
      <c r="AR171" s="114" t="str">
        <f>_xlfn.IFNA(VLOOKUP($AI171,Programma!$F$3:$O$1101,10,0),"")</f>
        <v>5w</v>
      </c>
      <c r="AS171" s="114" t="str">
        <f>_xlfn.IFNA(VLOOKUP($AI171,Programma!$F$3:$P$1101,11,0),"")</f>
        <v>5w</v>
      </c>
      <c r="AT171" s="114" t="str">
        <f>_xlfn.IFNA(VLOOKUP($AI171,Programma!$F$3:$Q$1101,12,0),"")</f>
        <v>1w</v>
      </c>
      <c r="AU171" s="114" t="str">
        <f>_xlfn.IFNA(VLOOKUP($AI171,Programma!$F$3:$R$1101,13,0),"")</f>
        <v>1w</v>
      </c>
      <c r="AV171" s="114" t="str">
        <f>_xlfn.IFNA(VLOOKUP($AI171,Programma!$F$3:$S$1101,14,0),"")</f>
        <v>1m</v>
      </c>
      <c r="AW171" s="114" t="str">
        <f>_xlfn.IFNA(VLOOKUP($AI171,Programma!$F$3:$T$1101,15,0),"")</f>
        <v>2j</v>
      </c>
      <c r="AX171" s="114" t="str">
        <f>_xlfn.IFNA(VLOOKUP($AI171,Programma!$F$3:$U$1101,16,0),"")</f>
        <v>1j</v>
      </c>
      <c r="AY171" s="114" t="str">
        <f>_xlfn.IFNA(VLOOKUP($AI171,Programma!$F$3:$V$1101,17,0),"")</f>
        <v>_</v>
      </c>
      <c r="AZ171" s="114" t="str">
        <f>_xlfn.IFNA(VLOOKUP($AI171,Programma!$F$3:$W$1101,18,0),"")</f>
        <v>_</v>
      </c>
      <c r="BA171" s="114" t="str">
        <f>_xlfn.IFNA(VLOOKUP($AI171,Programma!$F$3:$X$1101,19,0),"")</f>
        <v>_</v>
      </c>
      <c r="BB171" s="114" t="str">
        <f>_xlfn.IFNA(VLOOKUP($AI171,Programma!$F$3:$Y$1101,20,0),"")</f>
        <v>_</v>
      </c>
      <c r="BC171" s="111"/>
      <c r="BD171" s="110" t="str">
        <f>IF(Ruimtestaat[[#This Row],[Frequentie weekend]]="","",_xlfn.CONCAT(Ruimtestaat[[#This Row],[Ruimte code]],"-",Ruimtestaat[[#This Row],[Frequentie weekend]]," ",Ruimtestaat[[#This Row],[Vloer code]]))</f>
        <v/>
      </c>
      <c r="BE171" s="114" t="str">
        <f>_xlfn.IFNA(VLOOKUP($BD171,Programma!$F$3:$G$1101,2,0),"")</f>
        <v/>
      </c>
      <c r="BF171" s="114" t="str">
        <f>_xlfn.IFNA(VLOOKUP($BD171,Programma!$F$3:$H$1101,3,0),"")</f>
        <v/>
      </c>
      <c r="BG171" s="114" t="str">
        <f>_xlfn.IFNA(VLOOKUP($BD171,Programma!$F$3:$I$1101,4,0),"")</f>
        <v/>
      </c>
      <c r="BH171" s="114" t="str">
        <f>_xlfn.IFNA(VLOOKUP($BD171,Programma!$F$3:$J$1101,5,0),"")</f>
        <v/>
      </c>
      <c r="BI171" s="114" t="str">
        <f>_xlfn.IFNA(VLOOKUP($BD171,Programma!$F$3:$K$1101,6,0),"")</f>
        <v/>
      </c>
      <c r="BJ171" s="114" t="str">
        <f>_xlfn.IFNA(VLOOKUP($BD171,Programma!$F$3:$L$1101,7,0),"")</f>
        <v/>
      </c>
      <c r="BK171" s="114" t="str">
        <f>_xlfn.IFNA(VLOOKUP($BD171,Programma!$F$3:$M$1101,8,0),"")</f>
        <v/>
      </c>
      <c r="BL171" s="114" t="str">
        <f>_xlfn.IFNA(VLOOKUP($BD171,Programma!$F$3:$N$1101,9,0),"")</f>
        <v/>
      </c>
      <c r="BM171" s="114" t="str">
        <f>_xlfn.IFNA(VLOOKUP($BD171,Programma!$F$3:$O$1101,10,0),"")</f>
        <v/>
      </c>
      <c r="BN171" s="114" t="str">
        <f>_xlfn.IFNA(VLOOKUP($BD171,Programma!$F$3:$P$1101,11,0),"")</f>
        <v/>
      </c>
      <c r="BO171" s="114" t="str">
        <f>_xlfn.IFNA(VLOOKUP($BD171,Programma!$F$3:$Q$1101,12,0),"")</f>
        <v/>
      </c>
      <c r="BP171" s="114" t="str">
        <f>_xlfn.IFNA(VLOOKUP($BD171,Programma!$F$3:$R$1101,13,0),"")</f>
        <v/>
      </c>
      <c r="BQ171" s="114" t="str">
        <f>_xlfn.IFNA(VLOOKUP($BD171,Programma!$F$3:$S$1101,14,0),"")</f>
        <v/>
      </c>
      <c r="BR171" s="114" t="str">
        <f>_xlfn.IFNA(VLOOKUP($BD171,Programma!$F$3:$T$1101,15,0),"")</f>
        <v/>
      </c>
      <c r="BS171" s="114" t="str">
        <f>_xlfn.IFNA(VLOOKUP($BD171,Programma!$F$3:$U$1101,16,0),"")</f>
        <v/>
      </c>
      <c r="BT171" s="114" t="str">
        <f>_xlfn.IFNA(VLOOKUP($BD171,Programma!$F$3:$V$1101,17,0),"")</f>
        <v/>
      </c>
      <c r="BU171" s="114" t="str">
        <f>_xlfn.IFNA(VLOOKUP($BD171,Programma!$F$3:$W$1101,18,0),"")</f>
        <v/>
      </c>
      <c r="BV171" s="114" t="str">
        <f>_xlfn.IFNA(VLOOKUP($BD171,Programma!$F$3:$X$1101,19,0),"")</f>
        <v/>
      </c>
      <c r="BW171" s="114" t="str">
        <f>_xlfn.IFNA(VLOOKUP($BD171,Programma!$F$3:$Y$1101,20,0),"")</f>
        <v/>
      </c>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c r="ET171" s="28"/>
      <c r="EU171" s="28"/>
      <c r="EV171" s="28"/>
      <c r="EW171" s="28"/>
      <c r="EX171" s="28"/>
      <c r="EY171" s="28"/>
      <c r="EZ171" s="28"/>
      <c r="FA171" s="28"/>
      <c r="FB171" s="28"/>
      <c r="FC171" s="28"/>
      <c r="FD171" s="28"/>
      <c r="FE171" s="28"/>
      <c r="FF171" s="28"/>
      <c r="FG171" s="28"/>
      <c r="FH171" s="28"/>
      <c r="FI171" s="28"/>
      <c r="FJ171" s="28"/>
      <c r="FK171" s="28"/>
      <c r="FL171" s="28"/>
      <c r="FM171" s="28"/>
      <c r="FN171" s="28"/>
      <c r="FO171" s="28"/>
      <c r="FP171" s="28"/>
      <c r="FQ171" s="28"/>
      <c r="FR171" s="28"/>
      <c r="FS171" s="28"/>
      <c r="FT171" s="28"/>
      <c r="FU171" s="28"/>
      <c r="FV171" s="28"/>
      <c r="FW171" s="28"/>
      <c r="FX171" s="28"/>
      <c r="FY171" s="28"/>
      <c r="FZ171" s="28"/>
      <c r="GA171" s="28"/>
      <c r="GB171" s="28"/>
      <c r="GC171" s="28"/>
      <c r="GD171" s="28"/>
      <c r="GE171" s="28"/>
      <c r="GF171" s="28"/>
      <c r="GG171" s="28"/>
      <c r="GH171" s="28"/>
      <c r="GI171" s="28"/>
      <c r="GJ171" s="28"/>
      <c r="GK171" s="28"/>
      <c r="GL171" s="28"/>
      <c r="GM171" s="28"/>
      <c r="GN171" s="28"/>
      <c r="GO171" s="28"/>
      <c r="GP171" s="28"/>
      <c r="GQ171" s="28"/>
      <c r="GR171" s="28"/>
      <c r="GS171" s="28"/>
      <c r="GT171" s="28"/>
      <c r="GU171" s="28"/>
      <c r="GV171" s="28"/>
      <c r="GW171" s="28"/>
      <c r="GX171" s="28"/>
      <c r="GY171" s="28"/>
      <c r="GZ171" s="28"/>
      <c r="HA171" s="28"/>
      <c r="HB171" s="28"/>
      <c r="HC171" s="28"/>
      <c r="HD171" s="28"/>
      <c r="HE171" s="28"/>
      <c r="HF171" s="28"/>
      <c r="HG171" s="28"/>
      <c r="HH171" s="28"/>
      <c r="HI171" s="28"/>
      <c r="HJ171" s="28"/>
      <c r="HK171" s="28"/>
      <c r="HL171" s="28"/>
    </row>
    <row r="172" spans="1:220" ht="15" customHeight="1">
      <c r="A172" s="31">
        <v>4</v>
      </c>
      <c r="B172" s="105" t="str">
        <f>VLOOKUP(Ruimtestaat[[#This Row],[Code]],Locaties[[Code]:[Locatie]],2,FALSE)</f>
        <v>IKC De Brug</v>
      </c>
      <c r="C172" s="105" t="str">
        <f>VLOOKUP(Ruimtestaat[[#This Row],[Code]],Locaties[[#All],[Code]:[Adres]],4,FALSE)</f>
        <v>Schoolstraat 7</v>
      </c>
      <c r="D172" s="105" t="str">
        <f>VLOOKUP(Ruimtestaat[[#This Row],[Code]],Locaties[[#All],[Code]:[Postcode]],5,FALSE)</f>
        <v>6931 DV</v>
      </c>
      <c r="E172" s="105" t="str">
        <f>VLOOKUP(Ruimtestaat[[#This Row],[Code]],Locaties[#All],6,FALSE)</f>
        <v>Westervoort</v>
      </c>
      <c r="F172" s="73" t="s">
        <v>1798</v>
      </c>
      <c r="G172" s="73"/>
      <c r="H172" s="31" t="s">
        <v>1809</v>
      </c>
      <c r="I172" s="113" t="s">
        <v>1723</v>
      </c>
      <c r="J172" s="31">
        <v>5</v>
      </c>
      <c r="K172" s="113" t="str">
        <f>VLOOKUP(Ruimtestaat[[#This Row],[Ruimte code]],Ruimtegroepen[[#All],[Code]:[Ruimte omschrijving]],2,FALSE)</f>
        <v>Sanitair</v>
      </c>
      <c r="L172" s="73" t="s">
        <v>100</v>
      </c>
      <c r="M172" s="273" t="s">
        <v>1982</v>
      </c>
      <c r="N172" s="106">
        <v>3.9</v>
      </c>
      <c r="O172" s="112"/>
      <c r="P172" s="112"/>
      <c r="Q172" s="107" t="str">
        <f>VLOOKUP(Ruimtestaat[[#This Row],[Ruimte code]],Ruimtegroepen[],4,FALSE)</f>
        <v>Sa</v>
      </c>
      <c r="R172" s="73">
        <v>40</v>
      </c>
      <c r="S172" s="73" t="s">
        <v>2</v>
      </c>
      <c r="T172" s="73">
        <f>IF(R172&gt;0,IF(RIGHT(Ruimtestaat[[#This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2" s="73">
        <f>IF(T172&gt;0,VLOOKUP($J172,Ruimtegroepen[],3,FALSE)*VLOOKUP($L172,Vloersoorten[],3,FALSE)*VLOOKUP($S172,Frequenties[],3,FALSE)*VLOOKUP($A172,Locaties[],3,FALSE),0)</f>
        <v>0</v>
      </c>
      <c r="V172" s="73">
        <f>Ruimtestaat[[#This Row],[Uitvoeringen werkdagen]]*Ruimtestaat[[#This Row],[Oppervlak (netto)]]</f>
        <v>780</v>
      </c>
      <c r="W172" s="108">
        <f>IF(U172&gt;0,Ruimtestaat[[#This Row],[Prest. (m2 /jaar) werkdagen]]/Ruimtestaat[[#This Row],[Norm (m2/uur) werkdagen]],0)</f>
        <v>0</v>
      </c>
      <c r="X172" s="109">
        <f>Ruimtestaat[[#This Row],[uren / jaar werkdagen]]*Tariefsopbouw!$E$35</f>
        <v>0</v>
      </c>
      <c r="Y172" s="73"/>
      <c r="Z172" s="73">
        <f>IF(Ruimtestaat[[#This Row],[Frequentie weekend]]&gt;0,VALUE(LEFT(Y172,1))*R172,0)</f>
        <v>0</v>
      </c>
      <c r="AA172" s="72">
        <f>IF($Z172&gt;0,VLOOKUP($J172,Ruimtegroepen[],3,FALSE)*VLOOKUP($L172,Vloersoorten[],3,FALSE)*VLOOKUP($Y172,Frequenties[],3,FALSE)*VLOOKUP(Ruimtestaat[[#This Row],[Code]],Locaties[],3,FALSE),0)</f>
        <v>0</v>
      </c>
      <c r="AB172" s="72">
        <f>Ruimtestaat[[#This Row],[Uitvoeringen weekend]]*Ruimtestaat[[#This Row],[Oppervlak (netto)]]</f>
        <v>0</v>
      </c>
      <c r="AC172" s="72">
        <f>IF(AA172&gt;0,Ruimtestaat[[#This Row],[Prest. (m2 /jaar) weekend]]/Ruimtestaat[[#This Row],[Norm (m2/uur) weekend]],0)</f>
        <v>0</v>
      </c>
      <c r="AD172" s="109">
        <f>Ruimtestaat[[#This Row],[uren / jaar weekend]]*Tariefsopbouw!$D$40</f>
        <v>0</v>
      </c>
      <c r="AE172" s="108">
        <f>Ruimtestaat[[#This Row],[Prest. (m2 /jaar) weekend]]+Ruimtestaat[[#This Row],[Prest. (m2 /jaar) werkdagen]]</f>
        <v>780</v>
      </c>
      <c r="AF172" s="108">
        <f>Ruimtestaat[[#This Row],[uren / jaar weekend]]+Ruimtestaat[[#This Row],[uren / jaar werkdagen]]</f>
        <v>0</v>
      </c>
      <c r="AG172" s="103">
        <f>Ruimtestaat[[#This Row],[kosten / jaar weekend]]+Ruimtestaat[[#This Row],[kosten / jaar werkdagen]]</f>
        <v>0</v>
      </c>
      <c r="AH172" s="103"/>
      <c r="AI172" s="110" t="str">
        <f>IF(Ruimtestaat[[#This Row],[Frequentie werkdagen]]="","",_xlfn.CONCAT(Ruimtestaat[[#This Row],[Ruimte code]],"-",Ruimtestaat[[#This Row],[Frequentie werkdagen]]," ",Ruimtestaat[[#This Row],[Vloer code]]))</f>
        <v>5-5w L</v>
      </c>
      <c r="AJ172" s="114" t="str">
        <f>_xlfn.IFNA(VLOOKUP($AI172,Programma!$F$3:$G$1101,2,0),"")</f>
        <v>_</v>
      </c>
      <c r="AK172" s="114" t="str">
        <f>_xlfn.IFNA(VLOOKUP($AI172,Programma!$F$3:$H$1101,3,0),"")</f>
        <v>_</v>
      </c>
      <c r="AL172" s="114" t="str">
        <f>_xlfn.IFNA(VLOOKUP($AI172,Programma!$F$3:$I$1101,4,0),"")</f>
        <v>_</v>
      </c>
      <c r="AM172" s="114" t="str">
        <f>_xlfn.IFNA(VLOOKUP($AI172,Programma!$F$3:$J$1101,5,0),"")</f>
        <v>4w</v>
      </c>
      <c r="AN172" s="114" t="str">
        <f>_xlfn.IFNA(VLOOKUP($AI172,Programma!$F$3:$K$1101,6,0),"")</f>
        <v>1w</v>
      </c>
      <c r="AO172" s="114" t="str">
        <f>_xlfn.IFNA(VLOOKUP($AI172,Programma!$F$3:$L$1101,7,0),"")</f>
        <v>_</v>
      </c>
      <c r="AP172" s="114" t="str">
        <f>_xlfn.IFNA(VLOOKUP($AI172,Programma!$F$3:$M$1101,8,0),"")</f>
        <v>_</v>
      </c>
      <c r="AQ172" s="114" t="str">
        <f>_xlfn.IFNA(VLOOKUP($AI172,Programma!$F$3:$N$1101,9,0),"")</f>
        <v>_</v>
      </c>
      <c r="AR172" s="114" t="str">
        <f>_xlfn.IFNA(VLOOKUP($AI172,Programma!$F$3:$O$1101,10,0),"")</f>
        <v>_</v>
      </c>
      <c r="AS172" s="114" t="str">
        <f>_xlfn.IFNA(VLOOKUP($AI172,Programma!$F$3:$P$1101,11,0),"")</f>
        <v>_</v>
      </c>
      <c r="AT172" s="114" t="str">
        <f>_xlfn.IFNA(VLOOKUP($AI172,Programma!$F$3:$Q$1101,12,0),"")</f>
        <v>_</v>
      </c>
      <c r="AU172" s="114" t="str">
        <f>_xlfn.IFNA(VLOOKUP($AI172,Programma!$F$3:$R$1101,13,0),"")</f>
        <v>_</v>
      </c>
      <c r="AV172" s="114" t="str">
        <f>_xlfn.IFNA(VLOOKUP($AI172,Programma!$F$3:$S$1101,14,0),"")</f>
        <v>_</v>
      </c>
      <c r="AW172" s="114" t="str">
        <f>_xlfn.IFNA(VLOOKUP($AI172,Programma!$F$3:$T$1101,15,0),"")</f>
        <v>_</v>
      </c>
      <c r="AX172" s="114" t="str">
        <f>_xlfn.IFNA(VLOOKUP($AI172,Programma!$F$3:$U$1101,16,0),"")</f>
        <v>_</v>
      </c>
      <c r="AY172" s="114" t="str">
        <f>_xlfn.IFNA(VLOOKUP($AI172,Programma!$F$3:$V$1101,17,0),"")</f>
        <v>_</v>
      </c>
      <c r="AZ172" s="114" t="str">
        <f>_xlfn.IFNA(VLOOKUP($AI172,Programma!$F$3:$W$1101,18,0),"")</f>
        <v>4w</v>
      </c>
      <c r="BA172" s="114" t="str">
        <f>_xlfn.IFNA(VLOOKUP($AI172,Programma!$F$3:$X$1101,19,0),"")</f>
        <v>1w</v>
      </c>
      <c r="BB172" s="114" t="str">
        <f>_xlfn.IFNA(VLOOKUP($AI172,Programma!$F$3:$Y$1101,20,0),"")</f>
        <v>_</v>
      </c>
      <c r="BC172" s="111"/>
      <c r="BD172" s="110" t="str">
        <f>IF(Ruimtestaat[[#This Row],[Frequentie weekend]]="","",_xlfn.CONCAT(Ruimtestaat[[#This Row],[Ruimte code]],"-",Ruimtestaat[[#This Row],[Frequentie weekend]]," ",Ruimtestaat[[#This Row],[Vloer code]]))</f>
        <v/>
      </c>
      <c r="BE172" s="114" t="str">
        <f>_xlfn.IFNA(VLOOKUP($BD172,Programma!$F$3:$G$1101,2,0),"")</f>
        <v/>
      </c>
      <c r="BF172" s="114" t="str">
        <f>_xlfn.IFNA(VLOOKUP($BD172,Programma!$F$3:$H$1101,3,0),"")</f>
        <v/>
      </c>
      <c r="BG172" s="114" t="str">
        <f>_xlfn.IFNA(VLOOKUP($BD172,Programma!$F$3:$I$1101,4,0),"")</f>
        <v/>
      </c>
      <c r="BH172" s="114" t="str">
        <f>_xlfn.IFNA(VLOOKUP($BD172,Programma!$F$3:$J$1101,5,0),"")</f>
        <v/>
      </c>
      <c r="BI172" s="114" t="str">
        <f>_xlfn.IFNA(VLOOKUP($BD172,Programma!$F$3:$K$1101,6,0),"")</f>
        <v/>
      </c>
      <c r="BJ172" s="114" t="str">
        <f>_xlfn.IFNA(VLOOKUP($BD172,Programma!$F$3:$L$1101,7,0),"")</f>
        <v/>
      </c>
      <c r="BK172" s="114" t="str">
        <f>_xlfn.IFNA(VLOOKUP($BD172,Programma!$F$3:$M$1101,8,0),"")</f>
        <v/>
      </c>
      <c r="BL172" s="114" t="str">
        <f>_xlfn.IFNA(VLOOKUP($BD172,Programma!$F$3:$N$1101,9,0),"")</f>
        <v/>
      </c>
      <c r="BM172" s="114" t="str">
        <f>_xlfn.IFNA(VLOOKUP($BD172,Programma!$F$3:$O$1101,10,0),"")</f>
        <v/>
      </c>
      <c r="BN172" s="114" t="str">
        <f>_xlfn.IFNA(VLOOKUP($BD172,Programma!$F$3:$P$1101,11,0),"")</f>
        <v/>
      </c>
      <c r="BO172" s="114" t="str">
        <f>_xlfn.IFNA(VLOOKUP($BD172,Programma!$F$3:$Q$1101,12,0),"")</f>
        <v/>
      </c>
      <c r="BP172" s="114" t="str">
        <f>_xlfn.IFNA(VLOOKUP($BD172,Programma!$F$3:$R$1101,13,0),"")</f>
        <v/>
      </c>
      <c r="BQ172" s="114" t="str">
        <f>_xlfn.IFNA(VLOOKUP($BD172,Programma!$F$3:$S$1101,14,0),"")</f>
        <v/>
      </c>
      <c r="BR172" s="114" t="str">
        <f>_xlfn.IFNA(VLOOKUP($BD172,Programma!$F$3:$T$1101,15,0),"")</f>
        <v/>
      </c>
      <c r="BS172" s="114" t="str">
        <f>_xlfn.IFNA(VLOOKUP($BD172,Programma!$F$3:$U$1101,16,0),"")</f>
        <v/>
      </c>
      <c r="BT172" s="114" t="str">
        <f>_xlfn.IFNA(VLOOKUP($BD172,Programma!$F$3:$V$1101,17,0),"")</f>
        <v/>
      </c>
      <c r="BU172" s="114" t="str">
        <f>_xlfn.IFNA(VLOOKUP($BD172,Programma!$F$3:$W$1101,18,0),"")</f>
        <v/>
      </c>
      <c r="BV172" s="114" t="str">
        <f>_xlfn.IFNA(VLOOKUP($BD172,Programma!$F$3:$X$1101,19,0),"")</f>
        <v/>
      </c>
      <c r="BW172" s="114" t="str">
        <f>_xlfn.IFNA(VLOOKUP($BD172,Programma!$F$3:$Y$1101,20,0),"")</f>
        <v/>
      </c>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c r="EO172" s="28"/>
      <c r="EP172" s="28"/>
      <c r="EQ172" s="28"/>
      <c r="ER172" s="28"/>
      <c r="ES172" s="28"/>
      <c r="ET172" s="28"/>
      <c r="EU172" s="28"/>
      <c r="EV172" s="28"/>
      <c r="EW172" s="28"/>
      <c r="EX172" s="28"/>
      <c r="EY172" s="28"/>
      <c r="EZ172" s="28"/>
      <c r="FA172" s="28"/>
      <c r="FB172" s="28"/>
      <c r="FC172" s="28"/>
      <c r="FD172" s="28"/>
      <c r="FE172" s="28"/>
      <c r="FF172" s="28"/>
      <c r="FG172" s="28"/>
      <c r="FH172" s="28"/>
      <c r="FI172" s="28"/>
      <c r="FJ172" s="28"/>
      <c r="FK172" s="28"/>
      <c r="FL172" s="28"/>
      <c r="FM172" s="28"/>
      <c r="FN172" s="28"/>
      <c r="FO172" s="28"/>
      <c r="FP172" s="28"/>
      <c r="FQ172" s="28"/>
      <c r="FR172" s="28"/>
      <c r="FS172" s="28"/>
      <c r="FT172" s="28"/>
      <c r="FU172" s="28"/>
      <c r="FV172" s="28"/>
      <c r="FW172" s="28"/>
      <c r="FX172" s="28"/>
      <c r="FY172" s="28"/>
      <c r="FZ172" s="28"/>
      <c r="GA172" s="28"/>
      <c r="GB172" s="28"/>
      <c r="GC172" s="28"/>
      <c r="GD172" s="28"/>
      <c r="GE172" s="28"/>
      <c r="GF172" s="28"/>
      <c r="GG172" s="28"/>
      <c r="GH172" s="28"/>
      <c r="GI172" s="28"/>
      <c r="GJ172" s="28"/>
      <c r="GK172" s="28"/>
      <c r="GL172" s="28"/>
      <c r="GM172" s="28"/>
      <c r="GN172" s="28"/>
      <c r="GO172" s="28"/>
      <c r="GP172" s="28"/>
      <c r="GQ172" s="28"/>
      <c r="GR172" s="28"/>
      <c r="GS172" s="28"/>
      <c r="GT172" s="28"/>
      <c r="GU172" s="28"/>
      <c r="GV172" s="28"/>
      <c r="GW172" s="28"/>
      <c r="GX172" s="28"/>
      <c r="GY172" s="28"/>
      <c r="GZ172" s="28"/>
      <c r="HA172" s="28"/>
      <c r="HB172" s="28"/>
      <c r="HC172" s="28"/>
      <c r="HD172" s="28"/>
      <c r="HE172" s="28"/>
      <c r="HF172" s="28"/>
      <c r="HG172" s="28"/>
      <c r="HH172" s="28"/>
      <c r="HI172" s="28"/>
      <c r="HJ172" s="28"/>
      <c r="HK172" s="28"/>
      <c r="HL172" s="28"/>
    </row>
    <row r="173" spans="1:220" ht="15" customHeight="1">
      <c r="A173" s="31">
        <v>4</v>
      </c>
      <c r="B173" s="105" t="str">
        <f>VLOOKUP(Ruimtestaat[[#This Row],[Code]],Locaties[[Code]:[Locatie]],2,FALSE)</f>
        <v>IKC De Brug</v>
      </c>
      <c r="C173" s="105" t="str">
        <f>VLOOKUP(Ruimtestaat[[#This Row],[Code]],Locaties[[#All],[Code]:[Adres]],4,FALSE)</f>
        <v>Schoolstraat 7</v>
      </c>
      <c r="D173" s="105" t="str">
        <f>VLOOKUP(Ruimtestaat[[#This Row],[Code]],Locaties[[#All],[Code]:[Postcode]],5,FALSE)</f>
        <v>6931 DV</v>
      </c>
      <c r="E173" s="105" t="str">
        <f>VLOOKUP(Ruimtestaat[[#This Row],[Code]],Locaties[#All],6,FALSE)</f>
        <v>Westervoort</v>
      </c>
      <c r="F173" s="73" t="s">
        <v>1798</v>
      </c>
      <c r="G173" s="73"/>
      <c r="H173" s="31" t="s">
        <v>1810</v>
      </c>
      <c r="I173" s="113" t="s">
        <v>1724</v>
      </c>
      <c r="J173" s="31">
        <v>16</v>
      </c>
      <c r="K173" s="113" t="str">
        <f>VLOOKUP(Ruimtestaat[[#This Row],[Ruimte code]],Ruimtegroepen[[#All],[Code]:[Ruimte omschrijving]],2,FALSE)</f>
        <v>Leslokalen</v>
      </c>
      <c r="L173" s="73" t="s">
        <v>100</v>
      </c>
      <c r="M173" s="273" t="s">
        <v>1982</v>
      </c>
      <c r="N173" s="106">
        <v>49.8</v>
      </c>
      <c r="O173" s="112"/>
      <c r="P173" s="112"/>
      <c r="Q173" s="107" t="str">
        <f>VLOOKUP(Ruimtestaat[[#This Row],[Ruimte code]],Ruimtegroepen[],4,FALSE)</f>
        <v>Le</v>
      </c>
      <c r="R173" s="73">
        <v>40</v>
      </c>
      <c r="S173" s="73" t="s">
        <v>2</v>
      </c>
      <c r="T173" s="73">
        <f>IF(R173&gt;0,IF(RIGHT(Ruimtestaat[[#This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3" s="73">
        <f>IF(T173&gt;0,VLOOKUP($J173,Ruimtegroepen[],3,FALSE)*VLOOKUP($L173,Vloersoorten[],3,FALSE)*VLOOKUP($S173,Frequenties[],3,FALSE)*VLOOKUP($A173,Locaties[],3,FALSE),0)</f>
        <v>0</v>
      </c>
      <c r="V173" s="73">
        <f>Ruimtestaat[[#This Row],[Uitvoeringen werkdagen]]*Ruimtestaat[[#This Row],[Oppervlak (netto)]]</f>
        <v>9960</v>
      </c>
      <c r="W173" s="108">
        <f>IF(U173&gt;0,Ruimtestaat[[#This Row],[Prest. (m2 /jaar) werkdagen]]/Ruimtestaat[[#This Row],[Norm (m2/uur) werkdagen]],0)</f>
        <v>0</v>
      </c>
      <c r="X173" s="109">
        <f>Ruimtestaat[[#This Row],[uren / jaar werkdagen]]*Tariefsopbouw!$E$35</f>
        <v>0</v>
      </c>
      <c r="Y173" s="73"/>
      <c r="Z173" s="73">
        <f>IF(Ruimtestaat[[#This Row],[Frequentie weekend]]&gt;0,VALUE(LEFT(Y173,1))*R173,0)</f>
        <v>0</v>
      </c>
      <c r="AA173" s="72">
        <f>IF($Z173&gt;0,VLOOKUP($J173,Ruimtegroepen[],3,FALSE)*VLOOKUP($L173,Vloersoorten[],3,FALSE)*VLOOKUP($Y173,Frequenties[],3,FALSE)*VLOOKUP(Ruimtestaat[[#This Row],[Code]],Locaties[],3,FALSE),0)</f>
        <v>0</v>
      </c>
      <c r="AB173" s="72">
        <f>Ruimtestaat[[#This Row],[Uitvoeringen weekend]]*Ruimtestaat[[#This Row],[Oppervlak (netto)]]</f>
        <v>0</v>
      </c>
      <c r="AC173" s="72">
        <f>IF(AA173&gt;0,Ruimtestaat[[#This Row],[Prest. (m2 /jaar) weekend]]/Ruimtestaat[[#This Row],[Norm (m2/uur) weekend]],0)</f>
        <v>0</v>
      </c>
      <c r="AD173" s="109">
        <f>Ruimtestaat[[#This Row],[uren / jaar weekend]]*Tariefsopbouw!$D$40</f>
        <v>0</v>
      </c>
      <c r="AE173" s="108">
        <f>Ruimtestaat[[#This Row],[Prest. (m2 /jaar) weekend]]+Ruimtestaat[[#This Row],[Prest. (m2 /jaar) werkdagen]]</f>
        <v>9960</v>
      </c>
      <c r="AF173" s="108">
        <f>Ruimtestaat[[#This Row],[uren / jaar weekend]]+Ruimtestaat[[#This Row],[uren / jaar werkdagen]]</f>
        <v>0</v>
      </c>
      <c r="AG173" s="103">
        <f>Ruimtestaat[[#This Row],[kosten / jaar weekend]]+Ruimtestaat[[#This Row],[kosten / jaar werkdagen]]</f>
        <v>0</v>
      </c>
      <c r="AH173" s="103"/>
      <c r="AI173" s="110" t="str">
        <f>IF(Ruimtestaat[[#This Row],[Frequentie werkdagen]]="","",_xlfn.CONCAT(Ruimtestaat[[#This Row],[Ruimte code]],"-",Ruimtestaat[[#This Row],[Frequentie werkdagen]]," ",Ruimtestaat[[#This Row],[Vloer code]]))</f>
        <v>16-5w L</v>
      </c>
      <c r="AJ173" s="114" t="str">
        <f>_xlfn.IFNA(VLOOKUP($AI173,Programma!$F$3:$G$1101,2,0),"")</f>
        <v>_</v>
      </c>
      <c r="AK173" s="114" t="str">
        <f>_xlfn.IFNA(VLOOKUP($AI173,Programma!$F$3:$H$1101,3,0),"")</f>
        <v>_</v>
      </c>
      <c r="AL173" s="114" t="str">
        <f>_xlfn.IFNA(VLOOKUP($AI173,Programma!$F$3:$I$1101,4,0),"")</f>
        <v>4w</v>
      </c>
      <c r="AM173" s="114" t="str">
        <f>_xlfn.IFNA(VLOOKUP($AI173,Programma!$F$3:$J$1101,5,0),"")</f>
        <v>1w</v>
      </c>
      <c r="AN173" s="114" t="str">
        <f>_xlfn.IFNA(VLOOKUP($AI173,Programma!$F$3:$K$1101,6,0),"")</f>
        <v>_</v>
      </c>
      <c r="AO173" s="114" t="str">
        <f>_xlfn.IFNA(VLOOKUP($AI173,Programma!$F$3:$L$1101,7,0),"")</f>
        <v>_</v>
      </c>
      <c r="AP173" s="114" t="str">
        <f>_xlfn.IFNA(VLOOKUP($AI173,Programma!$F$3:$M$1101,8,0),"")</f>
        <v>_</v>
      </c>
      <c r="AQ173" s="114" t="str">
        <f>_xlfn.IFNA(VLOOKUP($AI173,Programma!$F$3:$N$1101,9,0),"")</f>
        <v>_</v>
      </c>
      <c r="AR173" s="114" t="str">
        <f>_xlfn.IFNA(VLOOKUP($AI173,Programma!$F$3:$O$1101,10,0),"")</f>
        <v>5w</v>
      </c>
      <c r="AS173" s="114" t="str">
        <f>_xlfn.IFNA(VLOOKUP($AI173,Programma!$F$3:$P$1101,11,0),"")</f>
        <v>5w</v>
      </c>
      <c r="AT173" s="114" t="str">
        <f>_xlfn.IFNA(VLOOKUP($AI173,Programma!$F$3:$Q$1101,12,0),"")</f>
        <v>1w</v>
      </c>
      <c r="AU173" s="114" t="str">
        <f>_xlfn.IFNA(VLOOKUP($AI173,Programma!$F$3:$R$1101,13,0),"")</f>
        <v>1w</v>
      </c>
      <c r="AV173" s="114" t="str">
        <f>_xlfn.IFNA(VLOOKUP($AI173,Programma!$F$3:$S$1101,14,0),"")</f>
        <v>1m</v>
      </c>
      <c r="AW173" s="114" t="str">
        <f>_xlfn.IFNA(VLOOKUP($AI173,Programma!$F$3:$T$1101,15,0),"")</f>
        <v>2j</v>
      </c>
      <c r="AX173" s="114" t="str">
        <f>_xlfn.IFNA(VLOOKUP($AI173,Programma!$F$3:$U$1101,16,0),"")</f>
        <v>1j</v>
      </c>
      <c r="AY173" s="114" t="str">
        <f>_xlfn.IFNA(VLOOKUP($AI173,Programma!$F$3:$V$1101,17,0),"")</f>
        <v>_</v>
      </c>
      <c r="AZ173" s="114" t="str">
        <f>_xlfn.IFNA(VLOOKUP($AI173,Programma!$F$3:$W$1101,18,0),"")</f>
        <v>_</v>
      </c>
      <c r="BA173" s="114" t="str">
        <f>_xlfn.IFNA(VLOOKUP($AI173,Programma!$F$3:$X$1101,19,0),"")</f>
        <v>_</v>
      </c>
      <c r="BB173" s="114" t="str">
        <f>_xlfn.IFNA(VLOOKUP($AI173,Programma!$F$3:$Y$1101,20,0),"")</f>
        <v>_</v>
      </c>
      <c r="BC173" s="111"/>
      <c r="BD173" s="110" t="str">
        <f>IF(Ruimtestaat[[#This Row],[Frequentie weekend]]="","",_xlfn.CONCAT(Ruimtestaat[[#This Row],[Ruimte code]],"-",Ruimtestaat[[#This Row],[Frequentie weekend]]," ",Ruimtestaat[[#This Row],[Vloer code]]))</f>
        <v/>
      </c>
      <c r="BE173" s="114" t="str">
        <f>_xlfn.IFNA(VLOOKUP($BD173,Programma!$F$3:$G$1101,2,0),"")</f>
        <v/>
      </c>
      <c r="BF173" s="114" t="str">
        <f>_xlfn.IFNA(VLOOKUP($BD173,Programma!$F$3:$H$1101,3,0),"")</f>
        <v/>
      </c>
      <c r="BG173" s="114" t="str">
        <f>_xlfn.IFNA(VLOOKUP($BD173,Programma!$F$3:$I$1101,4,0),"")</f>
        <v/>
      </c>
      <c r="BH173" s="114" t="str">
        <f>_xlfn.IFNA(VLOOKUP($BD173,Programma!$F$3:$J$1101,5,0),"")</f>
        <v/>
      </c>
      <c r="BI173" s="114" t="str">
        <f>_xlfn.IFNA(VLOOKUP($BD173,Programma!$F$3:$K$1101,6,0),"")</f>
        <v/>
      </c>
      <c r="BJ173" s="114" t="str">
        <f>_xlfn.IFNA(VLOOKUP($BD173,Programma!$F$3:$L$1101,7,0),"")</f>
        <v/>
      </c>
      <c r="BK173" s="114" t="str">
        <f>_xlfn.IFNA(VLOOKUP($BD173,Programma!$F$3:$M$1101,8,0),"")</f>
        <v/>
      </c>
      <c r="BL173" s="114" t="str">
        <f>_xlfn.IFNA(VLOOKUP($BD173,Programma!$F$3:$N$1101,9,0),"")</f>
        <v/>
      </c>
      <c r="BM173" s="114" t="str">
        <f>_xlfn.IFNA(VLOOKUP($BD173,Programma!$F$3:$O$1101,10,0),"")</f>
        <v/>
      </c>
      <c r="BN173" s="114" t="str">
        <f>_xlfn.IFNA(VLOOKUP($BD173,Programma!$F$3:$P$1101,11,0),"")</f>
        <v/>
      </c>
      <c r="BO173" s="114" t="str">
        <f>_xlfn.IFNA(VLOOKUP($BD173,Programma!$F$3:$Q$1101,12,0),"")</f>
        <v/>
      </c>
      <c r="BP173" s="114" t="str">
        <f>_xlfn.IFNA(VLOOKUP($BD173,Programma!$F$3:$R$1101,13,0),"")</f>
        <v/>
      </c>
      <c r="BQ173" s="114" t="str">
        <f>_xlfn.IFNA(VLOOKUP($BD173,Programma!$F$3:$S$1101,14,0),"")</f>
        <v/>
      </c>
      <c r="BR173" s="114" t="str">
        <f>_xlfn.IFNA(VLOOKUP($BD173,Programma!$F$3:$T$1101,15,0),"")</f>
        <v/>
      </c>
      <c r="BS173" s="114" t="str">
        <f>_xlfn.IFNA(VLOOKUP($BD173,Programma!$F$3:$U$1101,16,0),"")</f>
        <v/>
      </c>
      <c r="BT173" s="114" t="str">
        <f>_xlfn.IFNA(VLOOKUP($BD173,Programma!$F$3:$V$1101,17,0),"")</f>
        <v/>
      </c>
      <c r="BU173" s="114" t="str">
        <f>_xlfn.IFNA(VLOOKUP($BD173,Programma!$F$3:$W$1101,18,0),"")</f>
        <v/>
      </c>
      <c r="BV173" s="114" t="str">
        <f>_xlfn.IFNA(VLOOKUP($BD173,Programma!$F$3:$X$1101,19,0),"")</f>
        <v/>
      </c>
      <c r="BW173" s="114" t="str">
        <f>_xlfn.IFNA(VLOOKUP($BD173,Programma!$F$3:$Y$1101,20,0),"")</f>
        <v/>
      </c>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c r="HG173" s="28"/>
      <c r="HH173" s="28"/>
      <c r="HI173" s="28"/>
      <c r="HJ173" s="28"/>
      <c r="HK173" s="28"/>
      <c r="HL173" s="28"/>
    </row>
    <row r="174" spans="1:220" ht="15" customHeight="1">
      <c r="A174" s="31">
        <v>5</v>
      </c>
      <c r="B174" s="105" t="str">
        <f>VLOOKUP(Ruimtestaat[[#This Row],[Code]],Locaties[[Code]:[Locatie]],2,FALSE)</f>
        <v>IKC Remigius</v>
      </c>
      <c r="C174" s="105" t="str">
        <f>VLOOKUP(Ruimtestaat[[#This Row],[Code]],Locaties[[#All],[Code]:[Adres]],4,FALSE)</f>
        <v>Liemersplein 1</v>
      </c>
      <c r="D174" s="105" t="str">
        <f>VLOOKUP(Ruimtestaat[[#This Row],[Code]],Locaties[[#All],[Code]:[Postcode]],5,FALSE)</f>
        <v xml:space="preserve">6921 HN </v>
      </c>
      <c r="E174" s="105" t="str">
        <f>VLOOKUP(Ruimtestaat[[#This Row],[Code]],Locaties[#All],6,FALSE)</f>
        <v>Duiven</v>
      </c>
      <c r="F174" s="73"/>
      <c r="G174" s="73" t="s">
        <v>1645</v>
      </c>
      <c r="H174" s="31" t="s">
        <v>1754</v>
      </c>
      <c r="I174" s="113" t="s">
        <v>38</v>
      </c>
      <c r="J174" s="73">
        <v>7</v>
      </c>
      <c r="K174" s="113" t="str">
        <f>VLOOKUP(Ruimtestaat[[#This Row],[Ruimte code]],Ruimtegroepen[[#All],[Code]:[Ruimte omschrijving]],2,FALSE)</f>
        <v>Entree</v>
      </c>
      <c r="L174" s="73" t="s">
        <v>102</v>
      </c>
      <c r="M174" s="273" t="s">
        <v>120</v>
      </c>
      <c r="N174" s="106">
        <v>9.8000000000000007</v>
      </c>
      <c r="O174" s="112"/>
      <c r="P174" s="73"/>
      <c r="Q174" s="107" t="str">
        <f>VLOOKUP(Ruimtestaat[[#This Row],[Ruimte code]],Ruimtegroepen[],4,FALSE)</f>
        <v>Ve</v>
      </c>
      <c r="R174" s="73">
        <v>40</v>
      </c>
      <c r="S174" s="73" t="s">
        <v>2</v>
      </c>
      <c r="T174" s="73">
        <f>IF(R174&gt;0,IF(RIGHT(Ruimtestaat[[#This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4" s="73">
        <f>IF(T174&gt;0,VLOOKUP($J174,Ruimtegroepen[],3,FALSE)*VLOOKUP($L174,Vloersoorten[],3,FALSE)*VLOOKUP($S174,Frequenties[],3,FALSE)*VLOOKUP($A174,Locaties[],3,FALSE),0)</f>
        <v>0</v>
      </c>
      <c r="V174" s="73">
        <f>Ruimtestaat[[#This Row],[Uitvoeringen werkdagen]]*Ruimtestaat[[#This Row],[Oppervlak (netto)]]</f>
        <v>1960.0000000000002</v>
      </c>
      <c r="W174" s="108">
        <f>IF(U174&gt;0,Ruimtestaat[[#This Row],[Prest. (m2 /jaar) werkdagen]]/Ruimtestaat[[#This Row],[Norm (m2/uur) werkdagen]],0)</f>
        <v>0</v>
      </c>
      <c r="X174" s="109">
        <f>Ruimtestaat[[#This Row],[uren / jaar werkdagen]]*Tariefsopbouw!$E$35</f>
        <v>0</v>
      </c>
      <c r="Y174" s="73"/>
      <c r="Z174" s="73">
        <f>IF(Ruimtestaat[[#This Row],[Frequentie weekend]]&gt;0,VALUE(LEFT(Y174,1))*R174,0)</f>
        <v>0</v>
      </c>
      <c r="AA174" s="72">
        <f>IF($Z174&gt;0,VLOOKUP($J174,Ruimtegroepen[],3,FALSE)*VLOOKUP($L174,Vloersoorten[],3,FALSE)*VLOOKUP($Y174,Frequenties[],3,FALSE)*VLOOKUP(Ruimtestaat[[#This Row],[Code]],Locaties[],3,FALSE),0)</f>
        <v>0</v>
      </c>
      <c r="AB174" s="72">
        <f>Ruimtestaat[[#This Row],[Uitvoeringen weekend]]*Ruimtestaat[[#This Row],[Oppervlak (netto)]]</f>
        <v>0</v>
      </c>
      <c r="AC174" s="72">
        <f>IF(AA174&gt;0,Ruimtestaat[[#This Row],[Prest. (m2 /jaar) weekend]]/Ruimtestaat[[#This Row],[Norm (m2/uur) weekend]],0)</f>
        <v>0</v>
      </c>
      <c r="AD174" s="109">
        <f>Ruimtestaat[[#This Row],[uren / jaar weekend]]*Tariefsopbouw!$D$40</f>
        <v>0</v>
      </c>
      <c r="AE174" s="108">
        <f>Ruimtestaat[[#This Row],[Prest. (m2 /jaar) weekend]]+Ruimtestaat[[#This Row],[Prest. (m2 /jaar) werkdagen]]</f>
        <v>1960.0000000000002</v>
      </c>
      <c r="AF174" s="108">
        <f>Ruimtestaat[[#This Row],[uren / jaar weekend]]+Ruimtestaat[[#This Row],[uren / jaar werkdagen]]</f>
        <v>0</v>
      </c>
      <c r="AG174" s="103">
        <f>Ruimtestaat[[#This Row],[kosten / jaar weekend]]+Ruimtestaat[[#This Row],[kosten / jaar werkdagen]]</f>
        <v>0</v>
      </c>
      <c r="AH174" s="103"/>
      <c r="AI174" s="110" t="str">
        <f>IF(Ruimtestaat[[#This Row],[Frequentie werkdagen]]="","",_xlfn.CONCAT(Ruimtestaat[[#This Row],[Ruimte code]],"-",Ruimtestaat[[#This Row],[Frequentie werkdagen]]," ",Ruimtestaat[[#This Row],[Vloer code]]))</f>
        <v>7-5w P</v>
      </c>
      <c r="AJ174" s="114" t="str">
        <f>_xlfn.IFNA(VLOOKUP($AI174,Programma!$F$3:$G$1101,2,0),"")</f>
        <v>_</v>
      </c>
      <c r="AK174" s="114" t="str">
        <f>_xlfn.IFNA(VLOOKUP($AI174,Programma!$F$3:$H$1101,3,0),"")</f>
        <v>_</v>
      </c>
      <c r="AL174" s="114" t="str">
        <f>_xlfn.IFNA(VLOOKUP($AI174,Programma!$F$3:$I$1101,4,0),"")</f>
        <v>5w</v>
      </c>
      <c r="AM174" s="114" t="str">
        <f>_xlfn.IFNA(VLOOKUP($AI174,Programma!$F$3:$J$1101,5,0),"")</f>
        <v>_</v>
      </c>
      <c r="AN174" s="114" t="str">
        <f>_xlfn.IFNA(VLOOKUP($AI174,Programma!$F$3:$K$1101,6,0),"")</f>
        <v>5w</v>
      </c>
      <c r="AO174" s="114" t="str">
        <f>_xlfn.IFNA(VLOOKUP($AI174,Programma!$F$3:$L$1101,7,0),"")</f>
        <v>_</v>
      </c>
      <c r="AP174" s="114" t="str">
        <f>_xlfn.IFNA(VLOOKUP($AI174,Programma!$F$3:$M$1101,8,0),"")</f>
        <v>_</v>
      </c>
      <c r="AQ174" s="114" t="str">
        <f>_xlfn.IFNA(VLOOKUP($AI174,Programma!$F$3:$N$1101,9,0),"")</f>
        <v>_</v>
      </c>
      <c r="AR174" s="114" t="str">
        <f>_xlfn.IFNA(VLOOKUP($AI174,Programma!$F$3:$O$1101,10,0),"")</f>
        <v>5w</v>
      </c>
      <c r="AS174" s="114" t="str">
        <f>_xlfn.IFNA(VLOOKUP($AI174,Programma!$F$3:$P$1101,11,0),"")</f>
        <v>5w</v>
      </c>
      <c r="AT174" s="114" t="str">
        <f>_xlfn.IFNA(VLOOKUP($AI174,Programma!$F$3:$Q$1101,12,0),"")</f>
        <v>1w</v>
      </c>
      <c r="AU174" s="114" t="str">
        <f>_xlfn.IFNA(VLOOKUP($AI174,Programma!$F$3:$R$1101,13,0),"")</f>
        <v>1w</v>
      </c>
      <c r="AV174" s="114" t="str">
        <f>_xlfn.IFNA(VLOOKUP($AI174,Programma!$F$3:$S$1101,14,0),"")</f>
        <v>1m</v>
      </c>
      <c r="AW174" s="114" t="str">
        <f>_xlfn.IFNA(VLOOKUP($AI174,Programma!$F$3:$T$1101,15,0),"")</f>
        <v>2j</v>
      </c>
      <c r="AX174" s="114" t="str">
        <f>_xlfn.IFNA(VLOOKUP($AI174,Programma!$F$3:$U$1101,16,0),"")</f>
        <v>1j</v>
      </c>
      <c r="AY174" s="114" t="str">
        <f>_xlfn.IFNA(VLOOKUP($AI174,Programma!$F$3:$V$1101,17,0),"")</f>
        <v>_</v>
      </c>
      <c r="AZ174" s="114" t="str">
        <f>_xlfn.IFNA(VLOOKUP($AI174,Programma!$F$3:$W$1101,18,0),"")</f>
        <v>_</v>
      </c>
      <c r="BA174" s="114" t="str">
        <f>_xlfn.IFNA(VLOOKUP($AI174,Programma!$F$3:$X$1101,19,0),"")</f>
        <v>_</v>
      </c>
      <c r="BB174" s="114" t="str">
        <f>_xlfn.IFNA(VLOOKUP($AI174,Programma!$F$3:$Y$1101,20,0),"")</f>
        <v>_</v>
      </c>
      <c r="BC174" s="111"/>
      <c r="BD174" s="110" t="str">
        <f>IF(Ruimtestaat[[#This Row],[Frequentie weekend]]="","",_xlfn.CONCAT(Ruimtestaat[[#This Row],[Ruimte code]],"-",Ruimtestaat[[#This Row],[Frequentie weekend]]," ",Ruimtestaat[[#This Row],[Vloer code]]))</f>
        <v/>
      </c>
      <c r="BE174" s="114" t="str">
        <f>_xlfn.IFNA(VLOOKUP($BD174,Programma!$F$3:$G$1101,2,0),"")</f>
        <v/>
      </c>
      <c r="BF174" s="114" t="str">
        <f>_xlfn.IFNA(VLOOKUP($BD174,Programma!$F$3:$H$1101,3,0),"")</f>
        <v/>
      </c>
      <c r="BG174" s="114" t="str">
        <f>_xlfn.IFNA(VLOOKUP($BD174,Programma!$F$3:$I$1101,4,0),"")</f>
        <v/>
      </c>
      <c r="BH174" s="114" t="str">
        <f>_xlfn.IFNA(VLOOKUP($BD174,Programma!$F$3:$J$1101,5,0),"")</f>
        <v/>
      </c>
      <c r="BI174" s="114" t="str">
        <f>_xlfn.IFNA(VLOOKUP($BD174,Programma!$F$3:$K$1101,6,0),"")</f>
        <v/>
      </c>
      <c r="BJ174" s="114" t="str">
        <f>_xlfn.IFNA(VLOOKUP($BD174,Programma!$F$3:$L$1101,7,0),"")</f>
        <v/>
      </c>
      <c r="BK174" s="114" t="str">
        <f>_xlfn.IFNA(VLOOKUP($BD174,Programma!$F$3:$M$1101,8,0),"")</f>
        <v/>
      </c>
      <c r="BL174" s="114" t="str">
        <f>_xlfn.IFNA(VLOOKUP($BD174,Programma!$F$3:$N$1101,9,0),"")</f>
        <v/>
      </c>
      <c r="BM174" s="114" t="str">
        <f>_xlfn.IFNA(VLOOKUP($BD174,Programma!$F$3:$O$1101,10,0),"")</f>
        <v/>
      </c>
      <c r="BN174" s="114" t="str">
        <f>_xlfn.IFNA(VLOOKUP($BD174,Programma!$F$3:$P$1101,11,0),"")</f>
        <v/>
      </c>
      <c r="BO174" s="114" t="str">
        <f>_xlfn.IFNA(VLOOKUP($BD174,Programma!$F$3:$Q$1101,12,0),"")</f>
        <v/>
      </c>
      <c r="BP174" s="114" t="str">
        <f>_xlfn.IFNA(VLOOKUP($BD174,Programma!$F$3:$R$1101,13,0),"")</f>
        <v/>
      </c>
      <c r="BQ174" s="114" t="str">
        <f>_xlfn.IFNA(VLOOKUP($BD174,Programma!$F$3:$S$1101,14,0),"")</f>
        <v/>
      </c>
      <c r="BR174" s="114" t="str">
        <f>_xlfn.IFNA(VLOOKUP($BD174,Programma!$F$3:$T$1101,15,0),"")</f>
        <v/>
      </c>
      <c r="BS174" s="114" t="str">
        <f>_xlfn.IFNA(VLOOKUP($BD174,Programma!$F$3:$U$1101,16,0),"")</f>
        <v/>
      </c>
      <c r="BT174" s="114" t="str">
        <f>_xlfn.IFNA(VLOOKUP($BD174,Programma!$F$3:$V$1101,17,0),"")</f>
        <v/>
      </c>
      <c r="BU174" s="114" t="str">
        <f>_xlfn.IFNA(VLOOKUP($BD174,Programma!$F$3:$W$1101,18,0),"")</f>
        <v/>
      </c>
      <c r="BV174" s="114" t="str">
        <f>_xlfn.IFNA(VLOOKUP($BD174,Programma!$F$3:$X$1101,19,0),"")</f>
        <v/>
      </c>
      <c r="BW174" s="114" t="str">
        <f>_xlfn.IFNA(VLOOKUP($BD174,Programma!$F$3:$Y$1101,20,0),"")</f>
        <v/>
      </c>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c r="ET174" s="28"/>
      <c r="EU174" s="28"/>
      <c r="EV174" s="28"/>
      <c r="EW174" s="28"/>
      <c r="EX174" s="28"/>
      <c r="EY174" s="28"/>
      <c r="EZ174" s="28"/>
      <c r="FA174" s="28"/>
      <c r="FB174" s="28"/>
      <c r="FC174" s="28"/>
      <c r="FD174" s="28"/>
      <c r="FE174" s="28"/>
      <c r="FF174" s="28"/>
      <c r="FG174" s="28"/>
      <c r="FH174" s="28"/>
      <c r="FI174" s="28"/>
      <c r="FJ174" s="28"/>
      <c r="FK174" s="28"/>
      <c r="FL174" s="28"/>
      <c r="FM174" s="28"/>
      <c r="FN174" s="28"/>
      <c r="FO174" s="28"/>
      <c r="FP174" s="28"/>
      <c r="FQ174" s="28"/>
      <c r="FR174" s="28"/>
      <c r="FS174" s="28"/>
      <c r="FT174" s="28"/>
      <c r="FU174" s="28"/>
      <c r="FV174" s="28"/>
      <c r="FW174" s="28"/>
      <c r="FX174" s="28"/>
      <c r="FY174" s="28"/>
      <c r="FZ174" s="28"/>
      <c r="GA174" s="28"/>
      <c r="GB174" s="28"/>
      <c r="GC174" s="28"/>
      <c r="GD174" s="28"/>
      <c r="GE174" s="28"/>
      <c r="GF174" s="28"/>
      <c r="GG174" s="28"/>
      <c r="GH174" s="28"/>
      <c r="GI174" s="28"/>
      <c r="GJ174" s="28"/>
      <c r="GK174" s="28"/>
      <c r="GL174" s="28"/>
      <c r="GM174" s="28"/>
      <c r="GN174" s="28"/>
      <c r="GO174" s="28"/>
      <c r="GP174" s="28"/>
      <c r="GQ174" s="28"/>
      <c r="GR174" s="28"/>
      <c r="GS174" s="28"/>
      <c r="GT174" s="28"/>
      <c r="GU174" s="28"/>
      <c r="GV174" s="28"/>
      <c r="GW174" s="28"/>
      <c r="GX174" s="28"/>
      <c r="GY174" s="28"/>
      <c r="GZ174" s="28"/>
      <c r="HA174" s="28"/>
      <c r="HB174" s="28"/>
      <c r="HC174" s="28"/>
      <c r="HD174" s="28"/>
      <c r="HE174" s="28"/>
      <c r="HF174" s="28"/>
      <c r="HG174" s="28"/>
      <c r="HH174" s="28"/>
      <c r="HI174" s="28"/>
      <c r="HJ174" s="28"/>
      <c r="HK174" s="28"/>
      <c r="HL174" s="28"/>
    </row>
    <row r="175" spans="1:220" ht="15" customHeight="1">
      <c r="A175" s="31">
        <v>5</v>
      </c>
      <c r="B175" s="105" t="str">
        <f>VLOOKUP(Ruimtestaat[[#This Row],[Code]],Locaties[[Code]:[Locatie]],2,FALSE)</f>
        <v>IKC Remigius</v>
      </c>
      <c r="C175" s="105" t="str">
        <f>VLOOKUP(Ruimtestaat[[#This Row],[Code]],Locaties[[#All],[Code]:[Adres]],4,FALSE)</f>
        <v>Liemersplein 1</v>
      </c>
      <c r="D175" s="105" t="str">
        <f>VLOOKUP(Ruimtestaat[[#This Row],[Code]],Locaties[[#All],[Code]:[Postcode]],5,FALSE)</f>
        <v xml:space="preserve">6921 HN </v>
      </c>
      <c r="E175" s="105" t="str">
        <f>VLOOKUP(Ruimtestaat[[#This Row],[Code]],Locaties[#All],6,FALSE)</f>
        <v>Duiven</v>
      </c>
      <c r="F175" s="73"/>
      <c r="G175" s="73" t="s">
        <v>1645</v>
      </c>
      <c r="H175" s="31" t="s">
        <v>1755</v>
      </c>
      <c r="I175" s="113" t="s">
        <v>1811</v>
      </c>
      <c r="J175" s="31">
        <v>6</v>
      </c>
      <c r="K175" s="113" t="str">
        <f>VLOOKUP(Ruimtestaat[[#This Row],[Ruimte code]],Ruimtegroepen[[#All],[Code]:[Ruimte omschrijving]],2,FALSE)</f>
        <v>Gangen/hallen</v>
      </c>
      <c r="L175" s="73" t="s">
        <v>102</v>
      </c>
      <c r="M175" s="273" t="s">
        <v>120</v>
      </c>
      <c r="N175" s="106">
        <v>18.2</v>
      </c>
      <c r="O175" s="112"/>
      <c r="P175" s="112"/>
      <c r="Q175" s="107" t="str">
        <f>VLOOKUP(Ruimtestaat[[#This Row],[Ruimte code]],Ruimtegroepen[],4,FALSE)</f>
        <v>Ve</v>
      </c>
      <c r="R175" s="73">
        <v>40</v>
      </c>
      <c r="S175" s="73" t="s">
        <v>2</v>
      </c>
      <c r="T175" s="73">
        <f>IF(R175&gt;0,IF(RIGHT(Ruimtestaat[[#This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5" s="73">
        <f>IF(T175&gt;0,VLOOKUP($J175,Ruimtegroepen[],3,FALSE)*VLOOKUP($L175,Vloersoorten[],3,FALSE)*VLOOKUP($S175,Frequenties[],3,FALSE)*VLOOKUP($A175,Locaties[],3,FALSE),0)</f>
        <v>0</v>
      </c>
      <c r="V175" s="73">
        <f>Ruimtestaat[[#This Row],[Uitvoeringen werkdagen]]*Ruimtestaat[[#This Row],[Oppervlak (netto)]]</f>
        <v>3640</v>
      </c>
      <c r="W175" s="108">
        <f>IF(U175&gt;0,Ruimtestaat[[#This Row],[Prest. (m2 /jaar) werkdagen]]/Ruimtestaat[[#This Row],[Norm (m2/uur) werkdagen]],0)</f>
        <v>0</v>
      </c>
      <c r="X175" s="109">
        <f>Ruimtestaat[[#This Row],[uren / jaar werkdagen]]*Tariefsopbouw!$E$35</f>
        <v>0</v>
      </c>
      <c r="Y175" s="73"/>
      <c r="Z175" s="73">
        <f>IF(Ruimtestaat[[#This Row],[Frequentie weekend]]&gt;0,VALUE(LEFT(Y175,1))*R175,0)</f>
        <v>0</v>
      </c>
      <c r="AA175" s="72">
        <f>IF($Z175&gt;0,VLOOKUP($J175,Ruimtegroepen[],3,FALSE)*VLOOKUP($L175,Vloersoorten[],3,FALSE)*VLOOKUP($Y175,Frequenties[],3,FALSE)*VLOOKUP(Ruimtestaat[[#This Row],[Code]],Locaties[],3,FALSE),0)</f>
        <v>0</v>
      </c>
      <c r="AB175" s="72">
        <f>Ruimtestaat[[#This Row],[Uitvoeringen weekend]]*Ruimtestaat[[#This Row],[Oppervlak (netto)]]</f>
        <v>0</v>
      </c>
      <c r="AC175" s="72">
        <f>IF(AA175&gt;0,Ruimtestaat[[#This Row],[Prest. (m2 /jaar) weekend]]/Ruimtestaat[[#This Row],[Norm (m2/uur) weekend]],0)</f>
        <v>0</v>
      </c>
      <c r="AD175" s="109">
        <f>Ruimtestaat[[#This Row],[uren / jaar weekend]]*Tariefsopbouw!$D$40</f>
        <v>0</v>
      </c>
      <c r="AE175" s="108">
        <f>Ruimtestaat[[#This Row],[Prest. (m2 /jaar) weekend]]+Ruimtestaat[[#This Row],[Prest. (m2 /jaar) werkdagen]]</f>
        <v>3640</v>
      </c>
      <c r="AF175" s="108">
        <f>Ruimtestaat[[#This Row],[uren / jaar weekend]]+Ruimtestaat[[#This Row],[uren / jaar werkdagen]]</f>
        <v>0</v>
      </c>
      <c r="AG175" s="103">
        <f>Ruimtestaat[[#This Row],[kosten / jaar weekend]]+Ruimtestaat[[#This Row],[kosten / jaar werkdagen]]</f>
        <v>0</v>
      </c>
      <c r="AH175" s="103"/>
      <c r="AI175" s="110" t="str">
        <f>IF(Ruimtestaat[[#This Row],[Frequentie werkdagen]]="","",_xlfn.CONCAT(Ruimtestaat[[#This Row],[Ruimte code]],"-",Ruimtestaat[[#This Row],[Frequentie werkdagen]]," ",Ruimtestaat[[#This Row],[Vloer code]]))</f>
        <v>6-5w P</v>
      </c>
      <c r="AJ175" s="114" t="str">
        <f>_xlfn.IFNA(VLOOKUP($AI175,Programma!$F$3:$G$1101,2,0),"")</f>
        <v>_</v>
      </c>
      <c r="AK175" s="114" t="str">
        <f>_xlfn.IFNA(VLOOKUP($AI175,Programma!$F$3:$H$1101,3,0),"")</f>
        <v>_</v>
      </c>
      <c r="AL175" s="114" t="str">
        <f>_xlfn.IFNA(VLOOKUP($AI175,Programma!$F$3:$I$1101,4,0),"")</f>
        <v>5w</v>
      </c>
      <c r="AM175" s="114" t="str">
        <f>_xlfn.IFNA(VLOOKUP($AI175,Programma!$F$3:$J$1101,5,0),"")</f>
        <v>_</v>
      </c>
      <c r="AN175" s="114" t="str">
        <f>_xlfn.IFNA(VLOOKUP($AI175,Programma!$F$3:$K$1101,6,0),"")</f>
        <v>5w</v>
      </c>
      <c r="AO175" s="114" t="str">
        <f>_xlfn.IFNA(VLOOKUP($AI175,Programma!$F$3:$L$1101,7,0),"")</f>
        <v>_</v>
      </c>
      <c r="AP175" s="114" t="str">
        <f>_xlfn.IFNA(VLOOKUP($AI175,Programma!$F$3:$M$1101,8,0),"")</f>
        <v>_</v>
      </c>
      <c r="AQ175" s="114" t="str">
        <f>_xlfn.IFNA(VLOOKUP($AI175,Programma!$F$3:$N$1101,9,0),"")</f>
        <v>_</v>
      </c>
      <c r="AR175" s="114" t="str">
        <f>_xlfn.IFNA(VLOOKUP($AI175,Programma!$F$3:$O$1101,10,0),"")</f>
        <v>5w</v>
      </c>
      <c r="AS175" s="114" t="str">
        <f>_xlfn.IFNA(VLOOKUP($AI175,Programma!$F$3:$P$1101,11,0),"")</f>
        <v>5w</v>
      </c>
      <c r="AT175" s="114" t="str">
        <f>_xlfn.IFNA(VLOOKUP($AI175,Programma!$F$3:$Q$1101,12,0),"")</f>
        <v>1w</v>
      </c>
      <c r="AU175" s="114" t="str">
        <f>_xlfn.IFNA(VLOOKUP($AI175,Programma!$F$3:$R$1101,13,0),"")</f>
        <v>1w</v>
      </c>
      <c r="AV175" s="114" t="str">
        <f>_xlfn.IFNA(VLOOKUP($AI175,Programma!$F$3:$S$1101,14,0),"")</f>
        <v>1m</v>
      </c>
      <c r="AW175" s="114" t="str">
        <f>_xlfn.IFNA(VLOOKUP($AI175,Programma!$F$3:$T$1101,15,0),"")</f>
        <v>2j</v>
      </c>
      <c r="AX175" s="114" t="str">
        <f>_xlfn.IFNA(VLOOKUP($AI175,Programma!$F$3:$U$1101,16,0),"")</f>
        <v>1j</v>
      </c>
      <c r="AY175" s="114" t="str">
        <f>_xlfn.IFNA(VLOOKUP($AI175,Programma!$F$3:$V$1101,17,0),"")</f>
        <v>_</v>
      </c>
      <c r="AZ175" s="114" t="str">
        <f>_xlfn.IFNA(VLOOKUP($AI175,Programma!$F$3:$W$1101,18,0),"")</f>
        <v>_</v>
      </c>
      <c r="BA175" s="114" t="str">
        <f>_xlfn.IFNA(VLOOKUP($AI175,Programma!$F$3:$X$1101,19,0),"")</f>
        <v>_</v>
      </c>
      <c r="BB175" s="114" t="str">
        <f>_xlfn.IFNA(VLOOKUP($AI175,Programma!$F$3:$Y$1101,20,0),"")</f>
        <v>_</v>
      </c>
      <c r="BC175" s="111"/>
      <c r="BD175" s="110" t="str">
        <f>IF(Ruimtestaat[[#This Row],[Frequentie weekend]]="","",_xlfn.CONCAT(Ruimtestaat[[#This Row],[Ruimte code]],"-",Ruimtestaat[[#This Row],[Frequentie weekend]]," ",Ruimtestaat[[#This Row],[Vloer code]]))</f>
        <v/>
      </c>
      <c r="BE175" s="114" t="str">
        <f>_xlfn.IFNA(VLOOKUP($BD175,Programma!$F$3:$G$1101,2,0),"")</f>
        <v/>
      </c>
      <c r="BF175" s="114" t="str">
        <f>_xlfn.IFNA(VLOOKUP($BD175,Programma!$F$3:$H$1101,3,0),"")</f>
        <v/>
      </c>
      <c r="BG175" s="114" t="str">
        <f>_xlfn.IFNA(VLOOKUP($BD175,Programma!$F$3:$I$1101,4,0),"")</f>
        <v/>
      </c>
      <c r="BH175" s="114" t="str">
        <f>_xlfn.IFNA(VLOOKUP($BD175,Programma!$F$3:$J$1101,5,0),"")</f>
        <v/>
      </c>
      <c r="BI175" s="114" t="str">
        <f>_xlfn.IFNA(VLOOKUP($BD175,Programma!$F$3:$K$1101,6,0),"")</f>
        <v/>
      </c>
      <c r="BJ175" s="114" t="str">
        <f>_xlfn.IFNA(VLOOKUP($BD175,Programma!$F$3:$L$1101,7,0),"")</f>
        <v/>
      </c>
      <c r="BK175" s="114" t="str">
        <f>_xlfn.IFNA(VLOOKUP($BD175,Programma!$F$3:$M$1101,8,0),"")</f>
        <v/>
      </c>
      <c r="BL175" s="114" t="str">
        <f>_xlfn.IFNA(VLOOKUP($BD175,Programma!$F$3:$N$1101,9,0),"")</f>
        <v/>
      </c>
      <c r="BM175" s="114" t="str">
        <f>_xlfn.IFNA(VLOOKUP($BD175,Programma!$F$3:$O$1101,10,0),"")</f>
        <v/>
      </c>
      <c r="BN175" s="114" t="str">
        <f>_xlfn.IFNA(VLOOKUP($BD175,Programma!$F$3:$P$1101,11,0),"")</f>
        <v/>
      </c>
      <c r="BO175" s="114" t="str">
        <f>_xlfn.IFNA(VLOOKUP($BD175,Programma!$F$3:$Q$1101,12,0),"")</f>
        <v/>
      </c>
      <c r="BP175" s="114" t="str">
        <f>_xlfn.IFNA(VLOOKUP($BD175,Programma!$F$3:$R$1101,13,0),"")</f>
        <v/>
      </c>
      <c r="BQ175" s="114" t="str">
        <f>_xlfn.IFNA(VLOOKUP($BD175,Programma!$F$3:$S$1101,14,0),"")</f>
        <v/>
      </c>
      <c r="BR175" s="114" t="str">
        <f>_xlfn.IFNA(VLOOKUP($BD175,Programma!$F$3:$T$1101,15,0),"")</f>
        <v/>
      </c>
      <c r="BS175" s="114" t="str">
        <f>_xlfn.IFNA(VLOOKUP($BD175,Programma!$F$3:$U$1101,16,0),"")</f>
        <v/>
      </c>
      <c r="BT175" s="114" t="str">
        <f>_xlfn.IFNA(VLOOKUP($BD175,Programma!$F$3:$V$1101,17,0),"")</f>
        <v/>
      </c>
      <c r="BU175" s="114" t="str">
        <f>_xlfn.IFNA(VLOOKUP($BD175,Programma!$F$3:$W$1101,18,0),"")</f>
        <v/>
      </c>
      <c r="BV175" s="114" t="str">
        <f>_xlfn.IFNA(VLOOKUP($BD175,Programma!$F$3:$X$1101,19,0),"")</f>
        <v/>
      </c>
      <c r="BW175" s="114" t="str">
        <f>_xlfn.IFNA(VLOOKUP($BD175,Programma!$F$3:$Y$1101,20,0),"")</f>
        <v/>
      </c>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c r="EO175" s="28"/>
      <c r="EP175" s="28"/>
      <c r="EQ175" s="28"/>
      <c r="ER175" s="28"/>
      <c r="ES175" s="28"/>
      <c r="ET175" s="28"/>
      <c r="EU175" s="28"/>
      <c r="EV175" s="28"/>
      <c r="EW175" s="28"/>
      <c r="EX175" s="28"/>
      <c r="EY175" s="28"/>
      <c r="EZ175" s="28"/>
      <c r="FA175" s="28"/>
      <c r="FB175" s="28"/>
      <c r="FC175" s="28"/>
      <c r="FD175" s="28"/>
      <c r="FE175" s="28"/>
      <c r="FF175" s="28"/>
      <c r="FG175" s="28"/>
      <c r="FH175" s="28"/>
      <c r="FI175" s="28"/>
      <c r="FJ175" s="28"/>
      <c r="FK175" s="28"/>
      <c r="FL175" s="28"/>
      <c r="FM175" s="28"/>
      <c r="FN175" s="28"/>
      <c r="FO175" s="28"/>
      <c r="FP175" s="28"/>
      <c r="FQ175" s="28"/>
      <c r="FR175" s="28"/>
      <c r="FS175" s="28"/>
      <c r="FT175" s="28"/>
      <c r="FU175" s="28"/>
      <c r="FV175" s="28"/>
      <c r="FW175" s="28"/>
      <c r="FX175" s="28"/>
      <c r="FY175" s="28"/>
      <c r="FZ175" s="28"/>
      <c r="GA175" s="28"/>
      <c r="GB175" s="28"/>
      <c r="GC175" s="28"/>
      <c r="GD175" s="28"/>
      <c r="GE175" s="28"/>
      <c r="GF175" s="28"/>
      <c r="GG175" s="28"/>
      <c r="GH175" s="28"/>
      <c r="GI175" s="28"/>
      <c r="GJ175" s="28"/>
      <c r="GK175" s="28"/>
      <c r="GL175" s="28"/>
      <c r="GM175" s="28"/>
      <c r="GN175" s="28"/>
      <c r="GO175" s="28"/>
      <c r="GP175" s="28"/>
      <c r="GQ175" s="28"/>
      <c r="GR175" s="28"/>
      <c r="GS175" s="28"/>
      <c r="GT175" s="28"/>
      <c r="GU175" s="28"/>
      <c r="GV175" s="28"/>
      <c r="GW175" s="28"/>
      <c r="GX175" s="28"/>
      <c r="GY175" s="28"/>
      <c r="GZ175" s="28"/>
      <c r="HA175" s="28"/>
      <c r="HB175" s="28"/>
      <c r="HC175" s="28"/>
      <c r="HD175" s="28"/>
      <c r="HE175" s="28"/>
      <c r="HF175" s="28"/>
      <c r="HG175" s="28"/>
      <c r="HH175" s="28"/>
      <c r="HI175" s="28"/>
      <c r="HJ175" s="28"/>
      <c r="HK175" s="28"/>
      <c r="HL175" s="28"/>
    </row>
    <row r="176" spans="1:220" ht="15" customHeight="1">
      <c r="A176" s="31">
        <v>5</v>
      </c>
      <c r="B176" s="105" t="str">
        <f>VLOOKUP(Ruimtestaat[[#This Row],[Code]],Locaties[[Code]:[Locatie]],2,FALSE)</f>
        <v>IKC Remigius</v>
      </c>
      <c r="C176" s="105" t="str">
        <f>VLOOKUP(Ruimtestaat[[#This Row],[Code]],Locaties[[#All],[Code]:[Adres]],4,FALSE)</f>
        <v>Liemersplein 1</v>
      </c>
      <c r="D176" s="105" t="str">
        <f>VLOOKUP(Ruimtestaat[[#This Row],[Code]],Locaties[[#All],[Code]:[Postcode]],5,FALSE)</f>
        <v xml:space="preserve">6921 HN </v>
      </c>
      <c r="E176" s="105" t="str">
        <f>VLOOKUP(Ruimtestaat[[#This Row],[Code]],Locaties[#All],6,FALSE)</f>
        <v>Duiven</v>
      </c>
      <c r="F176" s="73"/>
      <c r="G176" s="73" t="s">
        <v>1645</v>
      </c>
      <c r="H176" s="31" t="s">
        <v>1756</v>
      </c>
      <c r="I176" s="113" t="s">
        <v>1793</v>
      </c>
      <c r="J176" s="31">
        <v>3</v>
      </c>
      <c r="K176" s="113" t="str">
        <f>VLOOKUP(Ruimtestaat[[#This Row],[Ruimte code]],Ruimtegroepen[[#All],[Code]:[Ruimte omschrijving]],2,FALSE)</f>
        <v>Reproruimte</v>
      </c>
      <c r="L176" s="73" t="s">
        <v>102</v>
      </c>
      <c r="M176" s="273" t="s">
        <v>120</v>
      </c>
      <c r="N176" s="106">
        <v>3.6</v>
      </c>
      <c r="O176" s="112"/>
      <c r="P176" s="112"/>
      <c r="Q176" s="107" t="str">
        <f>VLOOKUP(Ruimtestaat[[#This Row],[Ruimte code]],Ruimtegroepen[],4,FALSE)</f>
        <v>Ve</v>
      </c>
      <c r="R176" s="73">
        <v>40</v>
      </c>
      <c r="S176" s="73" t="s">
        <v>15</v>
      </c>
      <c r="T176" s="73">
        <f>IF(R176&gt;0,IF(RIGHT(Ruimtestaat[[#This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76" s="73">
        <f>IF(T176&gt;0,VLOOKUP($J176,Ruimtegroepen[],3,FALSE)*VLOOKUP($L176,Vloersoorten[],3,FALSE)*VLOOKUP($S176,Frequenties[],3,FALSE)*VLOOKUP($A176,Locaties[],3,FALSE),0)</f>
        <v>0</v>
      </c>
      <c r="V176" s="73">
        <f>Ruimtestaat[[#This Row],[Uitvoeringen werkdagen]]*Ruimtestaat[[#This Row],[Oppervlak (netto)]]</f>
        <v>144</v>
      </c>
      <c r="W176" s="108">
        <f>IF(U176&gt;0,Ruimtestaat[[#This Row],[Prest. (m2 /jaar) werkdagen]]/Ruimtestaat[[#This Row],[Norm (m2/uur) werkdagen]],0)</f>
        <v>0</v>
      </c>
      <c r="X176" s="109">
        <f>Ruimtestaat[[#This Row],[uren / jaar werkdagen]]*Tariefsopbouw!$E$35</f>
        <v>0</v>
      </c>
      <c r="Y176" s="73"/>
      <c r="Z176" s="73">
        <f>IF(Ruimtestaat[[#This Row],[Frequentie weekend]]&gt;0,VALUE(LEFT(Y176,1))*R176,0)</f>
        <v>0</v>
      </c>
      <c r="AA176" s="72">
        <f>IF($Z176&gt;0,VLOOKUP($J176,Ruimtegroepen[],3,FALSE)*VLOOKUP($L176,Vloersoorten[],3,FALSE)*VLOOKUP($Y176,Frequenties[],3,FALSE)*VLOOKUP(Ruimtestaat[[#This Row],[Code]],Locaties[],3,FALSE),0)</f>
        <v>0</v>
      </c>
      <c r="AB176" s="72">
        <f>Ruimtestaat[[#This Row],[Uitvoeringen weekend]]*Ruimtestaat[[#This Row],[Oppervlak (netto)]]</f>
        <v>0</v>
      </c>
      <c r="AC176" s="72">
        <f>IF(AA176&gt;0,Ruimtestaat[[#This Row],[Prest. (m2 /jaar) weekend]]/Ruimtestaat[[#This Row],[Norm (m2/uur) weekend]],0)</f>
        <v>0</v>
      </c>
      <c r="AD176" s="109">
        <f>Ruimtestaat[[#This Row],[uren / jaar weekend]]*Tariefsopbouw!$D$40</f>
        <v>0</v>
      </c>
      <c r="AE176" s="108">
        <f>Ruimtestaat[[#This Row],[Prest. (m2 /jaar) weekend]]+Ruimtestaat[[#This Row],[Prest. (m2 /jaar) werkdagen]]</f>
        <v>144</v>
      </c>
      <c r="AF176" s="108">
        <f>Ruimtestaat[[#This Row],[uren / jaar weekend]]+Ruimtestaat[[#This Row],[uren / jaar werkdagen]]</f>
        <v>0</v>
      </c>
      <c r="AG176" s="103">
        <f>Ruimtestaat[[#This Row],[kosten / jaar weekend]]+Ruimtestaat[[#This Row],[kosten / jaar werkdagen]]</f>
        <v>0</v>
      </c>
      <c r="AH176" s="103"/>
      <c r="AI176" s="110" t="str">
        <f>IF(Ruimtestaat[[#This Row],[Frequentie werkdagen]]="","",_xlfn.CONCAT(Ruimtestaat[[#This Row],[Ruimte code]],"-",Ruimtestaat[[#This Row],[Frequentie werkdagen]]," ",Ruimtestaat[[#This Row],[Vloer code]]))</f>
        <v>3-1w P</v>
      </c>
      <c r="AJ176" s="114" t="str">
        <f>_xlfn.IFNA(VLOOKUP($AI176,Programma!$F$3:$G$1101,2,0),"")</f>
        <v>_</v>
      </c>
      <c r="AK176" s="114" t="str">
        <f>_xlfn.IFNA(VLOOKUP($AI176,Programma!$F$3:$H$1101,3,0),"")</f>
        <v>_</v>
      </c>
      <c r="AL176" s="114" t="str">
        <f>_xlfn.IFNA(VLOOKUP($AI176,Programma!$F$3:$I$1101,4,0),"")</f>
        <v>_</v>
      </c>
      <c r="AM176" s="114" t="str">
        <f>_xlfn.IFNA(VLOOKUP($AI176,Programma!$F$3:$J$1101,5,0),"")</f>
        <v>1w</v>
      </c>
      <c r="AN176" s="114" t="str">
        <f>_xlfn.IFNA(VLOOKUP($AI176,Programma!$F$3:$K$1101,6,0),"")</f>
        <v>2j</v>
      </c>
      <c r="AO176" s="114" t="str">
        <f>_xlfn.IFNA(VLOOKUP($AI176,Programma!$F$3:$L$1101,7,0),"")</f>
        <v>_</v>
      </c>
      <c r="AP176" s="114" t="str">
        <f>_xlfn.IFNA(VLOOKUP($AI176,Programma!$F$3:$M$1101,8,0),"")</f>
        <v>_</v>
      </c>
      <c r="AQ176" s="114" t="str">
        <f>_xlfn.IFNA(VLOOKUP($AI176,Programma!$F$3:$N$1101,9,0),"")</f>
        <v>_</v>
      </c>
      <c r="AR176" s="114" t="str">
        <f>_xlfn.IFNA(VLOOKUP($AI176,Programma!$F$3:$O$1101,10,0),"")</f>
        <v>1w</v>
      </c>
      <c r="AS176" s="114" t="str">
        <f>_xlfn.IFNA(VLOOKUP($AI176,Programma!$F$3:$P$1101,11,0),"")</f>
        <v>1w</v>
      </c>
      <c r="AT176" s="114" t="str">
        <f>_xlfn.IFNA(VLOOKUP($AI176,Programma!$F$3:$Q$1101,12,0),"")</f>
        <v>1w</v>
      </c>
      <c r="AU176" s="114" t="str">
        <f>_xlfn.IFNA(VLOOKUP($AI176,Programma!$F$3:$R$1101,13,0),"")</f>
        <v>1w</v>
      </c>
      <c r="AV176" s="114" t="str">
        <f>_xlfn.IFNA(VLOOKUP($AI176,Programma!$F$3:$S$1101,14,0),"")</f>
        <v>1m</v>
      </c>
      <c r="AW176" s="114" t="str">
        <f>_xlfn.IFNA(VLOOKUP($AI176,Programma!$F$3:$T$1101,15,0),"")</f>
        <v>4j</v>
      </c>
      <c r="AX176" s="114" t="str">
        <f>_xlfn.IFNA(VLOOKUP($AI176,Programma!$F$3:$U$1101,16,0),"")</f>
        <v>1j</v>
      </c>
      <c r="AY176" s="114" t="str">
        <f>_xlfn.IFNA(VLOOKUP($AI176,Programma!$F$3:$V$1101,17,0),"")</f>
        <v>_</v>
      </c>
      <c r="AZ176" s="114" t="str">
        <f>_xlfn.IFNA(VLOOKUP($AI176,Programma!$F$3:$W$1101,18,0),"")</f>
        <v>_</v>
      </c>
      <c r="BA176" s="114" t="str">
        <f>_xlfn.IFNA(VLOOKUP($AI176,Programma!$F$3:$X$1101,19,0),"")</f>
        <v>_</v>
      </c>
      <c r="BB176" s="114" t="str">
        <f>_xlfn.IFNA(VLOOKUP($AI176,Programma!$F$3:$Y$1101,20,0),"")</f>
        <v>_</v>
      </c>
      <c r="BC176" s="111"/>
      <c r="BD176" s="110" t="str">
        <f>IF(Ruimtestaat[[#This Row],[Frequentie weekend]]="","",_xlfn.CONCAT(Ruimtestaat[[#This Row],[Ruimte code]],"-",Ruimtestaat[[#This Row],[Frequentie weekend]]," ",Ruimtestaat[[#This Row],[Vloer code]]))</f>
        <v/>
      </c>
      <c r="BE176" s="114" t="str">
        <f>_xlfn.IFNA(VLOOKUP($BD176,Programma!$F$3:$G$1101,2,0),"")</f>
        <v/>
      </c>
      <c r="BF176" s="114" t="str">
        <f>_xlfn.IFNA(VLOOKUP($BD176,Programma!$F$3:$H$1101,3,0),"")</f>
        <v/>
      </c>
      <c r="BG176" s="114" t="str">
        <f>_xlfn.IFNA(VLOOKUP($BD176,Programma!$F$3:$I$1101,4,0),"")</f>
        <v/>
      </c>
      <c r="BH176" s="114" t="str">
        <f>_xlfn.IFNA(VLOOKUP($BD176,Programma!$F$3:$J$1101,5,0),"")</f>
        <v/>
      </c>
      <c r="BI176" s="114" t="str">
        <f>_xlfn.IFNA(VLOOKUP($BD176,Programma!$F$3:$K$1101,6,0),"")</f>
        <v/>
      </c>
      <c r="BJ176" s="114" t="str">
        <f>_xlfn.IFNA(VLOOKUP($BD176,Programma!$F$3:$L$1101,7,0),"")</f>
        <v/>
      </c>
      <c r="BK176" s="114" t="str">
        <f>_xlfn.IFNA(VLOOKUP($BD176,Programma!$F$3:$M$1101,8,0),"")</f>
        <v/>
      </c>
      <c r="BL176" s="114" t="str">
        <f>_xlfn.IFNA(VLOOKUP($BD176,Programma!$F$3:$N$1101,9,0),"")</f>
        <v/>
      </c>
      <c r="BM176" s="114" t="str">
        <f>_xlfn.IFNA(VLOOKUP($BD176,Programma!$F$3:$O$1101,10,0),"")</f>
        <v/>
      </c>
      <c r="BN176" s="114" t="str">
        <f>_xlfn.IFNA(VLOOKUP($BD176,Programma!$F$3:$P$1101,11,0),"")</f>
        <v/>
      </c>
      <c r="BO176" s="114" t="str">
        <f>_xlfn.IFNA(VLOOKUP($BD176,Programma!$F$3:$Q$1101,12,0),"")</f>
        <v/>
      </c>
      <c r="BP176" s="114" t="str">
        <f>_xlfn.IFNA(VLOOKUP($BD176,Programma!$F$3:$R$1101,13,0),"")</f>
        <v/>
      </c>
      <c r="BQ176" s="114" t="str">
        <f>_xlfn.IFNA(VLOOKUP($BD176,Programma!$F$3:$S$1101,14,0),"")</f>
        <v/>
      </c>
      <c r="BR176" s="114" t="str">
        <f>_xlfn.IFNA(VLOOKUP($BD176,Programma!$F$3:$T$1101,15,0),"")</f>
        <v/>
      </c>
      <c r="BS176" s="114" t="str">
        <f>_xlfn.IFNA(VLOOKUP($BD176,Programma!$F$3:$U$1101,16,0),"")</f>
        <v/>
      </c>
      <c r="BT176" s="114" t="str">
        <f>_xlfn.IFNA(VLOOKUP($BD176,Programma!$F$3:$V$1101,17,0),"")</f>
        <v/>
      </c>
      <c r="BU176" s="114" t="str">
        <f>_xlfn.IFNA(VLOOKUP($BD176,Programma!$F$3:$W$1101,18,0),"")</f>
        <v/>
      </c>
      <c r="BV176" s="114" t="str">
        <f>_xlfn.IFNA(VLOOKUP($BD176,Programma!$F$3:$X$1101,19,0),"")</f>
        <v/>
      </c>
      <c r="BW176" s="114" t="str">
        <f>_xlfn.IFNA(VLOOKUP($BD176,Programma!$F$3:$Y$1101,20,0),"")</f>
        <v/>
      </c>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8"/>
      <c r="FJ176" s="28"/>
      <c r="FK176" s="28"/>
      <c r="FL176" s="28"/>
      <c r="FM176" s="28"/>
      <c r="FN176" s="28"/>
      <c r="FO176" s="28"/>
      <c r="FP176" s="28"/>
      <c r="FQ176" s="28"/>
      <c r="FR176" s="28"/>
      <c r="FS176" s="28"/>
      <c r="FT176" s="28"/>
      <c r="FU176" s="28"/>
      <c r="FV176" s="28"/>
      <c r="FW176" s="28"/>
      <c r="FX176" s="28"/>
      <c r="FY176" s="28"/>
      <c r="FZ176" s="28"/>
      <c r="GA176" s="28"/>
      <c r="GB176" s="28"/>
      <c r="GC176" s="28"/>
      <c r="GD176" s="28"/>
      <c r="GE176" s="28"/>
      <c r="GF176" s="28"/>
      <c r="GG176" s="28"/>
      <c r="GH176" s="28"/>
      <c r="GI176" s="28"/>
      <c r="GJ176" s="28"/>
      <c r="GK176" s="28"/>
      <c r="GL176" s="28"/>
      <c r="GM176" s="28"/>
      <c r="GN176" s="28"/>
      <c r="GO176" s="28"/>
      <c r="GP176" s="28"/>
      <c r="GQ176" s="28"/>
      <c r="GR176" s="28"/>
      <c r="GS176" s="28"/>
      <c r="GT176" s="28"/>
      <c r="GU176" s="28"/>
      <c r="GV176" s="28"/>
      <c r="GW176" s="28"/>
      <c r="GX176" s="28"/>
      <c r="GY176" s="28"/>
      <c r="GZ176" s="28"/>
      <c r="HA176" s="28"/>
      <c r="HB176" s="28"/>
      <c r="HC176" s="28"/>
      <c r="HD176" s="28"/>
      <c r="HE176" s="28"/>
      <c r="HF176" s="28"/>
      <c r="HG176" s="28"/>
      <c r="HH176" s="28"/>
      <c r="HI176" s="28"/>
      <c r="HJ176" s="28"/>
      <c r="HK176" s="28"/>
      <c r="HL176" s="28"/>
    </row>
    <row r="177" spans="1:220" ht="15" customHeight="1">
      <c r="A177" s="31">
        <v>5</v>
      </c>
      <c r="B177" s="105" t="str">
        <f>VLOOKUP(Ruimtestaat[[#This Row],[Code]],Locaties[[Code]:[Locatie]],2,FALSE)</f>
        <v>IKC Remigius</v>
      </c>
      <c r="C177" s="105" t="str">
        <f>VLOOKUP(Ruimtestaat[[#This Row],[Code]],Locaties[[#All],[Code]:[Adres]],4,FALSE)</f>
        <v>Liemersplein 1</v>
      </c>
      <c r="D177" s="105" t="str">
        <f>VLOOKUP(Ruimtestaat[[#This Row],[Code]],Locaties[[#All],[Code]:[Postcode]],5,FALSE)</f>
        <v xml:space="preserve">6921 HN </v>
      </c>
      <c r="E177" s="105" t="str">
        <f>VLOOKUP(Ruimtestaat[[#This Row],[Code]],Locaties[#All],6,FALSE)</f>
        <v>Duiven</v>
      </c>
      <c r="F177" s="73"/>
      <c r="G177" s="73" t="s">
        <v>1645</v>
      </c>
      <c r="H177" s="31" t="s">
        <v>1757</v>
      </c>
      <c r="I177" s="113" t="s">
        <v>1812</v>
      </c>
      <c r="J177" s="31">
        <v>20</v>
      </c>
      <c r="K177" s="113" t="str">
        <f>VLOOKUP(Ruimtestaat[[#This Row],[Ruimte code]],Ruimtegroepen[[#All],[Code]:[Ruimte omschrijving]],2,FALSE)</f>
        <v>Niet in Onderhoud</v>
      </c>
      <c r="L177" s="73"/>
      <c r="M177" s="273"/>
      <c r="N177" s="106"/>
      <c r="O177" s="112">
        <v>0.6</v>
      </c>
      <c r="P177" s="73"/>
      <c r="Q177" s="107">
        <f>VLOOKUP(Ruimtestaat[[#This Row],[Ruimte code]],Ruimtegroepen[],4,FALSE)</f>
        <v>0</v>
      </c>
      <c r="R177" s="73"/>
      <c r="S177" s="73"/>
      <c r="T177" s="73">
        <f>IF(R177&gt;0,IF(RIGHT(Ruimtestaat[[#This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7" s="73">
        <f>IF(T177&gt;0,VLOOKUP($J177,Ruimtegroepen[],3,FALSE)*VLOOKUP($L177,Vloersoorten[],3,FALSE)*VLOOKUP($S177,Frequenties[],3,FALSE)*VLOOKUP($A177,Locaties[],3,FALSE),0)</f>
        <v>0</v>
      </c>
      <c r="V177" s="73">
        <f>Ruimtestaat[[#This Row],[Uitvoeringen werkdagen]]*Ruimtestaat[[#This Row],[Oppervlak (netto)]]</f>
        <v>0</v>
      </c>
      <c r="W177" s="108">
        <f>IF(U177&gt;0,Ruimtestaat[[#This Row],[Prest. (m2 /jaar) werkdagen]]/Ruimtestaat[[#This Row],[Norm (m2/uur) werkdagen]],0)</f>
        <v>0</v>
      </c>
      <c r="X177" s="109">
        <f>Ruimtestaat[[#This Row],[uren / jaar werkdagen]]*Tariefsopbouw!$E$35</f>
        <v>0</v>
      </c>
      <c r="Y177" s="73"/>
      <c r="Z177" s="73">
        <f>IF(Ruimtestaat[[#This Row],[Frequentie weekend]]&gt;0,VALUE(LEFT(Y177,1))*R177,0)</f>
        <v>0</v>
      </c>
      <c r="AA177" s="72">
        <f>IF($Z177&gt;0,VLOOKUP($J177,Ruimtegroepen[],3,FALSE)*VLOOKUP($L177,Vloersoorten[],3,FALSE)*VLOOKUP($Y177,Frequenties[],3,FALSE)*VLOOKUP(Ruimtestaat[[#This Row],[Code]],Locaties[],3,FALSE),0)</f>
        <v>0</v>
      </c>
      <c r="AB177" s="72">
        <f>Ruimtestaat[[#This Row],[Uitvoeringen weekend]]*Ruimtestaat[[#This Row],[Oppervlak (netto)]]</f>
        <v>0</v>
      </c>
      <c r="AC177" s="72">
        <f>IF(AA177&gt;0,Ruimtestaat[[#This Row],[Prest. (m2 /jaar) weekend]]/Ruimtestaat[[#This Row],[Norm (m2/uur) weekend]],0)</f>
        <v>0</v>
      </c>
      <c r="AD177" s="109">
        <f>Ruimtestaat[[#This Row],[uren / jaar weekend]]*Tariefsopbouw!$D$40</f>
        <v>0</v>
      </c>
      <c r="AE177" s="108">
        <f>Ruimtestaat[[#This Row],[Prest. (m2 /jaar) weekend]]+Ruimtestaat[[#This Row],[Prest. (m2 /jaar) werkdagen]]</f>
        <v>0</v>
      </c>
      <c r="AF177" s="108">
        <f>Ruimtestaat[[#This Row],[uren / jaar weekend]]+Ruimtestaat[[#This Row],[uren / jaar werkdagen]]</f>
        <v>0</v>
      </c>
      <c r="AG177" s="103">
        <f>Ruimtestaat[[#This Row],[kosten / jaar weekend]]+Ruimtestaat[[#This Row],[kosten / jaar werkdagen]]</f>
        <v>0</v>
      </c>
      <c r="AH177" s="103"/>
      <c r="AI177" s="110" t="str">
        <f>IF(Ruimtestaat[[#This Row],[Frequentie werkdagen]]="","",_xlfn.CONCAT(Ruimtestaat[[#This Row],[Ruimte code]],"-",Ruimtestaat[[#This Row],[Frequentie werkdagen]]," ",Ruimtestaat[[#This Row],[Vloer code]]))</f>
        <v/>
      </c>
      <c r="AJ177" s="114" t="str">
        <f>_xlfn.IFNA(VLOOKUP($AI177,Programma!$F$3:$G$1101,2,0),"")</f>
        <v/>
      </c>
      <c r="AK177" s="114" t="str">
        <f>_xlfn.IFNA(VLOOKUP($AI177,Programma!$F$3:$H$1101,3,0),"")</f>
        <v/>
      </c>
      <c r="AL177" s="114" t="str">
        <f>_xlfn.IFNA(VLOOKUP($AI177,Programma!$F$3:$I$1101,4,0),"")</f>
        <v/>
      </c>
      <c r="AM177" s="114" t="str">
        <f>_xlfn.IFNA(VLOOKUP($AI177,Programma!$F$3:$J$1101,5,0),"")</f>
        <v/>
      </c>
      <c r="AN177" s="114" t="str">
        <f>_xlfn.IFNA(VLOOKUP($AI177,Programma!$F$3:$K$1101,6,0),"")</f>
        <v/>
      </c>
      <c r="AO177" s="114" t="str">
        <f>_xlfn.IFNA(VLOOKUP($AI177,Programma!$F$3:$L$1101,7,0),"")</f>
        <v/>
      </c>
      <c r="AP177" s="114" t="str">
        <f>_xlfn.IFNA(VLOOKUP($AI177,Programma!$F$3:$M$1101,8,0),"")</f>
        <v/>
      </c>
      <c r="AQ177" s="114" t="str">
        <f>_xlfn.IFNA(VLOOKUP($AI177,Programma!$F$3:$N$1101,9,0),"")</f>
        <v/>
      </c>
      <c r="AR177" s="114" t="str">
        <f>_xlfn.IFNA(VLOOKUP($AI177,Programma!$F$3:$O$1101,10,0),"")</f>
        <v/>
      </c>
      <c r="AS177" s="114" t="str">
        <f>_xlfn.IFNA(VLOOKUP($AI177,Programma!$F$3:$P$1101,11,0),"")</f>
        <v/>
      </c>
      <c r="AT177" s="114" t="str">
        <f>_xlfn.IFNA(VLOOKUP($AI177,Programma!$F$3:$Q$1101,12,0),"")</f>
        <v/>
      </c>
      <c r="AU177" s="114" t="str">
        <f>_xlfn.IFNA(VLOOKUP($AI177,Programma!$F$3:$R$1101,13,0),"")</f>
        <v/>
      </c>
      <c r="AV177" s="114" t="str">
        <f>_xlfn.IFNA(VLOOKUP($AI177,Programma!$F$3:$S$1101,14,0),"")</f>
        <v/>
      </c>
      <c r="AW177" s="114" t="str">
        <f>_xlfn.IFNA(VLOOKUP($AI177,Programma!$F$3:$T$1101,15,0),"")</f>
        <v/>
      </c>
      <c r="AX177" s="114" t="str">
        <f>_xlfn.IFNA(VLOOKUP($AI177,Programma!$F$3:$U$1101,16,0),"")</f>
        <v/>
      </c>
      <c r="AY177" s="114" t="str">
        <f>_xlfn.IFNA(VLOOKUP($AI177,Programma!$F$3:$V$1101,17,0),"")</f>
        <v/>
      </c>
      <c r="AZ177" s="114" t="str">
        <f>_xlfn.IFNA(VLOOKUP($AI177,Programma!$F$3:$W$1101,18,0),"")</f>
        <v/>
      </c>
      <c r="BA177" s="114" t="str">
        <f>_xlfn.IFNA(VLOOKUP($AI177,Programma!$F$3:$X$1101,19,0),"")</f>
        <v/>
      </c>
      <c r="BB177" s="114" t="str">
        <f>_xlfn.IFNA(VLOOKUP($AI177,Programma!$F$3:$Y$1101,20,0),"")</f>
        <v/>
      </c>
      <c r="BC177" s="111"/>
      <c r="BD177" s="110" t="str">
        <f>IF(Ruimtestaat[[#This Row],[Frequentie weekend]]="","",_xlfn.CONCAT(Ruimtestaat[[#This Row],[Ruimte code]],"-",Ruimtestaat[[#This Row],[Frequentie weekend]]," ",Ruimtestaat[[#This Row],[Vloer code]]))</f>
        <v/>
      </c>
      <c r="BE177" s="114" t="str">
        <f>_xlfn.IFNA(VLOOKUP($BD177,Programma!$F$3:$G$1101,2,0),"")</f>
        <v/>
      </c>
      <c r="BF177" s="114" t="str">
        <f>_xlfn.IFNA(VLOOKUP($BD177,Programma!$F$3:$H$1101,3,0),"")</f>
        <v/>
      </c>
      <c r="BG177" s="114" t="str">
        <f>_xlfn.IFNA(VLOOKUP($BD177,Programma!$F$3:$I$1101,4,0),"")</f>
        <v/>
      </c>
      <c r="BH177" s="114" t="str">
        <f>_xlfn.IFNA(VLOOKUP($BD177,Programma!$F$3:$J$1101,5,0),"")</f>
        <v/>
      </c>
      <c r="BI177" s="114" t="str">
        <f>_xlfn.IFNA(VLOOKUP($BD177,Programma!$F$3:$K$1101,6,0),"")</f>
        <v/>
      </c>
      <c r="BJ177" s="114" t="str">
        <f>_xlfn.IFNA(VLOOKUP($BD177,Programma!$F$3:$L$1101,7,0),"")</f>
        <v/>
      </c>
      <c r="BK177" s="114" t="str">
        <f>_xlfn.IFNA(VLOOKUP($BD177,Programma!$F$3:$M$1101,8,0),"")</f>
        <v/>
      </c>
      <c r="BL177" s="114" t="str">
        <f>_xlfn.IFNA(VLOOKUP($BD177,Programma!$F$3:$N$1101,9,0),"")</f>
        <v/>
      </c>
      <c r="BM177" s="114" t="str">
        <f>_xlfn.IFNA(VLOOKUP($BD177,Programma!$F$3:$O$1101,10,0),"")</f>
        <v/>
      </c>
      <c r="BN177" s="114" t="str">
        <f>_xlfn.IFNA(VLOOKUP($BD177,Programma!$F$3:$P$1101,11,0),"")</f>
        <v/>
      </c>
      <c r="BO177" s="114" t="str">
        <f>_xlfn.IFNA(VLOOKUP($BD177,Programma!$F$3:$Q$1101,12,0),"")</f>
        <v/>
      </c>
      <c r="BP177" s="114" t="str">
        <f>_xlfn.IFNA(VLOOKUP($BD177,Programma!$F$3:$R$1101,13,0),"")</f>
        <v/>
      </c>
      <c r="BQ177" s="114" t="str">
        <f>_xlfn.IFNA(VLOOKUP($BD177,Programma!$F$3:$S$1101,14,0),"")</f>
        <v/>
      </c>
      <c r="BR177" s="114" t="str">
        <f>_xlfn.IFNA(VLOOKUP($BD177,Programma!$F$3:$T$1101,15,0),"")</f>
        <v/>
      </c>
      <c r="BS177" s="114" t="str">
        <f>_xlfn.IFNA(VLOOKUP($BD177,Programma!$F$3:$U$1101,16,0),"")</f>
        <v/>
      </c>
      <c r="BT177" s="114" t="str">
        <f>_xlfn.IFNA(VLOOKUP($BD177,Programma!$F$3:$V$1101,17,0),"")</f>
        <v/>
      </c>
      <c r="BU177" s="114" t="str">
        <f>_xlfn.IFNA(VLOOKUP($BD177,Programma!$F$3:$W$1101,18,0),"")</f>
        <v/>
      </c>
      <c r="BV177" s="114" t="str">
        <f>_xlfn.IFNA(VLOOKUP($BD177,Programma!$F$3:$X$1101,19,0),"")</f>
        <v/>
      </c>
      <c r="BW177" s="114" t="str">
        <f>_xlfn.IFNA(VLOOKUP($BD177,Programma!$F$3:$Y$1101,20,0),"")</f>
        <v/>
      </c>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c r="EA177" s="28"/>
      <c r="EB177" s="28"/>
      <c r="EC177" s="28"/>
      <c r="ED177" s="28"/>
      <c r="EE177" s="28"/>
      <c r="EF177" s="28"/>
      <c r="EG177" s="28"/>
      <c r="EH177" s="28"/>
      <c r="EI177" s="28"/>
      <c r="EJ177" s="28"/>
      <c r="EK177" s="28"/>
      <c r="EL177" s="28"/>
      <c r="EM177" s="28"/>
      <c r="EN177" s="28"/>
      <c r="EO177" s="28"/>
      <c r="EP177" s="28"/>
      <c r="EQ177" s="28"/>
      <c r="ER177" s="28"/>
      <c r="ES177" s="28"/>
      <c r="ET177" s="28"/>
      <c r="EU177" s="28"/>
      <c r="EV177" s="28"/>
      <c r="EW177" s="28"/>
      <c r="EX177" s="28"/>
      <c r="EY177" s="28"/>
      <c r="EZ177" s="28"/>
      <c r="FA177" s="28"/>
      <c r="FB177" s="28"/>
      <c r="FC177" s="28"/>
      <c r="FD177" s="28"/>
      <c r="FE177" s="28"/>
      <c r="FF177" s="28"/>
      <c r="FG177" s="28"/>
      <c r="FH177" s="28"/>
      <c r="FI177" s="28"/>
      <c r="FJ177" s="28"/>
      <c r="FK177" s="28"/>
      <c r="FL177" s="28"/>
      <c r="FM177" s="28"/>
      <c r="FN177" s="28"/>
      <c r="FO177" s="28"/>
      <c r="FP177" s="28"/>
      <c r="FQ177" s="28"/>
      <c r="FR177" s="28"/>
      <c r="FS177" s="28"/>
      <c r="FT177" s="28"/>
      <c r="FU177" s="28"/>
      <c r="FV177" s="28"/>
      <c r="FW177" s="28"/>
      <c r="FX177" s="28"/>
      <c r="FY177" s="28"/>
      <c r="FZ177" s="28"/>
      <c r="GA177" s="28"/>
      <c r="GB177" s="28"/>
      <c r="GC177" s="28"/>
      <c r="GD177" s="28"/>
      <c r="GE177" s="28"/>
      <c r="GF177" s="28"/>
      <c r="GG177" s="28"/>
      <c r="GH177" s="28"/>
      <c r="GI177" s="28"/>
      <c r="GJ177" s="28"/>
      <c r="GK177" s="28"/>
      <c r="GL177" s="28"/>
      <c r="GM177" s="28"/>
      <c r="GN177" s="28"/>
      <c r="GO177" s="28"/>
      <c r="GP177" s="28"/>
      <c r="GQ177" s="28"/>
      <c r="GR177" s="28"/>
      <c r="GS177" s="28"/>
      <c r="GT177" s="28"/>
      <c r="GU177" s="28"/>
      <c r="GV177" s="28"/>
      <c r="GW177" s="28"/>
      <c r="GX177" s="28"/>
      <c r="GY177" s="28"/>
      <c r="GZ177" s="28"/>
      <c r="HA177" s="28"/>
      <c r="HB177" s="28"/>
      <c r="HC177" s="28"/>
      <c r="HD177" s="28"/>
      <c r="HE177" s="28"/>
      <c r="HF177" s="28"/>
      <c r="HG177" s="28"/>
      <c r="HH177" s="28"/>
      <c r="HI177" s="28"/>
      <c r="HJ177" s="28"/>
      <c r="HK177" s="28"/>
      <c r="HL177" s="28"/>
    </row>
    <row r="178" spans="1:220" ht="15" customHeight="1">
      <c r="A178" s="31">
        <v>5</v>
      </c>
      <c r="B178" s="105" t="str">
        <f>VLOOKUP(Ruimtestaat[[#This Row],[Code]],Locaties[[Code]:[Locatie]],2,FALSE)</f>
        <v>IKC Remigius</v>
      </c>
      <c r="C178" s="105" t="str">
        <f>VLOOKUP(Ruimtestaat[[#This Row],[Code]],Locaties[[#All],[Code]:[Adres]],4,FALSE)</f>
        <v>Liemersplein 1</v>
      </c>
      <c r="D178" s="105" t="str">
        <f>VLOOKUP(Ruimtestaat[[#This Row],[Code]],Locaties[[#All],[Code]:[Postcode]],5,FALSE)</f>
        <v xml:space="preserve">6921 HN </v>
      </c>
      <c r="E178" s="105" t="str">
        <f>VLOOKUP(Ruimtestaat[[#This Row],[Code]],Locaties[#All],6,FALSE)</f>
        <v>Duiven</v>
      </c>
      <c r="F178" s="73"/>
      <c r="G178" s="73" t="s">
        <v>1645</v>
      </c>
      <c r="H178" s="31" t="s">
        <v>1758</v>
      </c>
      <c r="I178" s="113" t="s">
        <v>1813</v>
      </c>
      <c r="J178" s="31">
        <v>1</v>
      </c>
      <c r="K178" s="113" t="str">
        <f>VLOOKUP(Ruimtestaat[[#This Row],[Ruimte code]],Ruimtegroepen[[#All],[Code]:[Ruimte omschrijving]],2,FALSE)</f>
        <v>Magazijnen/bergingen</v>
      </c>
      <c r="L178" s="73" t="s">
        <v>102</v>
      </c>
      <c r="M178" s="273" t="s">
        <v>120</v>
      </c>
      <c r="N178" s="106">
        <v>1.3</v>
      </c>
      <c r="O178" s="112"/>
      <c r="P178" s="112"/>
      <c r="Q178" s="107" t="str">
        <f>VLOOKUP(Ruimtestaat[[#This Row],[Ruimte code]],Ruimtegroepen[],4,FALSE)</f>
        <v>Ve</v>
      </c>
      <c r="R178" s="73">
        <v>40</v>
      </c>
      <c r="S178" s="73" t="s">
        <v>16</v>
      </c>
      <c r="T178" s="73">
        <f>IF(R178&gt;0,IF(RIGHT(Ruimtestaat[[#This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78" s="73">
        <f>IF(T178&gt;0,VLOOKUP($J178,Ruimtegroepen[],3,FALSE)*VLOOKUP($L178,Vloersoorten[],3,FALSE)*VLOOKUP($S178,Frequenties[],3,FALSE)*VLOOKUP($A178,Locaties[],3,FALSE),0)</f>
        <v>0</v>
      </c>
      <c r="V178" s="73">
        <f>Ruimtestaat[[#This Row],[Uitvoeringen werkdagen]]*Ruimtestaat[[#This Row],[Oppervlak (netto)]]</f>
        <v>15.600000000000001</v>
      </c>
      <c r="W178" s="108">
        <f>IF(U178&gt;0,Ruimtestaat[[#This Row],[Prest. (m2 /jaar) werkdagen]]/Ruimtestaat[[#This Row],[Norm (m2/uur) werkdagen]],0)</f>
        <v>0</v>
      </c>
      <c r="X178" s="109">
        <f>Ruimtestaat[[#This Row],[uren / jaar werkdagen]]*Tariefsopbouw!$E$35</f>
        <v>0</v>
      </c>
      <c r="Y178" s="73"/>
      <c r="Z178" s="73">
        <f>IF(Ruimtestaat[[#This Row],[Frequentie weekend]]&gt;0,VALUE(LEFT(Y178,1))*R178,0)</f>
        <v>0</v>
      </c>
      <c r="AA178" s="72">
        <f>IF($Z178&gt;0,VLOOKUP($J178,Ruimtegroepen[],3,FALSE)*VLOOKUP($L178,Vloersoorten[],3,FALSE)*VLOOKUP($Y178,Frequenties[],3,FALSE)*VLOOKUP(Ruimtestaat[[#This Row],[Code]],Locaties[],3,FALSE),0)</f>
        <v>0</v>
      </c>
      <c r="AB178" s="72">
        <f>Ruimtestaat[[#This Row],[Uitvoeringen weekend]]*Ruimtestaat[[#This Row],[Oppervlak (netto)]]</f>
        <v>0</v>
      </c>
      <c r="AC178" s="72">
        <f>IF(AA178&gt;0,Ruimtestaat[[#This Row],[Prest. (m2 /jaar) weekend]]/Ruimtestaat[[#This Row],[Norm (m2/uur) weekend]],0)</f>
        <v>0</v>
      </c>
      <c r="AD178" s="109">
        <f>Ruimtestaat[[#This Row],[uren / jaar weekend]]*Tariefsopbouw!$D$40</f>
        <v>0</v>
      </c>
      <c r="AE178" s="108">
        <f>Ruimtestaat[[#This Row],[Prest. (m2 /jaar) weekend]]+Ruimtestaat[[#This Row],[Prest. (m2 /jaar) werkdagen]]</f>
        <v>15.600000000000001</v>
      </c>
      <c r="AF178" s="108">
        <f>Ruimtestaat[[#This Row],[uren / jaar weekend]]+Ruimtestaat[[#This Row],[uren / jaar werkdagen]]</f>
        <v>0</v>
      </c>
      <c r="AG178" s="103">
        <f>Ruimtestaat[[#This Row],[kosten / jaar weekend]]+Ruimtestaat[[#This Row],[kosten / jaar werkdagen]]</f>
        <v>0</v>
      </c>
      <c r="AH178" s="103"/>
      <c r="AI178" s="110" t="str">
        <f>IF(Ruimtestaat[[#This Row],[Frequentie werkdagen]]="","",_xlfn.CONCAT(Ruimtestaat[[#This Row],[Ruimte code]],"-",Ruimtestaat[[#This Row],[Frequentie werkdagen]]," ",Ruimtestaat[[#This Row],[Vloer code]]))</f>
        <v>1-1m P</v>
      </c>
      <c r="AJ178" s="114" t="str">
        <f>_xlfn.IFNA(VLOOKUP($AI178,Programma!$F$3:$G$1101,2,0),"")</f>
        <v>_</v>
      </c>
      <c r="AK178" s="114" t="str">
        <f>_xlfn.IFNA(VLOOKUP($AI178,Programma!$F$3:$H$1101,3,0),"")</f>
        <v>_</v>
      </c>
      <c r="AL178" s="114" t="str">
        <f>_xlfn.IFNA(VLOOKUP($AI178,Programma!$F$3:$I$1101,4,0),"")</f>
        <v>1m</v>
      </c>
      <c r="AM178" s="114" t="str">
        <f>_xlfn.IFNA(VLOOKUP($AI178,Programma!$F$3:$J$1101,5,0),"")</f>
        <v>1m</v>
      </c>
      <c r="AN178" s="114" t="str">
        <f>_xlfn.IFNA(VLOOKUP($AI178,Programma!$F$3:$K$1101,6,0),"")</f>
        <v>1j</v>
      </c>
      <c r="AO178" s="114" t="str">
        <f>_xlfn.IFNA(VLOOKUP($AI178,Programma!$F$3:$L$1101,7,0),"")</f>
        <v>_</v>
      </c>
      <c r="AP178" s="114" t="str">
        <f>_xlfn.IFNA(VLOOKUP($AI178,Programma!$F$3:$M$1101,8,0),"")</f>
        <v>_</v>
      </c>
      <c r="AQ178" s="114" t="str">
        <f>_xlfn.IFNA(VLOOKUP($AI178,Programma!$F$3:$N$1101,9,0),"")</f>
        <v>_</v>
      </c>
      <c r="AR178" s="114" t="str">
        <f>_xlfn.IFNA(VLOOKUP($AI178,Programma!$F$3:$O$1101,10,0),"")</f>
        <v>_</v>
      </c>
      <c r="AS178" s="114" t="str">
        <f>_xlfn.IFNA(VLOOKUP($AI178,Programma!$F$3:$P$1101,11,0),"")</f>
        <v>_</v>
      </c>
      <c r="AT178" s="114" t="str">
        <f>_xlfn.IFNA(VLOOKUP($AI178,Programma!$F$3:$Q$1101,12,0),"")</f>
        <v>_</v>
      </c>
      <c r="AU178" s="114" t="str">
        <f>_xlfn.IFNA(VLOOKUP($AI178,Programma!$F$3:$R$1101,13,0),"")</f>
        <v>_</v>
      </c>
      <c r="AV178" s="114" t="str">
        <f>_xlfn.IFNA(VLOOKUP($AI178,Programma!$F$3:$S$1101,14,0),"")</f>
        <v>1m</v>
      </c>
      <c r="AW178" s="114" t="str">
        <f>_xlfn.IFNA(VLOOKUP($AI178,Programma!$F$3:$T$1101,15,0),"")</f>
        <v>4j</v>
      </c>
      <c r="AX178" s="114" t="str">
        <f>_xlfn.IFNA(VLOOKUP($AI178,Programma!$F$3:$U$1101,16,0),"")</f>
        <v>4j</v>
      </c>
      <c r="AY178" s="114" t="str">
        <f>_xlfn.IFNA(VLOOKUP($AI178,Programma!$F$3:$V$1101,17,0),"")</f>
        <v>_</v>
      </c>
      <c r="AZ178" s="114" t="str">
        <f>_xlfn.IFNA(VLOOKUP($AI178,Programma!$F$3:$W$1101,18,0),"")</f>
        <v>_</v>
      </c>
      <c r="BA178" s="114" t="str">
        <f>_xlfn.IFNA(VLOOKUP($AI178,Programma!$F$3:$X$1101,19,0),"")</f>
        <v>_</v>
      </c>
      <c r="BB178" s="114" t="str">
        <f>_xlfn.IFNA(VLOOKUP($AI178,Programma!$F$3:$Y$1101,20,0),"")</f>
        <v>_</v>
      </c>
      <c r="BC178" s="111"/>
      <c r="BD178" s="110" t="str">
        <f>IF(Ruimtestaat[[#This Row],[Frequentie weekend]]="","",_xlfn.CONCAT(Ruimtestaat[[#This Row],[Ruimte code]],"-",Ruimtestaat[[#This Row],[Frequentie weekend]]," ",Ruimtestaat[[#This Row],[Vloer code]]))</f>
        <v/>
      </c>
      <c r="BE178" s="114" t="str">
        <f>_xlfn.IFNA(VLOOKUP($BD178,Programma!$F$3:$G$1101,2,0),"")</f>
        <v/>
      </c>
      <c r="BF178" s="114" t="str">
        <f>_xlfn.IFNA(VLOOKUP($BD178,Programma!$F$3:$H$1101,3,0),"")</f>
        <v/>
      </c>
      <c r="BG178" s="114" t="str">
        <f>_xlfn.IFNA(VLOOKUP($BD178,Programma!$F$3:$I$1101,4,0),"")</f>
        <v/>
      </c>
      <c r="BH178" s="114" t="str">
        <f>_xlfn.IFNA(VLOOKUP($BD178,Programma!$F$3:$J$1101,5,0),"")</f>
        <v/>
      </c>
      <c r="BI178" s="114" t="str">
        <f>_xlfn.IFNA(VLOOKUP($BD178,Programma!$F$3:$K$1101,6,0),"")</f>
        <v/>
      </c>
      <c r="BJ178" s="114" t="str">
        <f>_xlfn.IFNA(VLOOKUP($BD178,Programma!$F$3:$L$1101,7,0),"")</f>
        <v/>
      </c>
      <c r="BK178" s="114" t="str">
        <f>_xlfn.IFNA(VLOOKUP($BD178,Programma!$F$3:$M$1101,8,0),"")</f>
        <v/>
      </c>
      <c r="BL178" s="114" t="str">
        <f>_xlfn.IFNA(VLOOKUP($BD178,Programma!$F$3:$N$1101,9,0),"")</f>
        <v/>
      </c>
      <c r="BM178" s="114" t="str">
        <f>_xlfn.IFNA(VLOOKUP($BD178,Programma!$F$3:$O$1101,10,0),"")</f>
        <v/>
      </c>
      <c r="BN178" s="114" t="str">
        <f>_xlfn.IFNA(VLOOKUP($BD178,Programma!$F$3:$P$1101,11,0),"")</f>
        <v/>
      </c>
      <c r="BO178" s="114" t="str">
        <f>_xlfn.IFNA(VLOOKUP($BD178,Programma!$F$3:$Q$1101,12,0),"")</f>
        <v/>
      </c>
      <c r="BP178" s="114" t="str">
        <f>_xlfn.IFNA(VLOOKUP($BD178,Programma!$F$3:$R$1101,13,0),"")</f>
        <v/>
      </c>
      <c r="BQ178" s="114" t="str">
        <f>_xlfn.IFNA(VLOOKUP($BD178,Programma!$F$3:$S$1101,14,0),"")</f>
        <v/>
      </c>
      <c r="BR178" s="114" t="str">
        <f>_xlfn.IFNA(VLOOKUP($BD178,Programma!$F$3:$T$1101,15,0),"")</f>
        <v/>
      </c>
      <c r="BS178" s="114" t="str">
        <f>_xlfn.IFNA(VLOOKUP($BD178,Programma!$F$3:$U$1101,16,0),"")</f>
        <v/>
      </c>
      <c r="BT178" s="114" t="str">
        <f>_xlfn.IFNA(VLOOKUP($BD178,Programma!$F$3:$V$1101,17,0),"")</f>
        <v/>
      </c>
      <c r="BU178" s="114" t="str">
        <f>_xlfn.IFNA(VLOOKUP($BD178,Programma!$F$3:$W$1101,18,0),"")</f>
        <v/>
      </c>
      <c r="BV178" s="114" t="str">
        <f>_xlfn.IFNA(VLOOKUP($BD178,Programma!$F$3:$X$1101,19,0),"")</f>
        <v/>
      </c>
      <c r="BW178" s="114" t="str">
        <f>_xlfn.IFNA(VLOOKUP($BD178,Programma!$F$3:$Y$1101,20,0),"")</f>
        <v/>
      </c>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c r="DB178" s="28"/>
      <c r="DC178" s="28"/>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c r="EA178" s="28"/>
      <c r="EB178" s="28"/>
      <c r="EC178" s="28"/>
      <c r="ED178" s="28"/>
      <c r="EE178" s="28"/>
      <c r="EF178" s="28"/>
      <c r="EG178" s="28"/>
      <c r="EH178" s="28"/>
      <c r="EI178" s="28"/>
      <c r="EJ178" s="28"/>
      <c r="EK178" s="28"/>
      <c r="EL178" s="28"/>
      <c r="EM178" s="28"/>
      <c r="EN178" s="28"/>
      <c r="EO178" s="28"/>
      <c r="EP178" s="28"/>
      <c r="EQ178" s="28"/>
      <c r="ER178" s="28"/>
      <c r="ES178" s="28"/>
      <c r="ET178" s="28"/>
      <c r="EU178" s="28"/>
      <c r="EV178" s="28"/>
      <c r="EW178" s="28"/>
      <c r="EX178" s="28"/>
      <c r="EY178" s="28"/>
      <c r="EZ178" s="28"/>
      <c r="FA178" s="28"/>
      <c r="FB178" s="28"/>
      <c r="FC178" s="28"/>
      <c r="FD178" s="28"/>
      <c r="FE178" s="28"/>
      <c r="FF178" s="28"/>
      <c r="FG178" s="28"/>
      <c r="FH178" s="28"/>
      <c r="FI178" s="28"/>
      <c r="FJ178" s="28"/>
      <c r="FK178" s="28"/>
      <c r="FL178" s="28"/>
      <c r="FM178" s="28"/>
      <c r="FN178" s="28"/>
      <c r="FO178" s="28"/>
      <c r="FP178" s="28"/>
      <c r="FQ178" s="28"/>
      <c r="FR178" s="28"/>
      <c r="FS178" s="28"/>
      <c r="FT178" s="28"/>
      <c r="FU178" s="28"/>
      <c r="FV178" s="28"/>
      <c r="FW178" s="28"/>
      <c r="FX178" s="28"/>
      <c r="FY178" s="28"/>
      <c r="FZ178" s="28"/>
      <c r="GA178" s="28"/>
      <c r="GB178" s="28"/>
      <c r="GC178" s="28"/>
      <c r="GD178" s="28"/>
      <c r="GE178" s="28"/>
      <c r="GF178" s="28"/>
      <c r="GG178" s="28"/>
      <c r="GH178" s="28"/>
      <c r="GI178" s="28"/>
      <c r="GJ178" s="28"/>
      <c r="GK178" s="28"/>
      <c r="GL178" s="28"/>
      <c r="GM178" s="28"/>
      <c r="GN178" s="28"/>
      <c r="GO178" s="28"/>
      <c r="GP178" s="28"/>
      <c r="GQ178" s="28"/>
      <c r="GR178" s="28"/>
      <c r="GS178" s="28"/>
      <c r="GT178" s="28"/>
      <c r="GU178" s="28"/>
      <c r="GV178" s="28"/>
      <c r="GW178" s="28"/>
      <c r="GX178" s="28"/>
      <c r="GY178" s="28"/>
      <c r="GZ178" s="28"/>
      <c r="HA178" s="28"/>
      <c r="HB178" s="28"/>
      <c r="HC178" s="28"/>
      <c r="HD178" s="28"/>
      <c r="HE178" s="28"/>
      <c r="HF178" s="28"/>
      <c r="HG178" s="28"/>
      <c r="HH178" s="28"/>
      <c r="HI178" s="28"/>
      <c r="HJ178" s="28"/>
      <c r="HK178" s="28"/>
      <c r="HL178" s="28"/>
    </row>
    <row r="179" spans="1:220" ht="15" customHeight="1">
      <c r="A179" s="31">
        <v>5</v>
      </c>
      <c r="B179" s="105" t="str">
        <f>VLOOKUP(Ruimtestaat[[#This Row],[Code]],Locaties[[Code]:[Locatie]],2,FALSE)</f>
        <v>IKC Remigius</v>
      </c>
      <c r="C179" s="105" t="str">
        <f>VLOOKUP(Ruimtestaat[[#This Row],[Code]],Locaties[[#All],[Code]:[Adres]],4,FALSE)</f>
        <v>Liemersplein 1</v>
      </c>
      <c r="D179" s="105" t="str">
        <f>VLOOKUP(Ruimtestaat[[#This Row],[Code]],Locaties[[#All],[Code]:[Postcode]],5,FALSE)</f>
        <v xml:space="preserve">6921 HN </v>
      </c>
      <c r="E179" s="105" t="str">
        <f>VLOOKUP(Ruimtestaat[[#This Row],[Code]],Locaties[#All],6,FALSE)</f>
        <v>Duiven</v>
      </c>
      <c r="F179" s="73"/>
      <c r="G179" s="73" t="s">
        <v>1645</v>
      </c>
      <c r="H179" s="31" t="s">
        <v>1759</v>
      </c>
      <c r="I179" s="113" t="s">
        <v>1661</v>
      </c>
      <c r="J179" s="31">
        <v>17</v>
      </c>
      <c r="K179" s="113" t="str">
        <f>VLOOKUP(Ruimtestaat[[#This Row],[Ruimte code]],Ruimtegroepen[[#All],[Code]:[Ruimte omschrijving]],2,FALSE)</f>
        <v>Toestelberging</v>
      </c>
      <c r="L179" s="73" t="s">
        <v>102</v>
      </c>
      <c r="M179" s="273" t="s">
        <v>120</v>
      </c>
      <c r="N179" s="106">
        <v>6.1</v>
      </c>
      <c r="O179" s="112"/>
      <c r="P179" s="112"/>
      <c r="Q179" s="107" t="str">
        <f>VLOOKUP(Ruimtestaat[[#This Row],[Ruimte code]],Ruimtegroepen[],4,FALSE)</f>
        <v>Ve</v>
      </c>
      <c r="R179" s="73">
        <v>40</v>
      </c>
      <c r="S179" s="73" t="s">
        <v>16</v>
      </c>
      <c r="T179" s="73">
        <f>IF(R179&gt;0,IF(RIGHT(Ruimtestaat[[#This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79" s="73">
        <f>IF(T179&gt;0,VLOOKUP($J179,Ruimtegroepen[],3,FALSE)*VLOOKUP($L179,Vloersoorten[],3,FALSE)*VLOOKUP($S179,Frequenties[],3,FALSE)*VLOOKUP($A179,Locaties[],3,FALSE),0)</f>
        <v>0</v>
      </c>
      <c r="V179" s="73">
        <f>Ruimtestaat[[#This Row],[Uitvoeringen werkdagen]]*Ruimtestaat[[#This Row],[Oppervlak (netto)]]</f>
        <v>73.199999999999989</v>
      </c>
      <c r="W179" s="108">
        <f>IF(U179&gt;0,Ruimtestaat[[#This Row],[Prest. (m2 /jaar) werkdagen]]/Ruimtestaat[[#This Row],[Norm (m2/uur) werkdagen]],0)</f>
        <v>0</v>
      </c>
      <c r="X179" s="109">
        <f>Ruimtestaat[[#This Row],[uren / jaar werkdagen]]*Tariefsopbouw!$E$35</f>
        <v>0</v>
      </c>
      <c r="Y179" s="73"/>
      <c r="Z179" s="73">
        <f>IF(Ruimtestaat[[#This Row],[Frequentie weekend]]&gt;0,VALUE(LEFT(Y179,1))*R179,0)</f>
        <v>0</v>
      </c>
      <c r="AA179" s="72">
        <f>IF($Z179&gt;0,VLOOKUP($J179,Ruimtegroepen[],3,FALSE)*VLOOKUP($L179,Vloersoorten[],3,FALSE)*VLOOKUP($Y179,Frequenties[],3,FALSE)*VLOOKUP(Ruimtestaat[[#This Row],[Code]],Locaties[],3,FALSE),0)</f>
        <v>0</v>
      </c>
      <c r="AB179" s="72">
        <f>Ruimtestaat[[#This Row],[Uitvoeringen weekend]]*Ruimtestaat[[#This Row],[Oppervlak (netto)]]</f>
        <v>0</v>
      </c>
      <c r="AC179" s="72">
        <f>IF(AA179&gt;0,Ruimtestaat[[#This Row],[Prest. (m2 /jaar) weekend]]/Ruimtestaat[[#This Row],[Norm (m2/uur) weekend]],0)</f>
        <v>0</v>
      </c>
      <c r="AD179" s="109">
        <f>Ruimtestaat[[#This Row],[uren / jaar weekend]]*Tariefsopbouw!$D$40</f>
        <v>0</v>
      </c>
      <c r="AE179" s="108">
        <f>Ruimtestaat[[#This Row],[Prest. (m2 /jaar) weekend]]+Ruimtestaat[[#This Row],[Prest. (m2 /jaar) werkdagen]]</f>
        <v>73.199999999999989</v>
      </c>
      <c r="AF179" s="108">
        <f>Ruimtestaat[[#This Row],[uren / jaar weekend]]+Ruimtestaat[[#This Row],[uren / jaar werkdagen]]</f>
        <v>0</v>
      </c>
      <c r="AG179" s="103">
        <f>Ruimtestaat[[#This Row],[kosten / jaar weekend]]+Ruimtestaat[[#This Row],[kosten / jaar werkdagen]]</f>
        <v>0</v>
      </c>
      <c r="AH179" s="103"/>
      <c r="AI179" s="110" t="str">
        <f>IF(Ruimtestaat[[#This Row],[Frequentie werkdagen]]="","",_xlfn.CONCAT(Ruimtestaat[[#This Row],[Ruimte code]],"-",Ruimtestaat[[#This Row],[Frequentie werkdagen]]," ",Ruimtestaat[[#This Row],[Vloer code]]))</f>
        <v>17-1m P</v>
      </c>
      <c r="AJ179" s="114" t="str">
        <f>_xlfn.IFNA(VLOOKUP($AI179,Programma!$F$3:$G$1101,2,0),"")</f>
        <v>_</v>
      </c>
      <c r="AK179" s="114" t="str">
        <f>_xlfn.IFNA(VLOOKUP($AI179,Programma!$F$3:$H$1101,3,0),"")</f>
        <v>_</v>
      </c>
      <c r="AL179" s="114" t="str">
        <f>_xlfn.IFNA(VLOOKUP($AI179,Programma!$F$3:$I$1101,4,0),"")</f>
        <v>1m</v>
      </c>
      <c r="AM179" s="114" t="str">
        <f>_xlfn.IFNA(VLOOKUP($AI179,Programma!$F$3:$J$1101,5,0),"")</f>
        <v>_</v>
      </c>
      <c r="AN179" s="114" t="str">
        <f>_xlfn.IFNA(VLOOKUP($AI179,Programma!$F$3:$K$1101,6,0),"")</f>
        <v>4j</v>
      </c>
      <c r="AO179" s="114" t="str">
        <f>_xlfn.IFNA(VLOOKUP($AI179,Programma!$F$3:$L$1101,7,0),"")</f>
        <v>_</v>
      </c>
      <c r="AP179" s="114" t="str">
        <f>_xlfn.IFNA(VLOOKUP($AI179,Programma!$F$3:$M$1101,8,0),"")</f>
        <v>_</v>
      </c>
      <c r="AQ179" s="114" t="str">
        <f>_xlfn.IFNA(VLOOKUP($AI179,Programma!$F$3:$N$1101,9,0),"")</f>
        <v>_</v>
      </c>
      <c r="AR179" s="114" t="str">
        <f>_xlfn.IFNA(VLOOKUP($AI179,Programma!$F$3:$O$1101,10,0),"")</f>
        <v>1m</v>
      </c>
      <c r="AS179" s="114" t="str">
        <f>_xlfn.IFNA(VLOOKUP($AI179,Programma!$F$3:$P$1101,11,0),"")</f>
        <v>1m</v>
      </c>
      <c r="AT179" s="114" t="str">
        <f>_xlfn.IFNA(VLOOKUP($AI179,Programma!$F$3:$Q$1101,12,0),"")</f>
        <v>1m</v>
      </c>
      <c r="AU179" s="114" t="str">
        <f>_xlfn.IFNA(VLOOKUP($AI179,Programma!$F$3:$R$1101,13,0),"")</f>
        <v>1m</v>
      </c>
      <c r="AV179" s="114" t="str">
        <f>_xlfn.IFNA(VLOOKUP($AI179,Programma!$F$3:$S$1101,14,0),"")</f>
        <v>1m</v>
      </c>
      <c r="AW179" s="114" t="str">
        <f>_xlfn.IFNA(VLOOKUP($AI179,Programma!$F$3:$T$1101,15,0),"")</f>
        <v>2j</v>
      </c>
      <c r="AX179" s="114" t="str">
        <f>_xlfn.IFNA(VLOOKUP($AI179,Programma!$F$3:$U$1101,16,0),"")</f>
        <v>1j</v>
      </c>
      <c r="AY179" s="114" t="str">
        <f>_xlfn.IFNA(VLOOKUP($AI179,Programma!$F$3:$V$1101,17,0),"")</f>
        <v>_</v>
      </c>
      <c r="AZ179" s="114" t="str">
        <f>_xlfn.IFNA(VLOOKUP($AI179,Programma!$F$3:$W$1101,18,0),"")</f>
        <v>_</v>
      </c>
      <c r="BA179" s="114" t="str">
        <f>_xlfn.IFNA(VLOOKUP($AI179,Programma!$F$3:$X$1101,19,0),"")</f>
        <v>_</v>
      </c>
      <c r="BB179" s="114" t="str">
        <f>_xlfn.IFNA(VLOOKUP($AI179,Programma!$F$3:$Y$1101,20,0),"")</f>
        <v>_</v>
      </c>
      <c r="BC179" s="111"/>
      <c r="BD179" s="110" t="str">
        <f>IF(Ruimtestaat[[#This Row],[Frequentie weekend]]="","",_xlfn.CONCAT(Ruimtestaat[[#This Row],[Ruimte code]],"-",Ruimtestaat[[#This Row],[Frequentie weekend]]," ",Ruimtestaat[[#This Row],[Vloer code]]))</f>
        <v/>
      </c>
      <c r="BE179" s="114" t="str">
        <f>_xlfn.IFNA(VLOOKUP($BD179,Programma!$F$3:$G$1101,2,0),"")</f>
        <v/>
      </c>
      <c r="BF179" s="114" t="str">
        <f>_xlfn.IFNA(VLOOKUP($BD179,Programma!$F$3:$H$1101,3,0),"")</f>
        <v/>
      </c>
      <c r="BG179" s="114" t="str">
        <f>_xlfn.IFNA(VLOOKUP($BD179,Programma!$F$3:$I$1101,4,0),"")</f>
        <v/>
      </c>
      <c r="BH179" s="114" t="str">
        <f>_xlfn.IFNA(VLOOKUP($BD179,Programma!$F$3:$J$1101,5,0),"")</f>
        <v/>
      </c>
      <c r="BI179" s="114" t="str">
        <f>_xlfn.IFNA(VLOOKUP($BD179,Programma!$F$3:$K$1101,6,0),"")</f>
        <v/>
      </c>
      <c r="BJ179" s="114" t="str">
        <f>_xlfn.IFNA(VLOOKUP($BD179,Programma!$F$3:$L$1101,7,0),"")</f>
        <v/>
      </c>
      <c r="BK179" s="114" t="str">
        <f>_xlfn.IFNA(VLOOKUP($BD179,Programma!$F$3:$M$1101,8,0),"")</f>
        <v/>
      </c>
      <c r="BL179" s="114" t="str">
        <f>_xlfn.IFNA(VLOOKUP($BD179,Programma!$F$3:$N$1101,9,0),"")</f>
        <v/>
      </c>
      <c r="BM179" s="114" t="str">
        <f>_xlfn.IFNA(VLOOKUP($BD179,Programma!$F$3:$O$1101,10,0),"")</f>
        <v/>
      </c>
      <c r="BN179" s="114" t="str">
        <f>_xlfn.IFNA(VLOOKUP($BD179,Programma!$F$3:$P$1101,11,0),"")</f>
        <v/>
      </c>
      <c r="BO179" s="114" t="str">
        <f>_xlfn.IFNA(VLOOKUP($BD179,Programma!$F$3:$Q$1101,12,0),"")</f>
        <v/>
      </c>
      <c r="BP179" s="114" t="str">
        <f>_xlfn.IFNA(VLOOKUP($BD179,Programma!$F$3:$R$1101,13,0),"")</f>
        <v/>
      </c>
      <c r="BQ179" s="114" t="str">
        <f>_xlfn.IFNA(VLOOKUP($BD179,Programma!$F$3:$S$1101,14,0),"")</f>
        <v/>
      </c>
      <c r="BR179" s="114" t="str">
        <f>_xlfn.IFNA(VLOOKUP($BD179,Programma!$F$3:$T$1101,15,0),"")</f>
        <v/>
      </c>
      <c r="BS179" s="114" t="str">
        <f>_xlfn.IFNA(VLOOKUP($BD179,Programma!$F$3:$U$1101,16,0),"")</f>
        <v/>
      </c>
      <c r="BT179" s="114" t="str">
        <f>_xlfn.IFNA(VLOOKUP($BD179,Programma!$F$3:$V$1101,17,0),"")</f>
        <v/>
      </c>
      <c r="BU179" s="114" t="str">
        <f>_xlfn.IFNA(VLOOKUP($BD179,Programma!$F$3:$W$1101,18,0),"")</f>
        <v/>
      </c>
      <c r="BV179" s="114" t="str">
        <f>_xlfn.IFNA(VLOOKUP($BD179,Programma!$F$3:$X$1101,19,0),"")</f>
        <v/>
      </c>
      <c r="BW179" s="114" t="str">
        <f>_xlfn.IFNA(VLOOKUP($BD179,Programma!$F$3:$Y$1101,20,0),"")</f>
        <v/>
      </c>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c r="ET179" s="28"/>
      <c r="EU179" s="28"/>
      <c r="EV179" s="28"/>
      <c r="EW179" s="28"/>
      <c r="EX179" s="28"/>
      <c r="EY179" s="28"/>
      <c r="EZ179" s="28"/>
      <c r="FA179" s="28"/>
      <c r="FB179" s="28"/>
      <c r="FC179" s="28"/>
      <c r="FD179" s="28"/>
      <c r="FE179" s="28"/>
      <c r="FF179" s="28"/>
      <c r="FG179" s="28"/>
      <c r="FH179" s="28"/>
      <c r="FI179" s="28"/>
      <c r="FJ179" s="28"/>
      <c r="FK179" s="28"/>
      <c r="FL179" s="28"/>
      <c r="FM179" s="28"/>
      <c r="FN179" s="28"/>
      <c r="FO179" s="28"/>
      <c r="FP179" s="28"/>
      <c r="FQ179" s="28"/>
      <c r="FR179" s="28"/>
      <c r="FS179" s="28"/>
      <c r="FT179" s="28"/>
      <c r="FU179" s="28"/>
      <c r="FV179" s="28"/>
      <c r="FW179" s="28"/>
      <c r="FX179" s="28"/>
      <c r="FY179" s="28"/>
      <c r="FZ179" s="28"/>
      <c r="GA179" s="28"/>
      <c r="GB179" s="28"/>
      <c r="GC179" s="28"/>
      <c r="GD179" s="28"/>
      <c r="GE179" s="28"/>
      <c r="GF179" s="28"/>
      <c r="GG179" s="28"/>
      <c r="GH179" s="28"/>
      <c r="GI179" s="28"/>
      <c r="GJ179" s="28"/>
      <c r="GK179" s="28"/>
      <c r="GL179" s="28"/>
      <c r="GM179" s="28"/>
      <c r="GN179" s="28"/>
      <c r="GO179" s="28"/>
      <c r="GP179" s="28"/>
      <c r="GQ179" s="28"/>
      <c r="GR179" s="28"/>
      <c r="GS179" s="28"/>
      <c r="GT179" s="28"/>
      <c r="GU179" s="28"/>
      <c r="GV179" s="28"/>
      <c r="GW179" s="28"/>
      <c r="GX179" s="28"/>
      <c r="GY179" s="28"/>
      <c r="GZ179" s="28"/>
      <c r="HA179" s="28"/>
      <c r="HB179" s="28"/>
      <c r="HC179" s="28"/>
      <c r="HD179" s="28"/>
      <c r="HE179" s="28"/>
      <c r="HF179" s="28"/>
      <c r="HG179" s="28"/>
      <c r="HH179" s="28"/>
      <c r="HI179" s="28"/>
      <c r="HJ179" s="28"/>
      <c r="HK179" s="28"/>
      <c r="HL179" s="28"/>
    </row>
    <row r="180" spans="1:220" ht="15" customHeight="1">
      <c r="A180" s="31">
        <v>5</v>
      </c>
      <c r="B180" s="105" t="str">
        <f>VLOOKUP(Ruimtestaat[[#This Row],[Code]],Locaties[[Code]:[Locatie]],2,FALSE)</f>
        <v>IKC Remigius</v>
      </c>
      <c r="C180" s="105" t="str">
        <f>VLOOKUP(Ruimtestaat[[#This Row],[Code]],Locaties[[#All],[Code]:[Adres]],4,FALSE)</f>
        <v>Liemersplein 1</v>
      </c>
      <c r="D180" s="105" t="str">
        <f>VLOOKUP(Ruimtestaat[[#This Row],[Code]],Locaties[[#All],[Code]:[Postcode]],5,FALSE)</f>
        <v xml:space="preserve">6921 HN </v>
      </c>
      <c r="E180" s="105" t="str">
        <f>VLOOKUP(Ruimtestaat[[#This Row],[Code]],Locaties[#All],6,FALSE)</f>
        <v>Duiven</v>
      </c>
      <c r="F180" s="73"/>
      <c r="G180" s="73" t="s">
        <v>1645</v>
      </c>
      <c r="H180" s="31" t="s">
        <v>1760</v>
      </c>
      <c r="I180" s="113" t="s">
        <v>1649</v>
      </c>
      <c r="J180" s="31">
        <v>2</v>
      </c>
      <c r="K180" s="113" t="str">
        <f>VLOOKUP(Ruimtestaat[[#This Row],[Ruimte code]],Ruimtegroepen[[#All],[Code]:[Ruimte omschrijving]],2,FALSE)</f>
        <v>Kantoren</v>
      </c>
      <c r="L180" s="73" t="s">
        <v>102</v>
      </c>
      <c r="M180" s="273" t="s">
        <v>120</v>
      </c>
      <c r="N180" s="106">
        <v>7.5</v>
      </c>
      <c r="O180" s="112"/>
      <c r="P180" s="73"/>
      <c r="Q180" s="107" t="str">
        <f>VLOOKUP(Ruimtestaat[[#This Row],[Ruimte code]],Ruimtegroepen[],4,FALSE)</f>
        <v>Bu</v>
      </c>
      <c r="R180" s="73">
        <v>40</v>
      </c>
      <c r="S180" s="73" t="s">
        <v>15</v>
      </c>
      <c r="T180" s="73">
        <f>IF(R180&gt;0,IF(RIGHT(Ruimtestaat[[#This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80" s="73">
        <f>IF(T180&gt;0,VLOOKUP($J180,Ruimtegroepen[],3,FALSE)*VLOOKUP($L180,Vloersoorten[],3,FALSE)*VLOOKUP($S180,Frequenties[],3,FALSE)*VLOOKUP($A180,Locaties[],3,FALSE),0)</f>
        <v>0</v>
      </c>
      <c r="V180" s="73">
        <f>Ruimtestaat[[#This Row],[Uitvoeringen werkdagen]]*Ruimtestaat[[#This Row],[Oppervlak (netto)]]</f>
        <v>300</v>
      </c>
      <c r="W180" s="108">
        <f>IF(U180&gt;0,Ruimtestaat[[#This Row],[Prest. (m2 /jaar) werkdagen]]/Ruimtestaat[[#This Row],[Norm (m2/uur) werkdagen]],0)</f>
        <v>0</v>
      </c>
      <c r="X180" s="109">
        <f>Ruimtestaat[[#This Row],[uren / jaar werkdagen]]*Tariefsopbouw!$E$35</f>
        <v>0</v>
      </c>
      <c r="Y180" s="73"/>
      <c r="Z180" s="73">
        <f>IF(Ruimtestaat[[#This Row],[Frequentie weekend]]&gt;0,VALUE(LEFT(Y180,1))*R180,0)</f>
        <v>0</v>
      </c>
      <c r="AA180" s="72">
        <f>IF($Z180&gt;0,VLOOKUP($J180,Ruimtegroepen[],3,FALSE)*VLOOKUP($L180,Vloersoorten[],3,FALSE)*VLOOKUP($Y180,Frequenties[],3,FALSE)*VLOOKUP(Ruimtestaat[[#This Row],[Code]],Locaties[],3,FALSE),0)</f>
        <v>0</v>
      </c>
      <c r="AB180" s="72">
        <f>Ruimtestaat[[#This Row],[Uitvoeringen weekend]]*Ruimtestaat[[#This Row],[Oppervlak (netto)]]</f>
        <v>0</v>
      </c>
      <c r="AC180" s="72">
        <f>IF(AA180&gt;0,Ruimtestaat[[#This Row],[Prest. (m2 /jaar) weekend]]/Ruimtestaat[[#This Row],[Norm (m2/uur) weekend]],0)</f>
        <v>0</v>
      </c>
      <c r="AD180" s="109">
        <f>Ruimtestaat[[#This Row],[uren / jaar weekend]]*Tariefsopbouw!$D$40</f>
        <v>0</v>
      </c>
      <c r="AE180" s="108">
        <f>Ruimtestaat[[#This Row],[Prest. (m2 /jaar) weekend]]+Ruimtestaat[[#This Row],[Prest. (m2 /jaar) werkdagen]]</f>
        <v>300</v>
      </c>
      <c r="AF180" s="108">
        <f>Ruimtestaat[[#This Row],[uren / jaar weekend]]+Ruimtestaat[[#This Row],[uren / jaar werkdagen]]</f>
        <v>0</v>
      </c>
      <c r="AG180" s="103">
        <f>Ruimtestaat[[#This Row],[kosten / jaar weekend]]+Ruimtestaat[[#This Row],[kosten / jaar werkdagen]]</f>
        <v>0</v>
      </c>
      <c r="AH180" s="103"/>
      <c r="AI180" s="110" t="str">
        <f>IF(Ruimtestaat[[#This Row],[Frequentie werkdagen]]="","",_xlfn.CONCAT(Ruimtestaat[[#This Row],[Ruimte code]],"-",Ruimtestaat[[#This Row],[Frequentie werkdagen]]," ",Ruimtestaat[[#This Row],[Vloer code]]))</f>
        <v>2-1w P</v>
      </c>
      <c r="AJ180" s="114" t="str">
        <f>_xlfn.IFNA(VLOOKUP($AI180,Programma!$F$3:$G$1101,2,0),"")</f>
        <v>_</v>
      </c>
      <c r="AK180" s="114" t="str">
        <f>_xlfn.IFNA(VLOOKUP($AI180,Programma!$F$3:$H$1101,3,0),"")</f>
        <v>_</v>
      </c>
      <c r="AL180" s="114" t="str">
        <f>_xlfn.IFNA(VLOOKUP($AI180,Programma!$F$3:$I$1101,4,0),"")</f>
        <v>_</v>
      </c>
      <c r="AM180" s="114" t="str">
        <f>_xlfn.IFNA(VLOOKUP($AI180,Programma!$F$3:$J$1101,5,0),"")</f>
        <v>1w</v>
      </c>
      <c r="AN180" s="114" t="str">
        <f>_xlfn.IFNA(VLOOKUP($AI180,Programma!$F$3:$K$1101,6,0),"")</f>
        <v>1j</v>
      </c>
      <c r="AO180" s="114" t="str">
        <f>_xlfn.IFNA(VLOOKUP($AI180,Programma!$F$3:$L$1101,7,0),"")</f>
        <v>_</v>
      </c>
      <c r="AP180" s="114" t="str">
        <f>_xlfn.IFNA(VLOOKUP($AI180,Programma!$F$3:$M$1101,8,0),"")</f>
        <v>_</v>
      </c>
      <c r="AQ180" s="114" t="str">
        <f>_xlfn.IFNA(VLOOKUP($AI180,Programma!$F$3:$N$1101,9,0),"")</f>
        <v>_</v>
      </c>
      <c r="AR180" s="114" t="str">
        <f>_xlfn.IFNA(VLOOKUP($AI180,Programma!$F$3:$O$1101,10,0),"")</f>
        <v>1w</v>
      </c>
      <c r="AS180" s="114" t="str">
        <f>_xlfn.IFNA(VLOOKUP($AI180,Programma!$F$3:$P$1101,11,0),"")</f>
        <v>1w</v>
      </c>
      <c r="AT180" s="114" t="str">
        <f>_xlfn.IFNA(VLOOKUP($AI180,Programma!$F$3:$Q$1101,12,0),"")</f>
        <v>1w</v>
      </c>
      <c r="AU180" s="114" t="str">
        <f>_xlfn.IFNA(VLOOKUP($AI180,Programma!$F$3:$R$1101,13,0),"")</f>
        <v>1w</v>
      </c>
      <c r="AV180" s="114" t="str">
        <f>_xlfn.IFNA(VLOOKUP($AI180,Programma!$F$3:$S$1101,14,0),"")</f>
        <v>1m</v>
      </c>
      <c r="AW180" s="114" t="str">
        <f>_xlfn.IFNA(VLOOKUP($AI180,Programma!$F$3:$T$1101,15,0),"")</f>
        <v>2j</v>
      </c>
      <c r="AX180" s="114" t="str">
        <f>_xlfn.IFNA(VLOOKUP($AI180,Programma!$F$3:$U$1101,16,0),"")</f>
        <v>1j</v>
      </c>
      <c r="AY180" s="114" t="str">
        <f>_xlfn.IFNA(VLOOKUP($AI180,Programma!$F$3:$V$1101,17,0),"")</f>
        <v>_</v>
      </c>
      <c r="AZ180" s="114" t="str">
        <f>_xlfn.IFNA(VLOOKUP($AI180,Programma!$F$3:$W$1101,18,0),"")</f>
        <v>_</v>
      </c>
      <c r="BA180" s="114" t="str">
        <f>_xlfn.IFNA(VLOOKUP($AI180,Programma!$F$3:$X$1101,19,0),"")</f>
        <v>_</v>
      </c>
      <c r="BB180" s="114" t="str">
        <f>_xlfn.IFNA(VLOOKUP($AI180,Programma!$F$3:$Y$1101,20,0),"")</f>
        <v>_</v>
      </c>
      <c r="BC180" s="111"/>
      <c r="BD180" s="110" t="str">
        <f>IF(Ruimtestaat[[#This Row],[Frequentie weekend]]="","",_xlfn.CONCAT(Ruimtestaat[[#This Row],[Ruimte code]],"-",Ruimtestaat[[#This Row],[Frequentie weekend]]," ",Ruimtestaat[[#This Row],[Vloer code]]))</f>
        <v/>
      </c>
      <c r="BE180" s="114" t="str">
        <f>_xlfn.IFNA(VLOOKUP($BD180,Programma!$F$3:$G$1101,2,0),"")</f>
        <v/>
      </c>
      <c r="BF180" s="114" t="str">
        <f>_xlfn.IFNA(VLOOKUP($BD180,Programma!$F$3:$H$1101,3,0),"")</f>
        <v/>
      </c>
      <c r="BG180" s="114" t="str">
        <f>_xlfn.IFNA(VLOOKUP($BD180,Programma!$F$3:$I$1101,4,0),"")</f>
        <v/>
      </c>
      <c r="BH180" s="114" t="str">
        <f>_xlfn.IFNA(VLOOKUP($BD180,Programma!$F$3:$J$1101,5,0),"")</f>
        <v/>
      </c>
      <c r="BI180" s="114" t="str">
        <f>_xlfn.IFNA(VLOOKUP($BD180,Programma!$F$3:$K$1101,6,0),"")</f>
        <v/>
      </c>
      <c r="BJ180" s="114" t="str">
        <f>_xlfn.IFNA(VLOOKUP($BD180,Programma!$F$3:$L$1101,7,0),"")</f>
        <v/>
      </c>
      <c r="BK180" s="114" t="str">
        <f>_xlfn.IFNA(VLOOKUP($BD180,Programma!$F$3:$M$1101,8,0),"")</f>
        <v/>
      </c>
      <c r="BL180" s="114" t="str">
        <f>_xlfn.IFNA(VLOOKUP($BD180,Programma!$F$3:$N$1101,9,0),"")</f>
        <v/>
      </c>
      <c r="BM180" s="114" t="str">
        <f>_xlfn.IFNA(VLOOKUP($BD180,Programma!$F$3:$O$1101,10,0),"")</f>
        <v/>
      </c>
      <c r="BN180" s="114" t="str">
        <f>_xlfn.IFNA(VLOOKUP($BD180,Programma!$F$3:$P$1101,11,0),"")</f>
        <v/>
      </c>
      <c r="BO180" s="114" t="str">
        <f>_xlfn.IFNA(VLOOKUP($BD180,Programma!$F$3:$Q$1101,12,0),"")</f>
        <v/>
      </c>
      <c r="BP180" s="114" t="str">
        <f>_xlfn.IFNA(VLOOKUP($BD180,Programma!$F$3:$R$1101,13,0),"")</f>
        <v/>
      </c>
      <c r="BQ180" s="114" t="str">
        <f>_xlfn.IFNA(VLOOKUP($BD180,Programma!$F$3:$S$1101,14,0),"")</f>
        <v/>
      </c>
      <c r="BR180" s="114" t="str">
        <f>_xlfn.IFNA(VLOOKUP($BD180,Programma!$F$3:$T$1101,15,0),"")</f>
        <v/>
      </c>
      <c r="BS180" s="114" t="str">
        <f>_xlfn.IFNA(VLOOKUP($BD180,Programma!$F$3:$U$1101,16,0),"")</f>
        <v/>
      </c>
      <c r="BT180" s="114" t="str">
        <f>_xlfn.IFNA(VLOOKUP($BD180,Programma!$F$3:$V$1101,17,0),"")</f>
        <v/>
      </c>
      <c r="BU180" s="114" t="str">
        <f>_xlfn.IFNA(VLOOKUP($BD180,Programma!$F$3:$W$1101,18,0),"")</f>
        <v/>
      </c>
      <c r="BV180" s="114" t="str">
        <f>_xlfn.IFNA(VLOOKUP($BD180,Programma!$F$3:$X$1101,19,0),"")</f>
        <v/>
      </c>
      <c r="BW180" s="114" t="str">
        <f>_xlfn.IFNA(VLOOKUP($BD180,Programma!$F$3:$Y$1101,20,0),"")</f>
        <v/>
      </c>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c r="HG180" s="28"/>
      <c r="HH180" s="28"/>
      <c r="HI180" s="28"/>
      <c r="HJ180" s="28"/>
      <c r="HK180" s="28"/>
      <c r="HL180" s="28"/>
    </row>
    <row r="181" spans="1:220" ht="15" customHeight="1">
      <c r="A181" s="31">
        <v>5</v>
      </c>
      <c r="B181" s="105" t="str">
        <f>VLOOKUP(Ruimtestaat[[#This Row],[Code]],Locaties[[Code]:[Locatie]],2,FALSE)</f>
        <v>IKC Remigius</v>
      </c>
      <c r="C181" s="105" t="str">
        <f>VLOOKUP(Ruimtestaat[[#This Row],[Code]],Locaties[[#All],[Code]:[Adres]],4,FALSE)</f>
        <v>Liemersplein 1</v>
      </c>
      <c r="D181" s="105" t="str">
        <f>VLOOKUP(Ruimtestaat[[#This Row],[Code]],Locaties[[#All],[Code]:[Postcode]],5,FALSE)</f>
        <v xml:space="preserve">6921 HN </v>
      </c>
      <c r="E181" s="105" t="str">
        <f>VLOOKUP(Ruimtestaat[[#This Row],[Code]],Locaties[#All],6,FALSE)</f>
        <v>Duiven</v>
      </c>
      <c r="F181" s="73"/>
      <c r="G181" s="73" t="s">
        <v>1645</v>
      </c>
      <c r="H181" s="31" t="s">
        <v>1761</v>
      </c>
      <c r="I181" s="113" t="s">
        <v>1814</v>
      </c>
      <c r="J181" s="31">
        <v>16</v>
      </c>
      <c r="K181" s="113" t="str">
        <f>VLOOKUP(Ruimtestaat[[#This Row],[Ruimte code]],Ruimtegroepen[[#All],[Code]:[Ruimte omschrijving]],2,FALSE)</f>
        <v>Leslokalen</v>
      </c>
      <c r="L181" s="73" t="s">
        <v>102</v>
      </c>
      <c r="M181" s="273" t="s">
        <v>120</v>
      </c>
      <c r="N181" s="106">
        <v>46</v>
      </c>
      <c r="O181" s="112"/>
      <c r="P181" s="112"/>
      <c r="Q181" s="107" t="str">
        <f>VLOOKUP(Ruimtestaat[[#This Row],[Ruimte code]],Ruimtegroepen[],4,FALSE)</f>
        <v>Le</v>
      </c>
      <c r="R181" s="73">
        <v>40</v>
      </c>
      <c r="S181" s="73" t="s">
        <v>2</v>
      </c>
      <c r="T181" s="73">
        <f>IF(R181&gt;0,IF(RIGHT(Ruimtestaat[[#This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1" s="73">
        <f>IF(T181&gt;0,VLOOKUP($J181,Ruimtegroepen[],3,FALSE)*VLOOKUP($L181,Vloersoorten[],3,FALSE)*VLOOKUP($S181,Frequenties[],3,FALSE)*VLOOKUP($A181,Locaties[],3,FALSE),0)</f>
        <v>0</v>
      </c>
      <c r="V181" s="73">
        <f>Ruimtestaat[[#This Row],[Uitvoeringen werkdagen]]*Ruimtestaat[[#This Row],[Oppervlak (netto)]]</f>
        <v>9200</v>
      </c>
      <c r="W181" s="108">
        <f>IF(U181&gt;0,Ruimtestaat[[#This Row],[Prest. (m2 /jaar) werkdagen]]/Ruimtestaat[[#This Row],[Norm (m2/uur) werkdagen]],0)</f>
        <v>0</v>
      </c>
      <c r="X181" s="109">
        <f>Ruimtestaat[[#This Row],[uren / jaar werkdagen]]*Tariefsopbouw!$E$35</f>
        <v>0</v>
      </c>
      <c r="Y181" s="73"/>
      <c r="Z181" s="73">
        <f>IF(Ruimtestaat[[#This Row],[Frequentie weekend]]&gt;0,VALUE(LEFT(Y181,1))*R181,0)</f>
        <v>0</v>
      </c>
      <c r="AA181" s="72">
        <f>IF($Z181&gt;0,VLOOKUP($J181,Ruimtegroepen[],3,FALSE)*VLOOKUP($L181,Vloersoorten[],3,FALSE)*VLOOKUP($Y181,Frequenties[],3,FALSE)*VLOOKUP(Ruimtestaat[[#This Row],[Code]],Locaties[],3,FALSE),0)</f>
        <v>0</v>
      </c>
      <c r="AB181" s="72">
        <f>Ruimtestaat[[#This Row],[Uitvoeringen weekend]]*Ruimtestaat[[#This Row],[Oppervlak (netto)]]</f>
        <v>0</v>
      </c>
      <c r="AC181" s="72">
        <f>IF(AA181&gt;0,Ruimtestaat[[#This Row],[Prest. (m2 /jaar) weekend]]/Ruimtestaat[[#This Row],[Norm (m2/uur) weekend]],0)</f>
        <v>0</v>
      </c>
      <c r="AD181" s="109">
        <f>Ruimtestaat[[#This Row],[uren / jaar weekend]]*Tariefsopbouw!$D$40</f>
        <v>0</v>
      </c>
      <c r="AE181" s="108">
        <f>Ruimtestaat[[#This Row],[Prest. (m2 /jaar) weekend]]+Ruimtestaat[[#This Row],[Prest. (m2 /jaar) werkdagen]]</f>
        <v>9200</v>
      </c>
      <c r="AF181" s="108">
        <f>Ruimtestaat[[#This Row],[uren / jaar weekend]]+Ruimtestaat[[#This Row],[uren / jaar werkdagen]]</f>
        <v>0</v>
      </c>
      <c r="AG181" s="103">
        <f>Ruimtestaat[[#This Row],[kosten / jaar weekend]]+Ruimtestaat[[#This Row],[kosten / jaar werkdagen]]</f>
        <v>0</v>
      </c>
      <c r="AH181" s="103"/>
      <c r="AI181" s="110" t="str">
        <f>IF(Ruimtestaat[[#This Row],[Frequentie werkdagen]]="","",_xlfn.CONCAT(Ruimtestaat[[#This Row],[Ruimte code]],"-",Ruimtestaat[[#This Row],[Frequentie werkdagen]]," ",Ruimtestaat[[#This Row],[Vloer code]]))</f>
        <v>16-5w P</v>
      </c>
      <c r="AJ181" s="114" t="str">
        <f>_xlfn.IFNA(VLOOKUP($AI181,Programma!$F$3:$G$1101,2,0),"")</f>
        <v>_</v>
      </c>
      <c r="AK181" s="114" t="str">
        <f>_xlfn.IFNA(VLOOKUP($AI181,Programma!$F$3:$H$1101,3,0),"")</f>
        <v>_</v>
      </c>
      <c r="AL181" s="114" t="str">
        <f>_xlfn.IFNA(VLOOKUP($AI181,Programma!$F$3:$I$1101,4,0),"")</f>
        <v>4w</v>
      </c>
      <c r="AM181" s="114" t="str">
        <f>_xlfn.IFNA(VLOOKUP($AI181,Programma!$F$3:$J$1101,5,0),"")</f>
        <v>1w</v>
      </c>
      <c r="AN181" s="114" t="str">
        <f>_xlfn.IFNA(VLOOKUP($AI181,Programma!$F$3:$K$1101,6,0),"")</f>
        <v>1m</v>
      </c>
      <c r="AO181" s="114" t="str">
        <f>_xlfn.IFNA(VLOOKUP($AI181,Programma!$F$3:$L$1101,7,0),"")</f>
        <v>_</v>
      </c>
      <c r="AP181" s="114" t="str">
        <f>_xlfn.IFNA(VLOOKUP($AI181,Programma!$F$3:$M$1101,8,0),"")</f>
        <v>_</v>
      </c>
      <c r="AQ181" s="114" t="str">
        <f>_xlfn.IFNA(VLOOKUP($AI181,Programma!$F$3:$N$1101,9,0),"")</f>
        <v>_</v>
      </c>
      <c r="AR181" s="114" t="str">
        <f>_xlfn.IFNA(VLOOKUP($AI181,Programma!$F$3:$O$1101,10,0),"")</f>
        <v>5w</v>
      </c>
      <c r="AS181" s="114" t="str">
        <f>_xlfn.IFNA(VLOOKUP($AI181,Programma!$F$3:$P$1101,11,0),"")</f>
        <v>5w</v>
      </c>
      <c r="AT181" s="114" t="str">
        <f>_xlfn.IFNA(VLOOKUP($AI181,Programma!$F$3:$Q$1101,12,0),"")</f>
        <v>1w</v>
      </c>
      <c r="AU181" s="114" t="str">
        <f>_xlfn.IFNA(VLOOKUP($AI181,Programma!$F$3:$R$1101,13,0),"")</f>
        <v>1w</v>
      </c>
      <c r="AV181" s="114" t="str">
        <f>_xlfn.IFNA(VLOOKUP($AI181,Programma!$F$3:$S$1101,14,0),"")</f>
        <v>1m</v>
      </c>
      <c r="AW181" s="114" t="str">
        <f>_xlfn.IFNA(VLOOKUP($AI181,Programma!$F$3:$T$1101,15,0),"")</f>
        <v>2j</v>
      </c>
      <c r="AX181" s="114" t="str">
        <f>_xlfn.IFNA(VLOOKUP($AI181,Programma!$F$3:$U$1101,16,0),"")</f>
        <v>1j</v>
      </c>
      <c r="AY181" s="114" t="str">
        <f>_xlfn.IFNA(VLOOKUP($AI181,Programma!$F$3:$V$1101,17,0),"")</f>
        <v>_</v>
      </c>
      <c r="AZ181" s="114" t="str">
        <f>_xlfn.IFNA(VLOOKUP($AI181,Programma!$F$3:$W$1101,18,0),"")</f>
        <v>_</v>
      </c>
      <c r="BA181" s="114" t="str">
        <f>_xlfn.IFNA(VLOOKUP($AI181,Programma!$F$3:$X$1101,19,0),"")</f>
        <v>_</v>
      </c>
      <c r="BB181" s="114" t="str">
        <f>_xlfn.IFNA(VLOOKUP($AI181,Programma!$F$3:$Y$1101,20,0),"")</f>
        <v>_</v>
      </c>
      <c r="BC181" s="111"/>
      <c r="BD181" s="110" t="str">
        <f>IF(Ruimtestaat[[#This Row],[Frequentie weekend]]="","",_xlfn.CONCAT(Ruimtestaat[[#This Row],[Ruimte code]],"-",Ruimtestaat[[#This Row],[Frequentie weekend]]," ",Ruimtestaat[[#This Row],[Vloer code]]))</f>
        <v/>
      </c>
      <c r="BE181" s="114" t="str">
        <f>_xlfn.IFNA(VLOOKUP($BD181,Programma!$F$3:$G$1101,2,0),"")</f>
        <v/>
      </c>
      <c r="BF181" s="114" t="str">
        <f>_xlfn.IFNA(VLOOKUP($BD181,Programma!$F$3:$H$1101,3,0),"")</f>
        <v/>
      </c>
      <c r="BG181" s="114" t="str">
        <f>_xlfn.IFNA(VLOOKUP($BD181,Programma!$F$3:$I$1101,4,0),"")</f>
        <v/>
      </c>
      <c r="BH181" s="114" t="str">
        <f>_xlfn.IFNA(VLOOKUP($BD181,Programma!$F$3:$J$1101,5,0),"")</f>
        <v/>
      </c>
      <c r="BI181" s="114" t="str">
        <f>_xlfn.IFNA(VLOOKUP($BD181,Programma!$F$3:$K$1101,6,0),"")</f>
        <v/>
      </c>
      <c r="BJ181" s="114" t="str">
        <f>_xlfn.IFNA(VLOOKUP($BD181,Programma!$F$3:$L$1101,7,0),"")</f>
        <v/>
      </c>
      <c r="BK181" s="114" t="str">
        <f>_xlfn.IFNA(VLOOKUP($BD181,Programma!$F$3:$M$1101,8,0),"")</f>
        <v/>
      </c>
      <c r="BL181" s="114" t="str">
        <f>_xlfn.IFNA(VLOOKUP($BD181,Programma!$F$3:$N$1101,9,0),"")</f>
        <v/>
      </c>
      <c r="BM181" s="114" t="str">
        <f>_xlfn.IFNA(VLOOKUP($BD181,Programma!$F$3:$O$1101,10,0),"")</f>
        <v/>
      </c>
      <c r="BN181" s="114" t="str">
        <f>_xlfn.IFNA(VLOOKUP($BD181,Programma!$F$3:$P$1101,11,0),"")</f>
        <v/>
      </c>
      <c r="BO181" s="114" t="str">
        <f>_xlfn.IFNA(VLOOKUP($BD181,Programma!$F$3:$Q$1101,12,0),"")</f>
        <v/>
      </c>
      <c r="BP181" s="114" t="str">
        <f>_xlfn.IFNA(VLOOKUP($BD181,Programma!$F$3:$R$1101,13,0),"")</f>
        <v/>
      </c>
      <c r="BQ181" s="114" t="str">
        <f>_xlfn.IFNA(VLOOKUP($BD181,Programma!$F$3:$S$1101,14,0),"")</f>
        <v/>
      </c>
      <c r="BR181" s="114" t="str">
        <f>_xlfn.IFNA(VLOOKUP($BD181,Programma!$F$3:$T$1101,15,0),"")</f>
        <v/>
      </c>
      <c r="BS181" s="114" t="str">
        <f>_xlfn.IFNA(VLOOKUP($BD181,Programma!$F$3:$U$1101,16,0),"")</f>
        <v/>
      </c>
      <c r="BT181" s="114" t="str">
        <f>_xlfn.IFNA(VLOOKUP($BD181,Programma!$F$3:$V$1101,17,0),"")</f>
        <v/>
      </c>
      <c r="BU181" s="114" t="str">
        <f>_xlfn.IFNA(VLOOKUP($BD181,Programma!$F$3:$W$1101,18,0),"")</f>
        <v/>
      </c>
      <c r="BV181" s="114" t="str">
        <f>_xlfn.IFNA(VLOOKUP($BD181,Programma!$F$3:$X$1101,19,0),"")</f>
        <v/>
      </c>
      <c r="BW181" s="114" t="str">
        <f>_xlfn.IFNA(VLOOKUP($BD181,Programma!$F$3:$Y$1101,20,0),"")</f>
        <v/>
      </c>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c r="HG181" s="28"/>
      <c r="HH181" s="28"/>
      <c r="HI181" s="28"/>
      <c r="HJ181" s="28"/>
      <c r="HK181" s="28"/>
      <c r="HL181" s="28"/>
    </row>
    <row r="182" spans="1:220" ht="15" customHeight="1">
      <c r="A182" s="31">
        <v>5</v>
      </c>
      <c r="B182" s="105" t="str">
        <f>VLOOKUP(Ruimtestaat[[#This Row],[Code]],Locaties[[Code]:[Locatie]],2,FALSE)</f>
        <v>IKC Remigius</v>
      </c>
      <c r="C182" s="105" t="str">
        <f>VLOOKUP(Ruimtestaat[[#This Row],[Code]],Locaties[[#All],[Code]:[Adres]],4,FALSE)</f>
        <v>Liemersplein 1</v>
      </c>
      <c r="D182" s="105" t="str">
        <f>VLOOKUP(Ruimtestaat[[#This Row],[Code]],Locaties[[#All],[Code]:[Postcode]],5,FALSE)</f>
        <v xml:space="preserve">6921 HN </v>
      </c>
      <c r="E182" s="105" t="str">
        <f>VLOOKUP(Ruimtestaat[[#This Row],[Code]],Locaties[#All],6,FALSE)</f>
        <v>Duiven</v>
      </c>
      <c r="F182" s="73"/>
      <c r="G182" s="73" t="s">
        <v>1645</v>
      </c>
      <c r="H182" s="31" t="s">
        <v>1762</v>
      </c>
      <c r="I182" s="113" t="s">
        <v>1814</v>
      </c>
      <c r="J182" s="31">
        <v>16</v>
      </c>
      <c r="K182" s="113" t="str">
        <f>VLOOKUP(Ruimtestaat[[#This Row],[Ruimte code]],Ruimtegroepen[[#All],[Code]:[Ruimte omschrijving]],2,FALSE)</f>
        <v>Leslokalen</v>
      </c>
      <c r="L182" s="73" t="s">
        <v>102</v>
      </c>
      <c r="M182" s="273" t="s">
        <v>120</v>
      </c>
      <c r="N182" s="106">
        <v>47.3</v>
      </c>
      <c r="O182" s="112"/>
      <c r="P182" s="112"/>
      <c r="Q182" s="107" t="str">
        <f>VLOOKUP(Ruimtestaat[[#This Row],[Ruimte code]],Ruimtegroepen[],4,FALSE)</f>
        <v>Le</v>
      </c>
      <c r="R182" s="73">
        <v>40</v>
      </c>
      <c r="S182" s="73" t="s">
        <v>2</v>
      </c>
      <c r="T182" s="73">
        <f>IF(R182&gt;0,IF(RIGHT(Ruimtestaat[[#This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2" s="73">
        <f>IF(T182&gt;0,VLOOKUP($J182,Ruimtegroepen[],3,FALSE)*VLOOKUP($L182,Vloersoorten[],3,FALSE)*VLOOKUP($S182,Frequenties[],3,FALSE)*VLOOKUP($A182,Locaties[],3,FALSE),0)</f>
        <v>0</v>
      </c>
      <c r="V182" s="73">
        <f>Ruimtestaat[[#This Row],[Uitvoeringen werkdagen]]*Ruimtestaat[[#This Row],[Oppervlak (netto)]]</f>
        <v>9460</v>
      </c>
      <c r="W182" s="108">
        <f>IF(U182&gt;0,Ruimtestaat[[#This Row],[Prest. (m2 /jaar) werkdagen]]/Ruimtestaat[[#This Row],[Norm (m2/uur) werkdagen]],0)</f>
        <v>0</v>
      </c>
      <c r="X182" s="109">
        <f>Ruimtestaat[[#This Row],[uren / jaar werkdagen]]*Tariefsopbouw!$E$35</f>
        <v>0</v>
      </c>
      <c r="Y182" s="73"/>
      <c r="Z182" s="73">
        <f>IF(Ruimtestaat[[#This Row],[Frequentie weekend]]&gt;0,VALUE(LEFT(Y182,1))*R182,0)</f>
        <v>0</v>
      </c>
      <c r="AA182" s="72">
        <f>IF($Z182&gt;0,VLOOKUP($J182,Ruimtegroepen[],3,FALSE)*VLOOKUP($L182,Vloersoorten[],3,FALSE)*VLOOKUP($Y182,Frequenties[],3,FALSE)*VLOOKUP(Ruimtestaat[[#This Row],[Code]],Locaties[],3,FALSE),0)</f>
        <v>0</v>
      </c>
      <c r="AB182" s="72">
        <f>Ruimtestaat[[#This Row],[Uitvoeringen weekend]]*Ruimtestaat[[#This Row],[Oppervlak (netto)]]</f>
        <v>0</v>
      </c>
      <c r="AC182" s="72">
        <f>IF(AA182&gt;0,Ruimtestaat[[#This Row],[Prest. (m2 /jaar) weekend]]/Ruimtestaat[[#This Row],[Norm (m2/uur) weekend]],0)</f>
        <v>0</v>
      </c>
      <c r="AD182" s="109">
        <f>Ruimtestaat[[#This Row],[uren / jaar weekend]]*Tariefsopbouw!$D$40</f>
        <v>0</v>
      </c>
      <c r="AE182" s="108">
        <f>Ruimtestaat[[#This Row],[Prest. (m2 /jaar) weekend]]+Ruimtestaat[[#This Row],[Prest. (m2 /jaar) werkdagen]]</f>
        <v>9460</v>
      </c>
      <c r="AF182" s="108">
        <f>Ruimtestaat[[#This Row],[uren / jaar weekend]]+Ruimtestaat[[#This Row],[uren / jaar werkdagen]]</f>
        <v>0</v>
      </c>
      <c r="AG182" s="103">
        <f>Ruimtestaat[[#This Row],[kosten / jaar weekend]]+Ruimtestaat[[#This Row],[kosten / jaar werkdagen]]</f>
        <v>0</v>
      </c>
      <c r="AH182" s="103"/>
      <c r="AI182" s="110" t="str">
        <f>IF(Ruimtestaat[[#This Row],[Frequentie werkdagen]]="","",_xlfn.CONCAT(Ruimtestaat[[#This Row],[Ruimte code]],"-",Ruimtestaat[[#This Row],[Frequentie werkdagen]]," ",Ruimtestaat[[#This Row],[Vloer code]]))</f>
        <v>16-5w P</v>
      </c>
      <c r="AJ182" s="114" t="str">
        <f>_xlfn.IFNA(VLOOKUP($AI182,Programma!$F$3:$G$1101,2,0),"")</f>
        <v>_</v>
      </c>
      <c r="AK182" s="114" t="str">
        <f>_xlfn.IFNA(VLOOKUP($AI182,Programma!$F$3:$H$1101,3,0),"")</f>
        <v>_</v>
      </c>
      <c r="AL182" s="114" t="str">
        <f>_xlfn.IFNA(VLOOKUP($AI182,Programma!$F$3:$I$1101,4,0),"")</f>
        <v>4w</v>
      </c>
      <c r="AM182" s="114" t="str">
        <f>_xlfn.IFNA(VLOOKUP($AI182,Programma!$F$3:$J$1101,5,0),"")</f>
        <v>1w</v>
      </c>
      <c r="AN182" s="114" t="str">
        <f>_xlfn.IFNA(VLOOKUP($AI182,Programma!$F$3:$K$1101,6,0),"")</f>
        <v>1m</v>
      </c>
      <c r="AO182" s="114" t="str">
        <f>_xlfn.IFNA(VLOOKUP($AI182,Programma!$F$3:$L$1101,7,0),"")</f>
        <v>_</v>
      </c>
      <c r="AP182" s="114" t="str">
        <f>_xlfn.IFNA(VLOOKUP($AI182,Programma!$F$3:$M$1101,8,0),"")</f>
        <v>_</v>
      </c>
      <c r="AQ182" s="114" t="str">
        <f>_xlfn.IFNA(VLOOKUP($AI182,Programma!$F$3:$N$1101,9,0),"")</f>
        <v>_</v>
      </c>
      <c r="AR182" s="114" t="str">
        <f>_xlfn.IFNA(VLOOKUP($AI182,Programma!$F$3:$O$1101,10,0),"")</f>
        <v>5w</v>
      </c>
      <c r="AS182" s="114" t="str">
        <f>_xlfn.IFNA(VLOOKUP($AI182,Programma!$F$3:$P$1101,11,0),"")</f>
        <v>5w</v>
      </c>
      <c r="AT182" s="114" t="str">
        <f>_xlfn.IFNA(VLOOKUP($AI182,Programma!$F$3:$Q$1101,12,0),"")</f>
        <v>1w</v>
      </c>
      <c r="AU182" s="114" t="str">
        <f>_xlfn.IFNA(VLOOKUP($AI182,Programma!$F$3:$R$1101,13,0),"")</f>
        <v>1w</v>
      </c>
      <c r="AV182" s="114" t="str">
        <f>_xlfn.IFNA(VLOOKUP($AI182,Programma!$F$3:$S$1101,14,0),"")</f>
        <v>1m</v>
      </c>
      <c r="AW182" s="114" t="str">
        <f>_xlfn.IFNA(VLOOKUP($AI182,Programma!$F$3:$T$1101,15,0),"")</f>
        <v>2j</v>
      </c>
      <c r="AX182" s="114" t="str">
        <f>_xlfn.IFNA(VLOOKUP($AI182,Programma!$F$3:$U$1101,16,0),"")</f>
        <v>1j</v>
      </c>
      <c r="AY182" s="114" t="str">
        <f>_xlfn.IFNA(VLOOKUP($AI182,Programma!$F$3:$V$1101,17,0),"")</f>
        <v>_</v>
      </c>
      <c r="AZ182" s="114" t="str">
        <f>_xlfn.IFNA(VLOOKUP($AI182,Programma!$F$3:$W$1101,18,0),"")</f>
        <v>_</v>
      </c>
      <c r="BA182" s="114" t="str">
        <f>_xlfn.IFNA(VLOOKUP($AI182,Programma!$F$3:$X$1101,19,0),"")</f>
        <v>_</v>
      </c>
      <c r="BB182" s="114" t="str">
        <f>_xlfn.IFNA(VLOOKUP($AI182,Programma!$F$3:$Y$1101,20,0),"")</f>
        <v>_</v>
      </c>
      <c r="BC182" s="111"/>
      <c r="BD182" s="110" t="str">
        <f>IF(Ruimtestaat[[#This Row],[Frequentie weekend]]="","",_xlfn.CONCAT(Ruimtestaat[[#This Row],[Ruimte code]],"-",Ruimtestaat[[#This Row],[Frequentie weekend]]," ",Ruimtestaat[[#This Row],[Vloer code]]))</f>
        <v/>
      </c>
      <c r="BE182" s="114" t="str">
        <f>_xlfn.IFNA(VLOOKUP($BD182,Programma!$F$3:$G$1101,2,0),"")</f>
        <v/>
      </c>
      <c r="BF182" s="114" t="str">
        <f>_xlfn.IFNA(VLOOKUP($BD182,Programma!$F$3:$H$1101,3,0),"")</f>
        <v/>
      </c>
      <c r="BG182" s="114" t="str">
        <f>_xlfn.IFNA(VLOOKUP($BD182,Programma!$F$3:$I$1101,4,0),"")</f>
        <v/>
      </c>
      <c r="BH182" s="114" t="str">
        <f>_xlfn.IFNA(VLOOKUP($BD182,Programma!$F$3:$J$1101,5,0),"")</f>
        <v/>
      </c>
      <c r="BI182" s="114" t="str">
        <f>_xlfn.IFNA(VLOOKUP($BD182,Programma!$F$3:$K$1101,6,0),"")</f>
        <v/>
      </c>
      <c r="BJ182" s="114" t="str">
        <f>_xlfn.IFNA(VLOOKUP($BD182,Programma!$F$3:$L$1101,7,0),"")</f>
        <v/>
      </c>
      <c r="BK182" s="114" t="str">
        <f>_xlfn.IFNA(VLOOKUP($BD182,Programma!$F$3:$M$1101,8,0),"")</f>
        <v/>
      </c>
      <c r="BL182" s="114" t="str">
        <f>_xlfn.IFNA(VLOOKUP($BD182,Programma!$F$3:$N$1101,9,0),"")</f>
        <v/>
      </c>
      <c r="BM182" s="114" t="str">
        <f>_xlfn.IFNA(VLOOKUP($BD182,Programma!$F$3:$O$1101,10,0),"")</f>
        <v/>
      </c>
      <c r="BN182" s="114" t="str">
        <f>_xlfn.IFNA(VLOOKUP($BD182,Programma!$F$3:$P$1101,11,0),"")</f>
        <v/>
      </c>
      <c r="BO182" s="114" t="str">
        <f>_xlfn.IFNA(VLOOKUP($BD182,Programma!$F$3:$Q$1101,12,0),"")</f>
        <v/>
      </c>
      <c r="BP182" s="114" t="str">
        <f>_xlfn.IFNA(VLOOKUP($BD182,Programma!$F$3:$R$1101,13,0),"")</f>
        <v/>
      </c>
      <c r="BQ182" s="114" t="str">
        <f>_xlfn.IFNA(VLOOKUP($BD182,Programma!$F$3:$S$1101,14,0),"")</f>
        <v/>
      </c>
      <c r="BR182" s="114" t="str">
        <f>_xlfn.IFNA(VLOOKUP($BD182,Programma!$F$3:$T$1101,15,0),"")</f>
        <v/>
      </c>
      <c r="BS182" s="114" t="str">
        <f>_xlfn.IFNA(VLOOKUP($BD182,Programma!$F$3:$U$1101,16,0),"")</f>
        <v/>
      </c>
      <c r="BT182" s="114" t="str">
        <f>_xlfn.IFNA(VLOOKUP($BD182,Programma!$F$3:$V$1101,17,0),"")</f>
        <v/>
      </c>
      <c r="BU182" s="114" t="str">
        <f>_xlfn.IFNA(VLOOKUP($BD182,Programma!$F$3:$W$1101,18,0),"")</f>
        <v/>
      </c>
      <c r="BV182" s="114" t="str">
        <f>_xlfn.IFNA(VLOOKUP($BD182,Programma!$F$3:$X$1101,19,0),"")</f>
        <v/>
      </c>
      <c r="BW182" s="114" t="str">
        <f>_xlfn.IFNA(VLOOKUP($BD182,Programma!$F$3:$Y$1101,20,0),"")</f>
        <v/>
      </c>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c r="HG182" s="28"/>
      <c r="HH182" s="28"/>
      <c r="HI182" s="28"/>
      <c r="HJ182" s="28"/>
      <c r="HK182" s="28"/>
      <c r="HL182" s="28"/>
    </row>
    <row r="183" spans="1:220" ht="15" customHeight="1">
      <c r="A183" s="31">
        <v>5</v>
      </c>
      <c r="B183" s="105" t="str">
        <f>VLOOKUP(Ruimtestaat[[#This Row],[Code]],Locaties[[Code]:[Locatie]],2,FALSE)</f>
        <v>IKC Remigius</v>
      </c>
      <c r="C183" s="105" t="str">
        <f>VLOOKUP(Ruimtestaat[[#This Row],[Code]],Locaties[[#All],[Code]:[Adres]],4,FALSE)</f>
        <v>Liemersplein 1</v>
      </c>
      <c r="D183" s="105" t="str">
        <f>VLOOKUP(Ruimtestaat[[#This Row],[Code]],Locaties[[#All],[Code]:[Postcode]],5,FALSE)</f>
        <v xml:space="preserve">6921 HN </v>
      </c>
      <c r="E183" s="105" t="str">
        <f>VLOOKUP(Ruimtestaat[[#This Row],[Code]],Locaties[#All],6,FALSE)</f>
        <v>Duiven</v>
      </c>
      <c r="F183" s="73"/>
      <c r="G183" s="73" t="s">
        <v>1645</v>
      </c>
      <c r="H183" s="31" t="s">
        <v>1678</v>
      </c>
      <c r="I183" s="113" t="s">
        <v>1814</v>
      </c>
      <c r="J183" s="31">
        <v>16</v>
      </c>
      <c r="K183" s="113" t="str">
        <f>VLOOKUP(Ruimtestaat[[#This Row],[Ruimte code]],Ruimtegroepen[[#All],[Code]:[Ruimte omschrijving]],2,FALSE)</f>
        <v>Leslokalen</v>
      </c>
      <c r="L183" s="73" t="s">
        <v>102</v>
      </c>
      <c r="M183" s="273" t="s">
        <v>120</v>
      </c>
      <c r="N183" s="106">
        <v>47.3</v>
      </c>
      <c r="O183" s="112"/>
      <c r="P183" s="73"/>
      <c r="Q183" s="107" t="str">
        <f>VLOOKUP(Ruimtestaat[[#This Row],[Ruimte code]],Ruimtegroepen[],4,FALSE)</f>
        <v>Le</v>
      </c>
      <c r="R183" s="73">
        <v>40</v>
      </c>
      <c r="S183" s="73" t="s">
        <v>2</v>
      </c>
      <c r="T183" s="73">
        <f>IF(R183&gt;0,IF(RIGHT(Ruimtestaat[[#This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3" s="73">
        <f>IF(T183&gt;0,VLOOKUP($J183,Ruimtegroepen[],3,FALSE)*VLOOKUP($L183,Vloersoorten[],3,FALSE)*VLOOKUP($S183,Frequenties[],3,FALSE)*VLOOKUP($A183,Locaties[],3,FALSE),0)</f>
        <v>0</v>
      </c>
      <c r="V183" s="73">
        <f>Ruimtestaat[[#This Row],[Uitvoeringen werkdagen]]*Ruimtestaat[[#This Row],[Oppervlak (netto)]]</f>
        <v>9460</v>
      </c>
      <c r="W183" s="108">
        <f>IF(U183&gt;0,Ruimtestaat[[#This Row],[Prest. (m2 /jaar) werkdagen]]/Ruimtestaat[[#This Row],[Norm (m2/uur) werkdagen]],0)</f>
        <v>0</v>
      </c>
      <c r="X183" s="109">
        <f>Ruimtestaat[[#This Row],[uren / jaar werkdagen]]*Tariefsopbouw!$E$35</f>
        <v>0</v>
      </c>
      <c r="Y183" s="73"/>
      <c r="Z183" s="73">
        <f>IF(Ruimtestaat[[#This Row],[Frequentie weekend]]&gt;0,VALUE(LEFT(Y183,1))*R183,0)</f>
        <v>0</v>
      </c>
      <c r="AA183" s="72">
        <f>IF($Z183&gt;0,VLOOKUP($J183,Ruimtegroepen[],3,FALSE)*VLOOKUP($L183,Vloersoorten[],3,FALSE)*VLOOKUP($Y183,Frequenties[],3,FALSE)*VLOOKUP(Ruimtestaat[[#This Row],[Code]],Locaties[],3,FALSE),0)</f>
        <v>0</v>
      </c>
      <c r="AB183" s="72">
        <f>Ruimtestaat[[#This Row],[Uitvoeringen weekend]]*Ruimtestaat[[#This Row],[Oppervlak (netto)]]</f>
        <v>0</v>
      </c>
      <c r="AC183" s="72">
        <f>IF(AA183&gt;0,Ruimtestaat[[#This Row],[Prest. (m2 /jaar) weekend]]/Ruimtestaat[[#This Row],[Norm (m2/uur) weekend]],0)</f>
        <v>0</v>
      </c>
      <c r="AD183" s="109">
        <f>Ruimtestaat[[#This Row],[uren / jaar weekend]]*Tariefsopbouw!$D$40</f>
        <v>0</v>
      </c>
      <c r="AE183" s="108">
        <f>Ruimtestaat[[#This Row],[Prest. (m2 /jaar) weekend]]+Ruimtestaat[[#This Row],[Prest. (m2 /jaar) werkdagen]]</f>
        <v>9460</v>
      </c>
      <c r="AF183" s="108">
        <f>Ruimtestaat[[#This Row],[uren / jaar weekend]]+Ruimtestaat[[#This Row],[uren / jaar werkdagen]]</f>
        <v>0</v>
      </c>
      <c r="AG183" s="103">
        <f>Ruimtestaat[[#This Row],[kosten / jaar weekend]]+Ruimtestaat[[#This Row],[kosten / jaar werkdagen]]</f>
        <v>0</v>
      </c>
      <c r="AH183" s="103"/>
      <c r="AI183" s="110" t="str">
        <f>IF(Ruimtestaat[[#This Row],[Frequentie werkdagen]]="","",_xlfn.CONCAT(Ruimtestaat[[#This Row],[Ruimte code]],"-",Ruimtestaat[[#This Row],[Frequentie werkdagen]]," ",Ruimtestaat[[#This Row],[Vloer code]]))</f>
        <v>16-5w P</v>
      </c>
      <c r="AJ183" s="114" t="str">
        <f>_xlfn.IFNA(VLOOKUP($AI183,Programma!$F$3:$G$1101,2,0),"")</f>
        <v>_</v>
      </c>
      <c r="AK183" s="114" t="str">
        <f>_xlfn.IFNA(VLOOKUP($AI183,Programma!$F$3:$H$1101,3,0),"")</f>
        <v>_</v>
      </c>
      <c r="AL183" s="114" t="str">
        <f>_xlfn.IFNA(VLOOKUP($AI183,Programma!$F$3:$I$1101,4,0),"")</f>
        <v>4w</v>
      </c>
      <c r="AM183" s="114" t="str">
        <f>_xlfn.IFNA(VLOOKUP($AI183,Programma!$F$3:$J$1101,5,0),"")</f>
        <v>1w</v>
      </c>
      <c r="AN183" s="114" t="str">
        <f>_xlfn.IFNA(VLOOKUP($AI183,Programma!$F$3:$K$1101,6,0),"")</f>
        <v>1m</v>
      </c>
      <c r="AO183" s="114" t="str">
        <f>_xlfn.IFNA(VLOOKUP($AI183,Programma!$F$3:$L$1101,7,0),"")</f>
        <v>_</v>
      </c>
      <c r="AP183" s="114" t="str">
        <f>_xlfn.IFNA(VLOOKUP($AI183,Programma!$F$3:$M$1101,8,0),"")</f>
        <v>_</v>
      </c>
      <c r="AQ183" s="114" t="str">
        <f>_xlfn.IFNA(VLOOKUP($AI183,Programma!$F$3:$N$1101,9,0),"")</f>
        <v>_</v>
      </c>
      <c r="AR183" s="114" t="str">
        <f>_xlfn.IFNA(VLOOKUP($AI183,Programma!$F$3:$O$1101,10,0),"")</f>
        <v>5w</v>
      </c>
      <c r="AS183" s="114" t="str">
        <f>_xlfn.IFNA(VLOOKUP($AI183,Programma!$F$3:$P$1101,11,0),"")</f>
        <v>5w</v>
      </c>
      <c r="AT183" s="114" t="str">
        <f>_xlfn.IFNA(VLOOKUP($AI183,Programma!$F$3:$Q$1101,12,0),"")</f>
        <v>1w</v>
      </c>
      <c r="AU183" s="114" t="str">
        <f>_xlfn.IFNA(VLOOKUP($AI183,Programma!$F$3:$R$1101,13,0),"")</f>
        <v>1w</v>
      </c>
      <c r="AV183" s="114" t="str">
        <f>_xlfn.IFNA(VLOOKUP($AI183,Programma!$F$3:$S$1101,14,0),"")</f>
        <v>1m</v>
      </c>
      <c r="AW183" s="114" t="str">
        <f>_xlfn.IFNA(VLOOKUP($AI183,Programma!$F$3:$T$1101,15,0),"")</f>
        <v>2j</v>
      </c>
      <c r="AX183" s="114" t="str">
        <f>_xlfn.IFNA(VLOOKUP($AI183,Programma!$F$3:$U$1101,16,0),"")</f>
        <v>1j</v>
      </c>
      <c r="AY183" s="114" t="str">
        <f>_xlfn.IFNA(VLOOKUP($AI183,Programma!$F$3:$V$1101,17,0),"")</f>
        <v>_</v>
      </c>
      <c r="AZ183" s="114" t="str">
        <f>_xlfn.IFNA(VLOOKUP($AI183,Programma!$F$3:$W$1101,18,0),"")</f>
        <v>_</v>
      </c>
      <c r="BA183" s="114" t="str">
        <f>_xlfn.IFNA(VLOOKUP($AI183,Programma!$F$3:$X$1101,19,0),"")</f>
        <v>_</v>
      </c>
      <c r="BB183" s="114" t="str">
        <f>_xlfn.IFNA(VLOOKUP($AI183,Programma!$F$3:$Y$1101,20,0),"")</f>
        <v>_</v>
      </c>
      <c r="BC183" s="111"/>
      <c r="BD183" s="110" t="str">
        <f>IF(Ruimtestaat[[#This Row],[Frequentie weekend]]="","",_xlfn.CONCAT(Ruimtestaat[[#This Row],[Ruimte code]],"-",Ruimtestaat[[#This Row],[Frequentie weekend]]," ",Ruimtestaat[[#This Row],[Vloer code]]))</f>
        <v/>
      </c>
      <c r="BE183" s="114" t="str">
        <f>_xlfn.IFNA(VLOOKUP($BD183,Programma!$F$3:$G$1101,2,0),"")</f>
        <v/>
      </c>
      <c r="BF183" s="114" t="str">
        <f>_xlfn.IFNA(VLOOKUP($BD183,Programma!$F$3:$H$1101,3,0),"")</f>
        <v/>
      </c>
      <c r="BG183" s="114" t="str">
        <f>_xlfn.IFNA(VLOOKUP($BD183,Programma!$F$3:$I$1101,4,0),"")</f>
        <v/>
      </c>
      <c r="BH183" s="114" t="str">
        <f>_xlfn.IFNA(VLOOKUP($BD183,Programma!$F$3:$J$1101,5,0),"")</f>
        <v/>
      </c>
      <c r="BI183" s="114" t="str">
        <f>_xlfn.IFNA(VLOOKUP($BD183,Programma!$F$3:$K$1101,6,0),"")</f>
        <v/>
      </c>
      <c r="BJ183" s="114" t="str">
        <f>_xlfn.IFNA(VLOOKUP($BD183,Programma!$F$3:$L$1101,7,0),"")</f>
        <v/>
      </c>
      <c r="BK183" s="114" t="str">
        <f>_xlfn.IFNA(VLOOKUP($BD183,Programma!$F$3:$M$1101,8,0),"")</f>
        <v/>
      </c>
      <c r="BL183" s="114" t="str">
        <f>_xlfn.IFNA(VLOOKUP($BD183,Programma!$F$3:$N$1101,9,0),"")</f>
        <v/>
      </c>
      <c r="BM183" s="114" t="str">
        <f>_xlfn.IFNA(VLOOKUP($BD183,Programma!$F$3:$O$1101,10,0),"")</f>
        <v/>
      </c>
      <c r="BN183" s="114" t="str">
        <f>_xlfn.IFNA(VLOOKUP($BD183,Programma!$F$3:$P$1101,11,0),"")</f>
        <v/>
      </c>
      <c r="BO183" s="114" t="str">
        <f>_xlfn.IFNA(VLOOKUP($BD183,Programma!$F$3:$Q$1101,12,0),"")</f>
        <v/>
      </c>
      <c r="BP183" s="114" t="str">
        <f>_xlfn.IFNA(VLOOKUP($BD183,Programma!$F$3:$R$1101,13,0),"")</f>
        <v/>
      </c>
      <c r="BQ183" s="114" t="str">
        <f>_xlfn.IFNA(VLOOKUP($BD183,Programma!$F$3:$S$1101,14,0),"")</f>
        <v/>
      </c>
      <c r="BR183" s="114" t="str">
        <f>_xlfn.IFNA(VLOOKUP($BD183,Programma!$F$3:$T$1101,15,0),"")</f>
        <v/>
      </c>
      <c r="BS183" s="114" t="str">
        <f>_xlfn.IFNA(VLOOKUP($BD183,Programma!$F$3:$U$1101,16,0),"")</f>
        <v/>
      </c>
      <c r="BT183" s="114" t="str">
        <f>_xlfn.IFNA(VLOOKUP($BD183,Programma!$F$3:$V$1101,17,0),"")</f>
        <v/>
      </c>
      <c r="BU183" s="114" t="str">
        <f>_xlfn.IFNA(VLOOKUP($BD183,Programma!$F$3:$W$1101,18,0),"")</f>
        <v/>
      </c>
      <c r="BV183" s="114" t="str">
        <f>_xlfn.IFNA(VLOOKUP($BD183,Programma!$F$3:$X$1101,19,0),"")</f>
        <v/>
      </c>
      <c r="BW183" s="114" t="str">
        <f>_xlfn.IFNA(VLOOKUP($BD183,Programma!$F$3:$Y$1101,20,0),"")</f>
        <v/>
      </c>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c r="HG183" s="28"/>
      <c r="HH183" s="28"/>
      <c r="HI183" s="28"/>
      <c r="HJ183" s="28"/>
      <c r="HK183" s="28"/>
      <c r="HL183" s="28"/>
    </row>
    <row r="184" spans="1:220" ht="15" customHeight="1">
      <c r="A184" s="31">
        <v>5</v>
      </c>
      <c r="B184" s="105" t="str">
        <f>VLOOKUP(Ruimtestaat[[#This Row],[Code]],Locaties[[Code]:[Locatie]],2,FALSE)</f>
        <v>IKC Remigius</v>
      </c>
      <c r="C184" s="105" t="str">
        <f>VLOOKUP(Ruimtestaat[[#This Row],[Code]],Locaties[[#All],[Code]:[Adres]],4,FALSE)</f>
        <v>Liemersplein 1</v>
      </c>
      <c r="D184" s="105" t="str">
        <f>VLOOKUP(Ruimtestaat[[#This Row],[Code]],Locaties[[#All],[Code]:[Postcode]],5,FALSE)</f>
        <v xml:space="preserve">6921 HN </v>
      </c>
      <c r="E184" s="105" t="str">
        <f>VLOOKUP(Ruimtestaat[[#This Row],[Code]],Locaties[#All],6,FALSE)</f>
        <v>Duiven</v>
      </c>
      <c r="F184" s="73"/>
      <c r="G184" s="73" t="s">
        <v>1645</v>
      </c>
      <c r="H184" s="31" t="s">
        <v>1679</v>
      </c>
      <c r="I184" s="113" t="s">
        <v>1814</v>
      </c>
      <c r="J184" s="31">
        <v>16</v>
      </c>
      <c r="K184" s="113" t="str">
        <f>VLOOKUP(Ruimtestaat[[#This Row],[Ruimte code]],Ruimtegroepen[[#All],[Code]:[Ruimte omschrijving]],2,FALSE)</f>
        <v>Leslokalen</v>
      </c>
      <c r="L184" s="73" t="s">
        <v>102</v>
      </c>
      <c r="M184" s="273" t="s">
        <v>120</v>
      </c>
      <c r="N184" s="106">
        <v>46.5</v>
      </c>
      <c r="O184" s="112"/>
      <c r="P184" s="112"/>
      <c r="Q184" s="107" t="str">
        <f>VLOOKUP(Ruimtestaat[[#This Row],[Ruimte code]],Ruimtegroepen[],4,FALSE)</f>
        <v>Le</v>
      </c>
      <c r="R184" s="73">
        <v>40</v>
      </c>
      <c r="S184" s="73" t="s">
        <v>2</v>
      </c>
      <c r="T184" s="73">
        <f>IF(R184&gt;0,IF(RIGHT(Ruimtestaat[[#This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4" s="73">
        <f>IF(T184&gt;0,VLOOKUP($J184,Ruimtegroepen[],3,FALSE)*VLOOKUP($L184,Vloersoorten[],3,FALSE)*VLOOKUP($S184,Frequenties[],3,FALSE)*VLOOKUP($A184,Locaties[],3,FALSE),0)</f>
        <v>0</v>
      </c>
      <c r="V184" s="73">
        <f>Ruimtestaat[[#This Row],[Uitvoeringen werkdagen]]*Ruimtestaat[[#This Row],[Oppervlak (netto)]]</f>
        <v>9300</v>
      </c>
      <c r="W184" s="108">
        <f>IF(U184&gt;0,Ruimtestaat[[#This Row],[Prest. (m2 /jaar) werkdagen]]/Ruimtestaat[[#This Row],[Norm (m2/uur) werkdagen]],0)</f>
        <v>0</v>
      </c>
      <c r="X184" s="109">
        <f>Ruimtestaat[[#This Row],[uren / jaar werkdagen]]*Tariefsopbouw!$E$35</f>
        <v>0</v>
      </c>
      <c r="Y184" s="73"/>
      <c r="Z184" s="73">
        <f>IF(Ruimtestaat[[#This Row],[Frequentie weekend]]&gt;0,VALUE(LEFT(Y184,1))*R184,0)</f>
        <v>0</v>
      </c>
      <c r="AA184" s="72">
        <f>IF($Z184&gt;0,VLOOKUP($J184,Ruimtegroepen[],3,FALSE)*VLOOKUP($L184,Vloersoorten[],3,FALSE)*VLOOKUP($Y184,Frequenties[],3,FALSE)*VLOOKUP(Ruimtestaat[[#This Row],[Code]],Locaties[],3,FALSE),0)</f>
        <v>0</v>
      </c>
      <c r="AB184" s="72">
        <f>Ruimtestaat[[#This Row],[Uitvoeringen weekend]]*Ruimtestaat[[#This Row],[Oppervlak (netto)]]</f>
        <v>0</v>
      </c>
      <c r="AC184" s="72">
        <f>IF(AA184&gt;0,Ruimtestaat[[#This Row],[Prest. (m2 /jaar) weekend]]/Ruimtestaat[[#This Row],[Norm (m2/uur) weekend]],0)</f>
        <v>0</v>
      </c>
      <c r="AD184" s="109">
        <f>Ruimtestaat[[#This Row],[uren / jaar weekend]]*Tariefsopbouw!$D$40</f>
        <v>0</v>
      </c>
      <c r="AE184" s="108">
        <f>Ruimtestaat[[#This Row],[Prest. (m2 /jaar) weekend]]+Ruimtestaat[[#This Row],[Prest. (m2 /jaar) werkdagen]]</f>
        <v>9300</v>
      </c>
      <c r="AF184" s="108">
        <f>Ruimtestaat[[#This Row],[uren / jaar weekend]]+Ruimtestaat[[#This Row],[uren / jaar werkdagen]]</f>
        <v>0</v>
      </c>
      <c r="AG184" s="103">
        <f>Ruimtestaat[[#This Row],[kosten / jaar weekend]]+Ruimtestaat[[#This Row],[kosten / jaar werkdagen]]</f>
        <v>0</v>
      </c>
      <c r="AH184" s="103"/>
      <c r="AI184" s="110" t="str">
        <f>IF(Ruimtestaat[[#This Row],[Frequentie werkdagen]]="","",_xlfn.CONCAT(Ruimtestaat[[#This Row],[Ruimte code]],"-",Ruimtestaat[[#This Row],[Frequentie werkdagen]]," ",Ruimtestaat[[#This Row],[Vloer code]]))</f>
        <v>16-5w P</v>
      </c>
      <c r="AJ184" s="114" t="str">
        <f>_xlfn.IFNA(VLOOKUP($AI184,Programma!$F$3:$G$1101,2,0),"")</f>
        <v>_</v>
      </c>
      <c r="AK184" s="114" t="str">
        <f>_xlfn.IFNA(VLOOKUP($AI184,Programma!$F$3:$H$1101,3,0),"")</f>
        <v>_</v>
      </c>
      <c r="AL184" s="114" t="str">
        <f>_xlfn.IFNA(VLOOKUP($AI184,Programma!$F$3:$I$1101,4,0),"")</f>
        <v>4w</v>
      </c>
      <c r="AM184" s="114" t="str">
        <f>_xlfn.IFNA(VLOOKUP($AI184,Programma!$F$3:$J$1101,5,0),"")</f>
        <v>1w</v>
      </c>
      <c r="AN184" s="114" t="str">
        <f>_xlfn.IFNA(VLOOKUP($AI184,Programma!$F$3:$K$1101,6,0),"")</f>
        <v>1m</v>
      </c>
      <c r="AO184" s="114" t="str">
        <f>_xlfn.IFNA(VLOOKUP($AI184,Programma!$F$3:$L$1101,7,0),"")</f>
        <v>_</v>
      </c>
      <c r="AP184" s="114" t="str">
        <f>_xlfn.IFNA(VLOOKUP($AI184,Programma!$F$3:$M$1101,8,0),"")</f>
        <v>_</v>
      </c>
      <c r="AQ184" s="114" t="str">
        <f>_xlfn.IFNA(VLOOKUP($AI184,Programma!$F$3:$N$1101,9,0),"")</f>
        <v>_</v>
      </c>
      <c r="AR184" s="114" t="str">
        <f>_xlfn.IFNA(VLOOKUP($AI184,Programma!$F$3:$O$1101,10,0),"")</f>
        <v>5w</v>
      </c>
      <c r="AS184" s="114" t="str">
        <f>_xlfn.IFNA(VLOOKUP($AI184,Programma!$F$3:$P$1101,11,0),"")</f>
        <v>5w</v>
      </c>
      <c r="AT184" s="114" t="str">
        <f>_xlfn.IFNA(VLOOKUP($AI184,Programma!$F$3:$Q$1101,12,0),"")</f>
        <v>1w</v>
      </c>
      <c r="AU184" s="114" t="str">
        <f>_xlfn.IFNA(VLOOKUP($AI184,Programma!$F$3:$R$1101,13,0),"")</f>
        <v>1w</v>
      </c>
      <c r="AV184" s="114" t="str">
        <f>_xlfn.IFNA(VLOOKUP($AI184,Programma!$F$3:$S$1101,14,0),"")</f>
        <v>1m</v>
      </c>
      <c r="AW184" s="114" t="str">
        <f>_xlfn.IFNA(VLOOKUP($AI184,Programma!$F$3:$T$1101,15,0),"")</f>
        <v>2j</v>
      </c>
      <c r="AX184" s="114" t="str">
        <f>_xlfn.IFNA(VLOOKUP($AI184,Programma!$F$3:$U$1101,16,0),"")</f>
        <v>1j</v>
      </c>
      <c r="AY184" s="114" t="str">
        <f>_xlfn.IFNA(VLOOKUP($AI184,Programma!$F$3:$V$1101,17,0),"")</f>
        <v>_</v>
      </c>
      <c r="AZ184" s="114" t="str">
        <f>_xlfn.IFNA(VLOOKUP($AI184,Programma!$F$3:$W$1101,18,0),"")</f>
        <v>_</v>
      </c>
      <c r="BA184" s="114" t="str">
        <f>_xlfn.IFNA(VLOOKUP($AI184,Programma!$F$3:$X$1101,19,0),"")</f>
        <v>_</v>
      </c>
      <c r="BB184" s="114" t="str">
        <f>_xlfn.IFNA(VLOOKUP($AI184,Programma!$F$3:$Y$1101,20,0),"")</f>
        <v>_</v>
      </c>
      <c r="BC184" s="111"/>
      <c r="BD184" s="110" t="str">
        <f>IF(Ruimtestaat[[#This Row],[Frequentie weekend]]="","",_xlfn.CONCAT(Ruimtestaat[[#This Row],[Ruimte code]],"-",Ruimtestaat[[#This Row],[Frequentie weekend]]," ",Ruimtestaat[[#This Row],[Vloer code]]))</f>
        <v/>
      </c>
      <c r="BE184" s="114" t="str">
        <f>_xlfn.IFNA(VLOOKUP($BD184,Programma!$F$3:$G$1101,2,0),"")</f>
        <v/>
      </c>
      <c r="BF184" s="114" t="str">
        <f>_xlfn.IFNA(VLOOKUP($BD184,Programma!$F$3:$H$1101,3,0),"")</f>
        <v/>
      </c>
      <c r="BG184" s="114" t="str">
        <f>_xlfn.IFNA(VLOOKUP($BD184,Programma!$F$3:$I$1101,4,0),"")</f>
        <v/>
      </c>
      <c r="BH184" s="114" t="str">
        <f>_xlfn.IFNA(VLOOKUP($BD184,Programma!$F$3:$J$1101,5,0),"")</f>
        <v/>
      </c>
      <c r="BI184" s="114" t="str">
        <f>_xlfn.IFNA(VLOOKUP($BD184,Programma!$F$3:$K$1101,6,0),"")</f>
        <v/>
      </c>
      <c r="BJ184" s="114" t="str">
        <f>_xlfn.IFNA(VLOOKUP($BD184,Programma!$F$3:$L$1101,7,0),"")</f>
        <v/>
      </c>
      <c r="BK184" s="114" t="str">
        <f>_xlfn.IFNA(VLOOKUP($BD184,Programma!$F$3:$M$1101,8,0),"")</f>
        <v/>
      </c>
      <c r="BL184" s="114" t="str">
        <f>_xlfn.IFNA(VLOOKUP($BD184,Programma!$F$3:$N$1101,9,0),"")</f>
        <v/>
      </c>
      <c r="BM184" s="114" t="str">
        <f>_xlfn.IFNA(VLOOKUP($BD184,Programma!$F$3:$O$1101,10,0),"")</f>
        <v/>
      </c>
      <c r="BN184" s="114" t="str">
        <f>_xlfn.IFNA(VLOOKUP($BD184,Programma!$F$3:$P$1101,11,0),"")</f>
        <v/>
      </c>
      <c r="BO184" s="114" t="str">
        <f>_xlfn.IFNA(VLOOKUP($BD184,Programma!$F$3:$Q$1101,12,0),"")</f>
        <v/>
      </c>
      <c r="BP184" s="114" t="str">
        <f>_xlfn.IFNA(VLOOKUP($BD184,Programma!$F$3:$R$1101,13,0),"")</f>
        <v/>
      </c>
      <c r="BQ184" s="114" t="str">
        <f>_xlfn.IFNA(VLOOKUP($BD184,Programma!$F$3:$S$1101,14,0),"")</f>
        <v/>
      </c>
      <c r="BR184" s="114" t="str">
        <f>_xlfn.IFNA(VLOOKUP($BD184,Programma!$F$3:$T$1101,15,0),"")</f>
        <v/>
      </c>
      <c r="BS184" s="114" t="str">
        <f>_xlfn.IFNA(VLOOKUP($BD184,Programma!$F$3:$U$1101,16,0),"")</f>
        <v/>
      </c>
      <c r="BT184" s="114" t="str">
        <f>_xlfn.IFNA(VLOOKUP($BD184,Programma!$F$3:$V$1101,17,0),"")</f>
        <v/>
      </c>
      <c r="BU184" s="114" t="str">
        <f>_xlfn.IFNA(VLOOKUP($BD184,Programma!$F$3:$W$1101,18,0),"")</f>
        <v/>
      </c>
      <c r="BV184" s="114" t="str">
        <f>_xlfn.IFNA(VLOOKUP($BD184,Programma!$F$3:$X$1101,19,0),"")</f>
        <v/>
      </c>
      <c r="BW184" s="114" t="str">
        <f>_xlfn.IFNA(VLOOKUP($BD184,Programma!$F$3:$Y$1101,20,0),"")</f>
        <v/>
      </c>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c r="HL184" s="28"/>
    </row>
    <row r="185" spans="1:220" ht="15" customHeight="1">
      <c r="A185" s="31">
        <v>5</v>
      </c>
      <c r="B185" s="105" t="str">
        <f>VLOOKUP(Ruimtestaat[[#This Row],[Code]],Locaties[[Code]:[Locatie]],2,FALSE)</f>
        <v>IKC Remigius</v>
      </c>
      <c r="C185" s="105" t="str">
        <f>VLOOKUP(Ruimtestaat[[#This Row],[Code]],Locaties[[#All],[Code]:[Adres]],4,FALSE)</f>
        <v>Liemersplein 1</v>
      </c>
      <c r="D185" s="105" t="str">
        <f>VLOOKUP(Ruimtestaat[[#This Row],[Code]],Locaties[[#All],[Code]:[Postcode]],5,FALSE)</f>
        <v xml:space="preserve">6921 HN </v>
      </c>
      <c r="E185" s="105" t="str">
        <f>VLOOKUP(Ruimtestaat[[#This Row],[Code]],Locaties[#All],6,FALSE)</f>
        <v>Duiven</v>
      </c>
      <c r="F185" s="73"/>
      <c r="G185" s="73" t="s">
        <v>1645</v>
      </c>
      <c r="H185" s="31" t="s">
        <v>1680</v>
      </c>
      <c r="I185" s="113" t="s">
        <v>1813</v>
      </c>
      <c r="J185" s="31">
        <v>1</v>
      </c>
      <c r="K185" s="113" t="str">
        <f>VLOOKUP(Ruimtestaat[[#This Row],[Ruimte code]],Ruimtegroepen[[#All],[Code]:[Ruimte omschrijving]],2,FALSE)</f>
        <v>Magazijnen/bergingen</v>
      </c>
      <c r="L185" s="73" t="s">
        <v>102</v>
      </c>
      <c r="M185" s="273" t="s">
        <v>120</v>
      </c>
      <c r="N185" s="106">
        <v>1.9</v>
      </c>
      <c r="O185" s="112"/>
      <c r="P185" s="112"/>
      <c r="Q185" s="107" t="str">
        <f>VLOOKUP(Ruimtestaat[[#This Row],[Ruimte code]],Ruimtegroepen[],4,FALSE)</f>
        <v>Ve</v>
      </c>
      <c r="R185" s="73">
        <v>40</v>
      </c>
      <c r="S185" s="73" t="s">
        <v>16</v>
      </c>
      <c r="T185" s="73">
        <f>IF(R185&gt;0,IF(RIGHT(Ruimtestaat[[#This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5" s="73">
        <f>IF(T185&gt;0,VLOOKUP($J185,Ruimtegroepen[],3,FALSE)*VLOOKUP($L185,Vloersoorten[],3,FALSE)*VLOOKUP($S185,Frequenties[],3,FALSE)*VLOOKUP($A185,Locaties[],3,FALSE),0)</f>
        <v>0</v>
      </c>
      <c r="V185" s="73">
        <f>Ruimtestaat[[#This Row],[Uitvoeringen werkdagen]]*Ruimtestaat[[#This Row],[Oppervlak (netto)]]</f>
        <v>22.799999999999997</v>
      </c>
      <c r="W185" s="108">
        <f>IF(U185&gt;0,Ruimtestaat[[#This Row],[Prest. (m2 /jaar) werkdagen]]/Ruimtestaat[[#This Row],[Norm (m2/uur) werkdagen]],0)</f>
        <v>0</v>
      </c>
      <c r="X185" s="109">
        <f>Ruimtestaat[[#This Row],[uren / jaar werkdagen]]*Tariefsopbouw!$E$35</f>
        <v>0</v>
      </c>
      <c r="Y185" s="73"/>
      <c r="Z185" s="73">
        <f>IF(Ruimtestaat[[#This Row],[Frequentie weekend]]&gt;0,VALUE(LEFT(Y185,1))*R185,0)</f>
        <v>0</v>
      </c>
      <c r="AA185" s="72">
        <f>IF($Z185&gt;0,VLOOKUP($J185,Ruimtegroepen[],3,FALSE)*VLOOKUP($L185,Vloersoorten[],3,FALSE)*VLOOKUP($Y185,Frequenties[],3,FALSE)*VLOOKUP(Ruimtestaat[[#This Row],[Code]],Locaties[],3,FALSE),0)</f>
        <v>0</v>
      </c>
      <c r="AB185" s="72">
        <f>Ruimtestaat[[#This Row],[Uitvoeringen weekend]]*Ruimtestaat[[#This Row],[Oppervlak (netto)]]</f>
        <v>0</v>
      </c>
      <c r="AC185" s="72">
        <f>IF(AA185&gt;0,Ruimtestaat[[#This Row],[Prest. (m2 /jaar) weekend]]/Ruimtestaat[[#This Row],[Norm (m2/uur) weekend]],0)</f>
        <v>0</v>
      </c>
      <c r="AD185" s="109">
        <f>Ruimtestaat[[#This Row],[uren / jaar weekend]]*Tariefsopbouw!$D$40</f>
        <v>0</v>
      </c>
      <c r="AE185" s="108">
        <f>Ruimtestaat[[#This Row],[Prest. (m2 /jaar) weekend]]+Ruimtestaat[[#This Row],[Prest. (m2 /jaar) werkdagen]]</f>
        <v>22.799999999999997</v>
      </c>
      <c r="AF185" s="108">
        <f>Ruimtestaat[[#This Row],[uren / jaar weekend]]+Ruimtestaat[[#This Row],[uren / jaar werkdagen]]</f>
        <v>0</v>
      </c>
      <c r="AG185" s="103">
        <f>Ruimtestaat[[#This Row],[kosten / jaar weekend]]+Ruimtestaat[[#This Row],[kosten / jaar werkdagen]]</f>
        <v>0</v>
      </c>
      <c r="AH185" s="103"/>
      <c r="AI185" s="110" t="str">
        <f>IF(Ruimtestaat[[#This Row],[Frequentie werkdagen]]="","",_xlfn.CONCAT(Ruimtestaat[[#This Row],[Ruimte code]],"-",Ruimtestaat[[#This Row],[Frequentie werkdagen]]," ",Ruimtestaat[[#This Row],[Vloer code]]))</f>
        <v>1-1m P</v>
      </c>
      <c r="AJ185" s="114" t="str">
        <f>_xlfn.IFNA(VLOOKUP($AI185,Programma!$F$3:$G$1101,2,0),"")</f>
        <v>_</v>
      </c>
      <c r="AK185" s="114" t="str">
        <f>_xlfn.IFNA(VLOOKUP($AI185,Programma!$F$3:$H$1101,3,0),"")</f>
        <v>_</v>
      </c>
      <c r="AL185" s="114" t="str">
        <f>_xlfn.IFNA(VLOOKUP($AI185,Programma!$F$3:$I$1101,4,0),"")</f>
        <v>1m</v>
      </c>
      <c r="AM185" s="114" t="str">
        <f>_xlfn.IFNA(VLOOKUP($AI185,Programma!$F$3:$J$1101,5,0),"")</f>
        <v>1m</v>
      </c>
      <c r="AN185" s="114" t="str">
        <f>_xlfn.IFNA(VLOOKUP($AI185,Programma!$F$3:$K$1101,6,0),"")</f>
        <v>1j</v>
      </c>
      <c r="AO185" s="114" t="str">
        <f>_xlfn.IFNA(VLOOKUP($AI185,Programma!$F$3:$L$1101,7,0),"")</f>
        <v>_</v>
      </c>
      <c r="AP185" s="114" t="str">
        <f>_xlfn.IFNA(VLOOKUP($AI185,Programma!$F$3:$M$1101,8,0),"")</f>
        <v>_</v>
      </c>
      <c r="AQ185" s="114" t="str">
        <f>_xlfn.IFNA(VLOOKUP($AI185,Programma!$F$3:$N$1101,9,0),"")</f>
        <v>_</v>
      </c>
      <c r="AR185" s="114" t="str">
        <f>_xlfn.IFNA(VLOOKUP($AI185,Programma!$F$3:$O$1101,10,0),"")</f>
        <v>_</v>
      </c>
      <c r="AS185" s="114" t="str">
        <f>_xlfn.IFNA(VLOOKUP($AI185,Programma!$F$3:$P$1101,11,0),"")</f>
        <v>_</v>
      </c>
      <c r="AT185" s="114" t="str">
        <f>_xlfn.IFNA(VLOOKUP($AI185,Programma!$F$3:$Q$1101,12,0),"")</f>
        <v>_</v>
      </c>
      <c r="AU185" s="114" t="str">
        <f>_xlfn.IFNA(VLOOKUP($AI185,Programma!$F$3:$R$1101,13,0),"")</f>
        <v>_</v>
      </c>
      <c r="AV185" s="114" t="str">
        <f>_xlfn.IFNA(VLOOKUP($AI185,Programma!$F$3:$S$1101,14,0),"")</f>
        <v>1m</v>
      </c>
      <c r="AW185" s="114" t="str">
        <f>_xlfn.IFNA(VLOOKUP($AI185,Programma!$F$3:$T$1101,15,0),"")</f>
        <v>4j</v>
      </c>
      <c r="AX185" s="114" t="str">
        <f>_xlfn.IFNA(VLOOKUP($AI185,Programma!$F$3:$U$1101,16,0),"")</f>
        <v>4j</v>
      </c>
      <c r="AY185" s="114" t="str">
        <f>_xlfn.IFNA(VLOOKUP($AI185,Programma!$F$3:$V$1101,17,0),"")</f>
        <v>_</v>
      </c>
      <c r="AZ185" s="114" t="str">
        <f>_xlfn.IFNA(VLOOKUP($AI185,Programma!$F$3:$W$1101,18,0),"")</f>
        <v>_</v>
      </c>
      <c r="BA185" s="114" t="str">
        <f>_xlfn.IFNA(VLOOKUP($AI185,Programma!$F$3:$X$1101,19,0),"")</f>
        <v>_</v>
      </c>
      <c r="BB185" s="114" t="str">
        <f>_xlfn.IFNA(VLOOKUP($AI185,Programma!$F$3:$Y$1101,20,0),"")</f>
        <v>_</v>
      </c>
      <c r="BC185" s="111"/>
      <c r="BD185" s="110" t="str">
        <f>IF(Ruimtestaat[[#This Row],[Frequentie weekend]]="","",_xlfn.CONCAT(Ruimtestaat[[#This Row],[Ruimte code]],"-",Ruimtestaat[[#This Row],[Frequentie weekend]]," ",Ruimtestaat[[#This Row],[Vloer code]]))</f>
        <v/>
      </c>
      <c r="BE185" s="114" t="str">
        <f>_xlfn.IFNA(VLOOKUP($BD185,Programma!$F$3:$G$1101,2,0),"")</f>
        <v/>
      </c>
      <c r="BF185" s="114" t="str">
        <f>_xlfn.IFNA(VLOOKUP($BD185,Programma!$F$3:$H$1101,3,0),"")</f>
        <v/>
      </c>
      <c r="BG185" s="114" t="str">
        <f>_xlfn.IFNA(VLOOKUP($BD185,Programma!$F$3:$I$1101,4,0),"")</f>
        <v/>
      </c>
      <c r="BH185" s="114" t="str">
        <f>_xlfn.IFNA(VLOOKUP($BD185,Programma!$F$3:$J$1101,5,0),"")</f>
        <v/>
      </c>
      <c r="BI185" s="114" t="str">
        <f>_xlfn.IFNA(VLOOKUP($BD185,Programma!$F$3:$K$1101,6,0),"")</f>
        <v/>
      </c>
      <c r="BJ185" s="114" t="str">
        <f>_xlfn.IFNA(VLOOKUP($BD185,Programma!$F$3:$L$1101,7,0),"")</f>
        <v/>
      </c>
      <c r="BK185" s="114" t="str">
        <f>_xlfn.IFNA(VLOOKUP($BD185,Programma!$F$3:$M$1101,8,0),"")</f>
        <v/>
      </c>
      <c r="BL185" s="114" t="str">
        <f>_xlfn.IFNA(VLOOKUP($BD185,Programma!$F$3:$N$1101,9,0),"")</f>
        <v/>
      </c>
      <c r="BM185" s="114" t="str">
        <f>_xlfn.IFNA(VLOOKUP($BD185,Programma!$F$3:$O$1101,10,0),"")</f>
        <v/>
      </c>
      <c r="BN185" s="114" t="str">
        <f>_xlfn.IFNA(VLOOKUP($BD185,Programma!$F$3:$P$1101,11,0),"")</f>
        <v/>
      </c>
      <c r="BO185" s="114" t="str">
        <f>_xlfn.IFNA(VLOOKUP($BD185,Programma!$F$3:$Q$1101,12,0),"")</f>
        <v/>
      </c>
      <c r="BP185" s="114" t="str">
        <f>_xlfn.IFNA(VLOOKUP($BD185,Programma!$F$3:$R$1101,13,0),"")</f>
        <v/>
      </c>
      <c r="BQ185" s="114" t="str">
        <f>_xlfn.IFNA(VLOOKUP($BD185,Programma!$F$3:$S$1101,14,0),"")</f>
        <v/>
      </c>
      <c r="BR185" s="114" t="str">
        <f>_xlfn.IFNA(VLOOKUP($BD185,Programma!$F$3:$T$1101,15,0),"")</f>
        <v/>
      </c>
      <c r="BS185" s="114" t="str">
        <f>_xlfn.IFNA(VLOOKUP($BD185,Programma!$F$3:$U$1101,16,0),"")</f>
        <v/>
      </c>
      <c r="BT185" s="114" t="str">
        <f>_xlfn.IFNA(VLOOKUP($BD185,Programma!$F$3:$V$1101,17,0),"")</f>
        <v/>
      </c>
      <c r="BU185" s="114" t="str">
        <f>_xlfn.IFNA(VLOOKUP($BD185,Programma!$F$3:$W$1101,18,0),"")</f>
        <v/>
      </c>
      <c r="BV185" s="114" t="str">
        <f>_xlfn.IFNA(VLOOKUP($BD185,Programma!$F$3:$X$1101,19,0),"")</f>
        <v/>
      </c>
      <c r="BW185" s="114" t="str">
        <f>_xlfn.IFNA(VLOOKUP($BD185,Programma!$F$3:$Y$1101,20,0),"")</f>
        <v/>
      </c>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c r="ET185" s="28"/>
      <c r="EU185" s="28"/>
      <c r="EV185" s="28"/>
      <c r="EW185" s="28"/>
      <c r="EX185" s="28"/>
      <c r="EY185" s="28"/>
      <c r="EZ185" s="28"/>
      <c r="FA185" s="28"/>
      <c r="FB185" s="28"/>
      <c r="FC185" s="28"/>
      <c r="FD185" s="28"/>
      <c r="FE185" s="28"/>
      <c r="FF185" s="28"/>
      <c r="FG185" s="28"/>
      <c r="FH185" s="28"/>
      <c r="FI185" s="28"/>
      <c r="FJ185" s="28"/>
      <c r="FK185" s="28"/>
      <c r="FL185" s="28"/>
      <c r="FM185" s="28"/>
      <c r="FN185" s="28"/>
      <c r="FO185" s="28"/>
      <c r="FP185" s="28"/>
      <c r="FQ185" s="28"/>
      <c r="FR185" s="28"/>
      <c r="FS185" s="28"/>
      <c r="FT185" s="28"/>
      <c r="FU185" s="28"/>
      <c r="FV185" s="28"/>
      <c r="FW185" s="28"/>
      <c r="FX185" s="28"/>
      <c r="FY185" s="28"/>
      <c r="FZ185" s="28"/>
      <c r="GA185" s="28"/>
      <c r="GB185" s="28"/>
      <c r="GC185" s="28"/>
      <c r="GD185" s="28"/>
      <c r="GE185" s="28"/>
      <c r="GF185" s="28"/>
      <c r="GG185" s="28"/>
      <c r="GH185" s="28"/>
      <c r="GI185" s="28"/>
      <c r="GJ185" s="28"/>
      <c r="GK185" s="28"/>
      <c r="GL185" s="28"/>
      <c r="GM185" s="28"/>
      <c r="GN185" s="28"/>
      <c r="GO185" s="28"/>
      <c r="GP185" s="28"/>
      <c r="GQ185" s="28"/>
      <c r="GR185" s="28"/>
      <c r="GS185" s="28"/>
      <c r="GT185" s="28"/>
      <c r="GU185" s="28"/>
      <c r="GV185" s="28"/>
      <c r="GW185" s="28"/>
      <c r="GX185" s="28"/>
      <c r="GY185" s="28"/>
      <c r="GZ185" s="28"/>
      <c r="HA185" s="28"/>
      <c r="HB185" s="28"/>
      <c r="HC185" s="28"/>
      <c r="HD185" s="28"/>
      <c r="HE185" s="28"/>
      <c r="HF185" s="28"/>
      <c r="HG185" s="28"/>
      <c r="HH185" s="28"/>
      <c r="HI185" s="28"/>
      <c r="HJ185" s="28"/>
      <c r="HK185" s="28"/>
      <c r="HL185" s="28"/>
    </row>
    <row r="186" spans="1:220" ht="15" customHeight="1">
      <c r="A186" s="31">
        <v>5</v>
      </c>
      <c r="B186" s="105" t="str">
        <f>VLOOKUP(Ruimtestaat[[#This Row],[Code]],Locaties[[Code]:[Locatie]],2,FALSE)</f>
        <v>IKC Remigius</v>
      </c>
      <c r="C186" s="105" t="str">
        <f>VLOOKUP(Ruimtestaat[[#This Row],[Code]],Locaties[[#All],[Code]:[Adres]],4,FALSE)</f>
        <v>Liemersplein 1</v>
      </c>
      <c r="D186" s="105" t="str">
        <f>VLOOKUP(Ruimtestaat[[#This Row],[Code]],Locaties[[#All],[Code]:[Postcode]],5,FALSE)</f>
        <v xml:space="preserve">6921 HN </v>
      </c>
      <c r="E186" s="105" t="str">
        <f>VLOOKUP(Ruimtestaat[[#This Row],[Code]],Locaties[#All],6,FALSE)</f>
        <v>Duiven</v>
      </c>
      <c r="F186" s="73"/>
      <c r="G186" s="73" t="s">
        <v>1645</v>
      </c>
      <c r="H186" s="31" t="s">
        <v>1681</v>
      </c>
      <c r="I186" s="113" t="s">
        <v>1815</v>
      </c>
      <c r="J186" s="31">
        <v>16</v>
      </c>
      <c r="K186" s="113" t="str">
        <f>VLOOKUP(Ruimtestaat[[#This Row],[Ruimte code]],Ruimtegroepen[[#All],[Code]:[Ruimte omschrijving]],2,FALSE)</f>
        <v>Leslokalen</v>
      </c>
      <c r="L186" s="73" t="s">
        <v>102</v>
      </c>
      <c r="M186" s="273" t="s">
        <v>120</v>
      </c>
      <c r="N186" s="106">
        <v>46.1</v>
      </c>
      <c r="O186" s="112"/>
      <c r="P186" s="73"/>
      <c r="Q186" s="107" t="str">
        <f>VLOOKUP(Ruimtestaat[[#This Row],[Ruimte code]],Ruimtegroepen[],4,FALSE)</f>
        <v>Le</v>
      </c>
      <c r="R186" s="73">
        <v>40</v>
      </c>
      <c r="S186" s="73" t="s">
        <v>2</v>
      </c>
      <c r="T186" s="73">
        <f>IF(R186&gt;0,IF(RIGHT(Ruimtestaat[[#This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6" s="73">
        <f>IF(T186&gt;0,VLOOKUP($J186,Ruimtegroepen[],3,FALSE)*VLOOKUP($L186,Vloersoorten[],3,FALSE)*VLOOKUP($S186,Frequenties[],3,FALSE)*VLOOKUP($A186,Locaties[],3,FALSE),0)</f>
        <v>0</v>
      </c>
      <c r="V186" s="73">
        <f>Ruimtestaat[[#This Row],[Uitvoeringen werkdagen]]*Ruimtestaat[[#This Row],[Oppervlak (netto)]]</f>
        <v>9220</v>
      </c>
      <c r="W186" s="108">
        <f>IF(U186&gt;0,Ruimtestaat[[#This Row],[Prest. (m2 /jaar) werkdagen]]/Ruimtestaat[[#This Row],[Norm (m2/uur) werkdagen]],0)</f>
        <v>0</v>
      </c>
      <c r="X186" s="109">
        <f>Ruimtestaat[[#This Row],[uren / jaar werkdagen]]*Tariefsopbouw!$E$35</f>
        <v>0</v>
      </c>
      <c r="Y186" s="73"/>
      <c r="Z186" s="73">
        <f>IF(Ruimtestaat[[#This Row],[Frequentie weekend]]&gt;0,VALUE(LEFT(Y186,1))*R186,0)</f>
        <v>0</v>
      </c>
      <c r="AA186" s="72">
        <f>IF($Z186&gt;0,VLOOKUP($J186,Ruimtegroepen[],3,FALSE)*VLOOKUP($L186,Vloersoorten[],3,FALSE)*VLOOKUP($Y186,Frequenties[],3,FALSE)*VLOOKUP(Ruimtestaat[[#This Row],[Code]],Locaties[],3,FALSE),0)</f>
        <v>0</v>
      </c>
      <c r="AB186" s="72">
        <f>Ruimtestaat[[#This Row],[Uitvoeringen weekend]]*Ruimtestaat[[#This Row],[Oppervlak (netto)]]</f>
        <v>0</v>
      </c>
      <c r="AC186" s="72">
        <f>IF(AA186&gt;0,Ruimtestaat[[#This Row],[Prest. (m2 /jaar) weekend]]/Ruimtestaat[[#This Row],[Norm (m2/uur) weekend]],0)</f>
        <v>0</v>
      </c>
      <c r="AD186" s="109">
        <f>Ruimtestaat[[#This Row],[uren / jaar weekend]]*Tariefsopbouw!$D$40</f>
        <v>0</v>
      </c>
      <c r="AE186" s="108">
        <f>Ruimtestaat[[#This Row],[Prest. (m2 /jaar) weekend]]+Ruimtestaat[[#This Row],[Prest. (m2 /jaar) werkdagen]]</f>
        <v>9220</v>
      </c>
      <c r="AF186" s="108">
        <f>Ruimtestaat[[#This Row],[uren / jaar weekend]]+Ruimtestaat[[#This Row],[uren / jaar werkdagen]]</f>
        <v>0</v>
      </c>
      <c r="AG186" s="103">
        <f>Ruimtestaat[[#This Row],[kosten / jaar weekend]]+Ruimtestaat[[#This Row],[kosten / jaar werkdagen]]</f>
        <v>0</v>
      </c>
      <c r="AH186" s="103"/>
      <c r="AI186" s="110" t="str">
        <f>IF(Ruimtestaat[[#This Row],[Frequentie werkdagen]]="","",_xlfn.CONCAT(Ruimtestaat[[#This Row],[Ruimte code]],"-",Ruimtestaat[[#This Row],[Frequentie werkdagen]]," ",Ruimtestaat[[#This Row],[Vloer code]]))</f>
        <v>16-5w P</v>
      </c>
      <c r="AJ186" s="114" t="str">
        <f>_xlfn.IFNA(VLOOKUP($AI186,Programma!$F$3:$G$1101,2,0),"")</f>
        <v>_</v>
      </c>
      <c r="AK186" s="114" t="str">
        <f>_xlfn.IFNA(VLOOKUP($AI186,Programma!$F$3:$H$1101,3,0),"")</f>
        <v>_</v>
      </c>
      <c r="AL186" s="114" t="str">
        <f>_xlfn.IFNA(VLOOKUP($AI186,Programma!$F$3:$I$1101,4,0),"")</f>
        <v>4w</v>
      </c>
      <c r="AM186" s="114" t="str">
        <f>_xlfn.IFNA(VLOOKUP($AI186,Programma!$F$3:$J$1101,5,0),"")</f>
        <v>1w</v>
      </c>
      <c r="AN186" s="114" t="str">
        <f>_xlfn.IFNA(VLOOKUP($AI186,Programma!$F$3:$K$1101,6,0),"")</f>
        <v>1m</v>
      </c>
      <c r="AO186" s="114" t="str">
        <f>_xlfn.IFNA(VLOOKUP($AI186,Programma!$F$3:$L$1101,7,0),"")</f>
        <v>_</v>
      </c>
      <c r="AP186" s="114" t="str">
        <f>_xlfn.IFNA(VLOOKUP($AI186,Programma!$F$3:$M$1101,8,0),"")</f>
        <v>_</v>
      </c>
      <c r="AQ186" s="114" t="str">
        <f>_xlfn.IFNA(VLOOKUP($AI186,Programma!$F$3:$N$1101,9,0),"")</f>
        <v>_</v>
      </c>
      <c r="AR186" s="114" t="str">
        <f>_xlfn.IFNA(VLOOKUP($AI186,Programma!$F$3:$O$1101,10,0),"")</f>
        <v>5w</v>
      </c>
      <c r="AS186" s="114" t="str">
        <f>_xlfn.IFNA(VLOOKUP($AI186,Programma!$F$3:$P$1101,11,0),"")</f>
        <v>5w</v>
      </c>
      <c r="AT186" s="114" t="str">
        <f>_xlfn.IFNA(VLOOKUP($AI186,Programma!$F$3:$Q$1101,12,0),"")</f>
        <v>1w</v>
      </c>
      <c r="AU186" s="114" t="str">
        <f>_xlfn.IFNA(VLOOKUP($AI186,Programma!$F$3:$R$1101,13,0),"")</f>
        <v>1w</v>
      </c>
      <c r="AV186" s="114" t="str">
        <f>_xlfn.IFNA(VLOOKUP($AI186,Programma!$F$3:$S$1101,14,0),"")</f>
        <v>1m</v>
      </c>
      <c r="AW186" s="114" t="str">
        <f>_xlfn.IFNA(VLOOKUP($AI186,Programma!$F$3:$T$1101,15,0),"")</f>
        <v>2j</v>
      </c>
      <c r="AX186" s="114" t="str">
        <f>_xlfn.IFNA(VLOOKUP($AI186,Programma!$F$3:$U$1101,16,0),"")</f>
        <v>1j</v>
      </c>
      <c r="AY186" s="114" t="str">
        <f>_xlfn.IFNA(VLOOKUP($AI186,Programma!$F$3:$V$1101,17,0),"")</f>
        <v>_</v>
      </c>
      <c r="AZ186" s="114" t="str">
        <f>_xlfn.IFNA(VLOOKUP($AI186,Programma!$F$3:$W$1101,18,0),"")</f>
        <v>_</v>
      </c>
      <c r="BA186" s="114" t="str">
        <f>_xlfn.IFNA(VLOOKUP($AI186,Programma!$F$3:$X$1101,19,0),"")</f>
        <v>_</v>
      </c>
      <c r="BB186" s="114" t="str">
        <f>_xlfn.IFNA(VLOOKUP($AI186,Programma!$F$3:$Y$1101,20,0),"")</f>
        <v>_</v>
      </c>
      <c r="BC186" s="111"/>
      <c r="BD186" s="110" t="str">
        <f>IF(Ruimtestaat[[#This Row],[Frequentie weekend]]="","",_xlfn.CONCAT(Ruimtestaat[[#This Row],[Ruimte code]],"-",Ruimtestaat[[#This Row],[Frequentie weekend]]," ",Ruimtestaat[[#This Row],[Vloer code]]))</f>
        <v/>
      </c>
      <c r="BE186" s="114" t="str">
        <f>_xlfn.IFNA(VLOOKUP($BD186,Programma!$F$3:$G$1101,2,0),"")</f>
        <v/>
      </c>
      <c r="BF186" s="114" t="str">
        <f>_xlfn.IFNA(VLOOKUP($BD186,Programma!$F$3:$H$1101,3,0),"")</f>
        <v/>
      </c>
      <c r="BG186" s="114" t="str">
        <f>_xlfn.IFNA(VLOOKUP($BD186,Programma!$F$3:$I$1101,4,0),"")</f>
        <v/>
      </c>
      <c r="BH186" s="114" t="str">
        <f>_xlfn.IFNA(VLOOKUP($BD186,Programma!$F$3:$J$1101,5,0),"")</f>
        <v/>
      </c>
      <c r="BI186" s="114" t="str">
        <f>_xlfn.IFNA(VLOOKUP($BD186,Programma!$F$3:$K$1101,6,0),"")</f>
        <v/>
      </c>
      <c r="BJ186" s="114" t="str">
        <f>_xlfn.IFNA(VLOOKUP($BD186,Programma!$F$3:$L$1101,7,0),"")</f>
        <v/>
      </c>
      <c r="BK186" s="114" t="str">
        <f>_xlfn.IFNA(VLOOKUP($BD186,Programma!$F$3:$M$1101,8,0),"")</f>
        <v/>
      </c>
      <c r="BL186" s="114" t="str">
        <f>_xlfn.IFNA(VLOOKUP($BD186,Programma!$F$3:$N$1101,9,0),"")</f>
        <v/>
      </c>
      <c r="BM186" s="114" t="str">
        <f>_xlfn.IFNA(VLOOKUP($BD186,Programma!$F$3:$O$1101,10,0),"")</f>
        <v/>
      </c>
      <c r="BN186" s="114" t="str">
        <f>_xlfn.IFNA(VLOOKUP($BD186,Programma!$F$3:$P$1101,11,0),"")</f>
        <v/>
      </c>
      <c r="BO186" s="114" t="str">
        <f>_xlfn.IFNA(VLOOKUP($BD186,Programma!$F$3:$Q$1101,12,0),"")</f>
        <v/>
      </c>
      <c r="BP186" s="114" t="str">
        <f>_xlfn.IFNA(VLOOKUP($BD186,Programma!$F$3:$R$1101,13,0),"")</f>
        <v/>
      </c>
      <c r="BQ186" s="114" t="str">
        <f>_xlfn.IFNA(VLOOKUP($BD186,Programma!$F$3:$S$1101,14,0),"")</f>
        <v/>
      </c>
      <c r="BR186" s="114" t="str">
        <f>_xlfn.IFNA(VLOOKUP($BD186,Programma!$F$3:$T$1101,15,0),"")</f>
        <v/>
      </c>
      <c r="BS186" s="114" t="str">
        <f>_xlfn.IFNA(VLOOKUP($BD186,Programma!$F$3:$U$1101,16,0),"")</f>
        <v/>
      </c>
      <c r="BT186" s="114" t="str">
        <f>_xlfn.IFNA(VLOOKUP($BD186,Programma!$F$3:$V$1101,17,0),"")</f>
        <v/>
      </c>
      <c r="BU186" s="114" t="str">
        <f>_xlfn.IFNA(VLOOKUP($BD186,Programma!$F$3:$W$1101,18,0),"")</f>
        <v/>
      </c>
      <c r="BV186" s="114" t="str">
        <f>_xlfn.IFNA(VLOOKUP($BD186,Programma!$F$3:$X$1101,19,0),"")</f>
        <v/>
      </c>
      <c r="BW186" s="114" t="str">
        <f>_xlfn.IFNA(VLOOKUP($BD186,Programma!$F$3:$Y$1101,20,0),"")</f>
        <v/>
      </c>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8"/>
      <c r="FJ186" s="28"/>
      <c r="FK186" s="28"/>
      <c r="FL186" s="28"/>
      <c r="FM186" s="28"/>
      <c r="FN186" s="28"/>
      <c r="FO186" s="28"/>
      <c r="FP186" s="28"/>
      <c r="FQ186" s="28"/>
      <c r="FR186" s="28"/>
      <c r="FS186" s="28"/>
      <c r="FT186" s="28"/>
      <c r="FU186" s="28"/>
      <c r="FV186" s="28"/>
      <c r="FW186" s="28"/>
      <c r="FX186" s="28"/>
      <c r="FY186" s="28"/>
      <c r="FZ186" s="28"/>
      <c r="GA186" s="28"/>
      <c r="GB186" s="28"/>
      <c r="GC186" s="28"/>
      <c r="GD186" s="28"/>
      <c r="GE186" s="28"/>
      <c r="GF186" s="28"/>
      <c r="GG186" s="28"/>
      <c r="GH186" s="28"/>
      <c r="GI186" s="28"/>
      <c r="GJ186" s="28"/>
      <c r="GK186" s="28"/>
      <c r="GL186" s="28"/>
      <c r="GM186" s="28"/>
      <c r="GN186" s="28"/>
      <c r="GO186" s="28"/>
      <c r="GP186" s="28"/>
      <c r="GQ186" s="28"/>
      <c r="GR186" s="28"/>
      <c r="GS186" s="28"/>
      <c r="GT186" s="28"/>
      <c r="GU186" s="28"/>
      <c r="GV186" s="28"/>
      <c r="GW186" s="28"/>
      <c r="GX186" s="28"/>
      <c r="GY186" s="28"/>
      <c r="GZ186" s="28"/>
      <c r="HA186" s="28"/>
      <c r="HB186" s="28"/>
      <c r="HC186" s="28"/>
      <c r="HD186" s="28"/>
      <c r="HE186" s="28"/>
      <c r="HF186" s="28"/>
      <c r="HG186" s="28"/>
      <c r="HH186" s="28"/>
      <c r="HI186" s="28"/>
      <c r="HJ186" s="28"/>
      <c r="HK186" s="28"/>
      <c r="HL186" s="28"/>
    </row>
    <row r="187" spans="1:220" ht="15" customHeight="1">
      <c r="A187" s="31">
        <v>5</v>
      </c>
      <c r="B187" s="105" t="str">
        <f>VLOOKUP(Ruimtestaat[[#This Row],[Code]],Locaties[[Code]:[Locatie]],2,FALSE)</f>
        <v>IKC Remigius</v>
      </c>
      <c r="C187" s="105" t="str">
        <f>VLOOKUP(Ruimtestaat[[#This Row],[Code]],Locaties[[#All],[Code]:[Adres]],4,FALSE)</f>
        <v>Liemersplein 1</v>
      </c>
      <c r="D187" s="105" t="str">
        <f>VLOOKUP(Ruimtestaat[[#This Row],[Code]],Locaties[[#All],[Code]:[Postcode]],5,FALSE)</f>
        <v xml:space="preserve">6921 HN </v>
      </c>
      <c r="E187" s="105" t="str">
        <f>VLOOKUP(Ruimtestaat[[#This Row],[Code]],Locaties[#All],6,FALSE)</f>
        <v>Duiven</v>
      </c>
      <c r="F187" s="73"/>
      <c r="G187" s="73" t="s">
        <v>1645</v>
      </c>
      <c r="H187" s="31" t="s">
        <v>1682</v>
      </c>
      <c r="I187" s="113" t="s">
        <v>1815</v>
      </c>
      <c r="J187" s="31">
        <v>16</v>
      </c>
      <c r="K187" s="113" t="str">
        <f>VLOOKUP(Ruimtestaat[[#This Row],[Ruimte code]],Ruimtegroepen[[#All],[Code]:[Ruimte omschrijving]],2,FALSE)</f>
        <v>Leslokalen</v>
      </c>
      <c r="L187" s="73" t="s">
        <v>102</v>
      </c>
      <c r="M187" s="273" t="s">
        <v>120</v>
      </c>
      <c r="N187" s="106">
        <v>46</v>
      </c>
      <c r="O187" s="112"/>
      <c r="P187" s="112"/>
      <c r="Q187" s="107" t="str">
        <f>VLOOKUP(Ruimtestaat[[#This Row],[Ruimte code]],Ruimtegroepen[],4,FALSE)</f>
        <v>Le</v>
      </c>
      <c r="R187" s="73">
        <v>40</v>
      </c>
      <c r="S187" s="73" t="s">
        <v>2</v>
      </c>
      <c r="T187" s="73">
        <f>IF(R187&gt;0,IF(RIGHT(Ruimtestaat[[#This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7" s="73">
        <f>IF(T187&gt;0,VLOOKUP($J187,Ruimtegroepen[],3,FALSE)*VLOOKUP($L187,Vloersoorten[],3,FALSE)*VLOOKUP($S187,Frequenties[],3,FALSE)*VLOOKUP($A187,Locaties[],3,FALSE),0)</f>
        <v>0</v>
      </c>
      <c r="V187" s="73">
        <f>Ruimtestaat[[#This Row],[Uitvoeringen werkdagen]]*Ruimtestaat[[#This Row],[Oppervlak (netto)]]</f>
        <v>9200</v>
      </c>
      <c r="W187" s="108">
        <f>IF(U187&gt;0,Ruimtestaat[[#This Row],[Prest. (m2 /jaar) werkdagen]]/Ruimtestaat[[#This Row],[Norm (m2/uur) werkdagen]],0)</f>
        <v>0</v>
      </c>
      <c r="X187" s="109">
        <f>Ruimtestaat[[#This Row],[uren / jaar werkdagen]]*Tariefsopbouw!$E$35</f>
        <v>0</v>
      </c>
      <c r="Y187" s="73"/>
      <c r="Z187" s="73">
        <f>IF(Ruimtestaat[[#This Row],[Frequentie weekend]]&gt;0,VALUE(LEFT(Y187,1))*R187,0)</f>
        <v>0</v>
      </c>
      <c r="AA187" s="72">
        <f>IF($Z187&gt;0,VLOOKUP($J187,Ruimtegroepen[],3,FALSE)*VLOOKUP($L187,Vloersoorten[],3,FALSE)*VLOOKUP($Y187,Frequenties[],3,FALSE)*VLOOKUP(Ruimtestaat[[#This Row],[Code]],Locaties[],3,FALSE),0)</f>
        <v>0</v>
      </c>
      <c r="AB187" s="72">
        <f>Ruimtestaat[[#This Row],[Uitvoeringen weekend]]*Ruimtestaat[[#This Row],[Oppervlak (netto)]]</f>
        <v>0</v>
      </c>
      <c r="AC187" s="72">
        <f>IF(AA187&gt;0,Ruimtestaat[[#This Row],[Prest. (m2 /jaar) weekend]]/Ruimtestaat[[#This Row],[Norm (m2/uur) weekend]],0)</f>
        <v>0</v>
      </c>
      <c r="AD187" s="109">
        <f>Ruimtestaat[[#This Row],[uren / jaar weekend]]*Tariefsopbouw!$D$40</f>
        <v>0</v>
      </c>
      <c r="AE187" s="108">
        <f>Ruimtestaat[[#This Row],[Prest. (m2 /jaar) weekend]]+Ruimtestaat[[#This Row],[Prest. (m2 /jaar) werkdagen]]</f>
        <v>9200</v>
      </c>
      <c r="AF187" s="108">
        <f>Ruimtestaat[[#This Row],[uren / jaar weekend]]+Ruimtestaat[[#This Row],[uren / jaar werkdagen]]</f>
        <v>0</v>
      </c>
      <c r="AG187" s="103">
        <f>Ruimtestaat[[#This Row],[kosten / jaar weekend]]+Ruimtestaat[[#This Row],[kosten / jaar werkdagen]]</f>
        <v>0</v>
      </c>
      <c r="AH187" s="103"/>
      <c r="AI187" s="110" t="str">
        <f>IF(Ruimtestaat[[#This Row],[Frequentie werkdagen]]="","",_xlfn.CONCAT(Ruimtestaat[[#This Row],[Ruimte code]],"-",Ruimtestaat[[#This Row],[Frequentie werkdagen]]," ",Ruimtestaat[[#This Row],[Vloer code]]))</f>
        <v>16-5w P</v>
      </c>
      <c r="AJ187" s="114" t="str">
        <f>_xlfn.IFNA(VLOOKUP($AI187,Programma!$F$3:$G$1101,2,0),"")</f>
        <v>_</v>
      </c>
      <c r="AK187" s="114" t="str">
        <f>_xlfn.IFNA(VLOOKUP($AI187,Programma!$F$3:$H$1101,3,0),"")</f>
        <v>_</v>
      </c>
      <c r="AL187" s="114" t="str">
        <f>_xlfn.IFNA(VLOOKUP($AI187,Programma!$F$3:$I$1101,4,0),"")</f>
        <v>4w</v>
      </c>
      <c r="AM187" s="114" t="str">
        <f>_xlfn.IFNA(VLOOKUP($AI187,Programma!$F$3:$J$1101,5,0),"")</f>
        <v>1w</v>
      </c>
      <c r="AN187" s="114" t="str">
        <f>_xlfn.IFNA(VLOOKUP($AI187,Programma!$F$3:$K$1101,6,0),"")</f>
        <v>1m</v>
      </c>
      <c r="AO187" s="114" t="str">
        <f>_xlfn.IFNA(VLOOKUP($AI187,Programma!$F$3:$L$1101,7,0),"")</f>
        <v>_</v>
      </c>
      <c r="AP187" s="114" t="str">
        <f>_xlfn.IFNA(VLOOKUP($AI187,Programma!$F$3:$M$1101,8,0),"")</f>
        <v>_</v>
      </c>
      <c r="AQ187" s="114" t="str">
        <f>_xlfn.IFNA(VLOOKUP($AI187,Programma!$F$3:$N$1101,9,0),"")</f>
        <v>_</v>
      </c>
      <c r="AR187" s="114" t="str">
        <f>_xlfn.IFNA(VLOOKUP($AI187,Programma!$F$3:$O$1101,10,0),"")</f>
        <v>5w</v>
      </c>
      <c r="AS187" s="114" t="str">
        <f>_xlfn.IFNA(VLOOKUP($AI187,Programma!$F$3:$P$1101,11,0),"")</f>
        <v>5w</v>
      </c>
      <c r="AT187" s="114" t="str">
        <f>_xlfn.IFNA(VLOOKUP($AI187,Programma!$F$3:$Q$1101,12,0),"")</f>
        <v>1w</v>
      </c>
      <c r="AU187" s="114" t="str">
        <f>_xlfn.IFNA(VLOOKUP($AI187,Programma!$F$3:$R$1101,13,0),"")</f>
        <v>1w</v>
      </c>
      <c r="AV187" s="114" t="str">
        <f>_xlfn.IFNA(VLOOKUP($AI187,Programma!$F$3:$S$1101,14,0),"")</f>
        <v>1m</v>
      </c>
      <c r="AW187" s="114" t="str">
        <f>_xlfn.IFNA(VLOOKUP($AI187,Programma!$F$3:$T$1101,15,0),"")</f>
        <v>2j</v>
      </c>
      <c r="AX187" s="114" t="str">
        <f>_xlfn.IFNA(VLOOKUP($AI187,Programma!$F$3:$U$1101,16,0),"")</f>
        <v>1j</v>
      </c>
      <c r="AY187" s="114" t="str">
        <f>_xlfn.IFNA(VLOOKUP($AI187,Programma!$F$3:$V$1101,17,0),"")</f>
        <v>_</v>
      </c>
      <c r="AZ187" s="114" t="str">
        <f>_xlfn.IFNA(VLOOKUP($AI187,Programma!$F$3:$W$1101,18,0),"")</f>
        <v>_</v>
      </c>
      <c r="BA187" s="114" t="str">
        <f>_xlfn.IFNA(VLOOKUP($AI187,Programma!$F$3:$X$1101,19,0),"")</f>
        <v>_</v>
      </c>
      <c r="BB187" s="114" t="str">
        <f>_xlfn.IFNA(VLOOKUP($AI187,Programma!$F$3:$Y$1101,20,0),"")</f>
        <v>_</v>
      </c>
      <c r="BC187" s="111"/>
      <c r="BD187" s="110" t="str">
        <f>IF(Ruimtestaat[[#This Row],[Frequentie weekend]]="","",_xlfn.CONCAT(Ruimtestaat[[#This Row],[Ruimte code]],"-",Ruimtestaat[[#This Row],[Frequentie weekend]]," ",Ruimtestaat[[#This Row],[Vloer code]]))</f>
        <v/>
      </c>
      <c r="BE187" s="114" t="str">
        <f>_xlfn.IFNA(VLOOKUP($BD187,Programma!$F$3:$G$1101,2,0),"")</f>
        <v/>
      </c>
      <c r="BF187" s="114" t="str">
        <f>_xlfn.IFNA(VLOOKUP($BD187,Programma!$F$3:$H$1101,3,0),"")</f>
        <v/>
      </c>
      <c r="BG187" s="114" t="str">
        <f>_xlfn.IFNA(VLOOKUP($BD187,Programma!$F$3:$I$1101,4,0),"")</f>
        <v/>
      </c>
      <c r="BH187" s="114" t="str">
        <f>_xlfn.IFNA(VLOOKUP($BD187,Programma!$F$3:$J$1101,5,0),"")</f>
        <v/>
      </c>
      <c r="BI187" s="114" t="str">
        <f>_xlfn.IFNA(VLOOKUP($BD187,Programma!$F$3:$K$1101,6,0),"")</f>
        <v/>
      </c>
      <c r="BJ187" s="114" t="str">
        <f>_xlfn.IFNA(VLOOKUP($BD187,Programma!$F$3:$L$1101,7,0),"")</f>
        <v/>
      </c>
      <c r="BK187" s="114" t="str">
        <f>_xlfn.IFNA(VLOOKUP($BD187,Programma!$F$3:$M$1101,8,0),"")</f>
        <v/>
      </c>
      <c r="BL187" s="114" t="str">
        <f>_xlfn.IFNA(VLOOKUP($BD187,Programma!$F$3:$N$1101,9,0),"")</f>
        <v/>
      </c>
      <c r="BM187" s="114" t="str">
        <f>_xlfn.IFNA(VLOOKUP($BD187,Programma!$F$3:$O$1101,10,0),"")</f>
        <v/>
      </c>
      <c r="BN187" s="114" t="str">
        <f>_xlfn.IFNA(VLOOKUP($BD187,Programma!$F$3:$P$1101,11,0),"")</f>
        <v/>
      </c>
      <c r="BO187" s="114" t="str">
        <f>_xlfn.IFNA(VLOOKUP($BD187,Programma!$F$3:$Q$1101,12,0),"")</f>
        <v/>
      </c>
      <c r="BP187" s="114" t="str">
        <f>_xlfn.IFNA(VLOOKUP($BD187,Programma!$F$3:$R$1101,13,0),"")</f>
        <v/>
      </c>
      <c r="BQ187" s="114" t="str">
        <f>_xlfn.IFNA(VLOOKUP($BD187,Programma!$F$3:$S$1101,14,0),"")</f>
        <v/>
      </c>
      <c r="BR187" s="114" t="str">
        <f>_xlfn.IFNA(VLOOKUP($BD187,Programma!$F$3:$T$1101,15,0),"")</f>
        <v/>
      </c>
      <c r="BS187" s="114" t="str">
        <f>_xlfn.IFNA(VLOOKUP($BD187,Programma!$F$3:$U$1101,16,0),"")</f>
        <v/>
      </c>
      <c r="BT187" s="114" t="str">
        <f>_xlfn.IFNA(VLOOKUP($BD187,Programma!$F$3:$V$1101,17,0),"")</f>
        <v/>
      </c>
      <c r="BU187" s="114" t="str">
        <f>_xlfn.IFNA(VLOOKUP($BD187,Programma!$F$3:$W$1101,18,0),"")</f>
        <v/>
      </c>
      <c r="BV187" s="114" t="str">
        <f>_xlfn.IFNA(VLOOKUP($BD187,Programma!$F$3:$X$1101,19,0),"")</f>
        <v/>
      </c>
      <c r="BW187" s="114" t="str">
        <f>_xlfn.IFNA(VLOOKUP($BD187,Programma!$F$3:$Y$1101,20,0),"")</f>
        <v/>
      </c>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c r="EA187" s="28"/>
      <c r="EB187" s="28"/>
      <c r="EC187" s="28"/>
      <c r="ED187" s="28"/>
      <c r="EE187" s="28"/>
      <c r="EF187" s="28"/>
      <c r="EG187" s="28"/>
      <c r="EH187" s="28"/>
      <c r="EI187" s="28"/>
      <c r="EJ187" s="28"/>
      <c r="EK187" s="28"/>
      <c r="EL187" s="28"/>
      <c r="EM187" s="28"/>
      <c r="EN187" s="28"/>
      <c r="EO187" s="28"/>
      <c r="EP187" s="28"/>
      <c r="EQ187" s="28"/>
      <c r="ER187" s="28"/>
      <c r="ES187" s="28"/>
      <c r="ET187" s="28"/>
      <c r="EU187" s="28"/>
      <c r="EV187" s="28"/>
      <c r="EW187" s="28"/>
      <c r="EX187" s="28"/>
      <c r="EY187" s="28"/>
      <c r="EZ187" s="28"/>
      <c r="FA187" s="28"/>
      <c r="FB187" s="28"/>
      <c r="FC187" s="28"/>
      <c r="FD187" s="28"/>
      <c r="FE187" s="28"/>
      <c r="FF187" s="28"/>
      <c r="FG187" s="28"/>
      <c r="FH187" s="28"/>
      <c r="FI187" s="28"/>
      <c r="FJ187" s="28"/>
      <c r="FK187" s="28"/>
      <c r="FL187" s="28"/>
      <c r="FM187" s="28"/>
      <c r="FN187" s="28"/>
      <c r="FO187" s="28"/>
      <c r="FP187" s="28"/>
      <c r="FQ187" s="28"/>
      <c r="FR187" s="28"/>
      <c r="FS187" s="28"/>
      <c r="FT187" s="28"/>
      <c r="FU187" s="28"/>
      <c r="FV187" s="28"/>
      <c r="FW187" s="28"/>
      <c r="FX187" s="28"/>
      <c r="FY187" s="28"/>
      <c r="FZ187" s="28"/>
      <c r="GA187" s="28"/>
      <c r="GB187" s="28"/>
      <c r="GC187" s="28"/>
      <c r="GD187" s="28"/>
      <c r="GE187" s="28"/>
      <c r="GF187" s="28"/>
      <c r="GG187" s="28"/>
      <c r="GH187" s="28"/>
      <c r="GI187" s="28"/>
      <c r="GJ187" s="28"/>
      <c r="GK187" s="28"/>
      <c r="GL187" s="28"/>
      <c r="GM187" s="28"/>
      <c r="GN187" s="28"/>
      <c r="GO187" s="28"/>
      <c r="GP187" s="28"/>
      <c r="GQ187" s="28"/>
      <c r="GR187" s="28"/>
      <c r="GS187" s="28"/>
      <c r="GT187" s="28"/>
      <c r="GU187" s="28"/>
      <c r="GV187" s="28"/>
      <c r="GW187" s="28"/>
      <c r="GX187" s="28"/>
      <c r="GY187" s="28"/>
      <c r="GZ187" s="28"/>
      <c r="HA187" s="28"/>
      <c r="HB187" s="28"/>
      <c r="HC187" s="28"/>
      <c r="HD187" s="28"/>
      <c r="HE187" s="28"/>
      <c r="HF187" s="28"/>
      <c r="HG187" s="28"/>
      <c r="HH187" s="28"/>
      <c r="HI187" s="28"/>
      <c r="HJ187" s="28"/>
      <c r="HK187" s="28"/>
      <c r="HL187" s="28"/>
    </row>
    <row r="188" spans="1:220" ht="15" customHeight="1">
      <c r="A188" s="31">
        <v>5</v>
      </c>
      <c r="B188" s="105" t="str">
        <f>VLOOKUP(Ruimtestaat[[#This Row],[Code]],Locaties[[Code]:[Locatie]],2,FALSE)</f>
        <v>IKC Remigius</v>
      </c>
      <c r="C188" s="105" t="str">
        <f>VLOOKUP(Ruimtestaat[[#This Row],[Code]],Locaties[[#All],[Code]:[Adres]],4,FALSE)</f>
        <v>Liemersplein 1</v>
      </c>
      <c r="D188" s="105" t="str">
        <f>VLOOKUP(Ruimtestaat[[#This Row],[Code]],Locaties[[#All],[Code]:[Postcode]],5,FALSE)</f>
        <v xml:space="preserve">6921 HN </v>
      </c>
      <c r="E188" s="105" t="str">
        <f>VLOOKUP(Ruimtestaat[[#This Row],[Code]],Locaties[#All],6,FALSE)</f>
        <v>Duiven</v>
      </c>
      <c r="F188" s="73"/>
      <c r="G188" s="73" t="s">
        <v>1645</v>
      </c>
      <c r="H188" s="31" t="s">
        <v>1683</v>
      </c>
      <c r="I188" s="113" t="s">
        <v>1816</v>
      </c>
      <c r="J188" s="31">
        <v>5</v>
      </c>
      <c r="K188" s="113" t="str">
        <f>VLOOKUP(Ruimtestaat[[#This Row],[Ruimte code]],Ruimtegroepen[[#All],[Code]:[Ruimte omschrijving]],2,FALSE)</f>
        <v>Sanitair</v>
      </c>
      <c r="L188" s="73" t="s">
        <v>101</v>
      </c>
      <c r="M188" s="273" t="s">
        <v>1893</v>
      </c>
      <c r="N188" s="106">
        <v>5.3</v>
      </c>
      <c r="O188" s="112"/>
      <c r="P188" s="112"/>
      <c r="Q188" s="107" t="str">
        <f>VLOOKUP(Ruimtestaat[[#This Row],[Ruimte code]],Ruimtegroepen[],4,FALSE)</f>
        <v>Sa</v>
      </c>
      <c r="R188" s="73">
        <v>40</v>
      </c>
      <c r="S188" s="73" t="s">
        <v>2</v>
      </c>
      <c r="T188" s="73">
        <f>IF(R188&gt;0,IF(RIGHT(Ruimtestaat[[#This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8" s="73">
        <f>IF(T188&gt;0,VLOOKUP($J188,Ruimtegroepen[],3,FALSE)*VLOOKUP($L188,Vloersoorten[],3,FALSE)*VLOOKUP($S188,Frequenties[],3,FALSE)*VLOOKUP($A188,Locaties[],3,FALSE),0)</f>
        <v>0</v>
      </c>
      <c r="V188" s="73">
        <f>Ruimtestaat[[#This Row],[Uitvoeringen werkdagen]]*Ruimtestaat[[#This Row],[Oppervlak (netto)]]</f>
        <v>1060</v>
      </c>
      <c r="W188" s="108">
        <f>IF(U188&gt;0,Ruimtestaat[[#This Row],[Prest. (m2 /jaar) werkdagen]]/Ruimtestaat[[#This Row],[Norm (m2/uur) werkdagen]],0)</f>
        <v>0</v>
      </c>
      <c r="X188" s="109">
        <f>Ruimtestaat[[#This Row],[uren / jaar werkdagen]]*Tariefsopbouw!$E$35</f>
        <v>0</v>
      </c>
      <c r="Y188" s="73"/>
      <c r="Z188" s="73">
        <f>IF(Ruimtestaat[[#This Row],[Frequentie weekend]]&gt;0,VALUE(LEFT(Y188,1))*R188,0)</f>
        <v>0</v>
      </c>
      <c r="AA188" s="72">
        <f>IF($Z188&gt;0,VLOOKUP($J188,Ruimtegroepen[],3,FALSE)*VLOOKUP($L188,Vloersoorten[],3,FALSE)*VLOOKUP($Y188,Frequenties[],3,FALSE)*VLOOKUP(Ruimtestaat[[#This Row],[Code]],Locaties[],3,FALSE),0)</f>
        <v>0</v>
      </c>
      <c r="AB188" s="72">
        <f>Ruimtestaat[[#This Row],[Uitvoeringen weekend]]*Ruimtestaat[[#This Row],[Oppervlak (netto)]]</f>
        <v>0</v>
      </c>
      <c r="AC188" s="72">
        <f>IF(AA188&gt;0,Ruimtestaat[[#This Row],[Prest. (m2 /jaar) weekend]]/Ruimtestaat[[#This Row],[Norm (m2/uur) weekend]],0)</f>
        <v>0</v>
      </c>
      <c r="AD188" s="109">
        <f>Ruimtestaat[[#This Row],[uren / jaar weekend]]*Tariefsopbouw!$D$40</f>
        <v>0</v>
      </c>
      <c r="AE188" s="108">
        <f>Ruimtestaat[[#This Row],[Prest. (m2 /jaar) weekend]]+Ruimtestaat[[#This Row],[Prest. (m2 /jaar) werkdagen]]</f>
        <v>1060</v>
      </c>
      <c r="AF188" s="108">
        <f>Ruimtestaat[[#This Row],[uren / jaar weekend]]+Ruimtestaat[[#This Row],[uren / jaar werkdagen]]</f>
        <v>0</v>
      </c>
      <c r="AG188" s="103">
        <f>Ruimtestaat[[#This Row],[kosten / jaar weekend]]+Ruimtestaat[[#This Row],[kosten / jaar werkdagen]]</f>
        <v>0</v>
      </c>
      <c r="AH188" s="103"/>
      <c r="AI188" s="110" t="str">
        <f>IF(Ruimtestaat[[#This Row],[Frequentie werkdagen]]="","",_xlfn.CONCAT(Ruimtestaat[[#This Row],[Ruimte code]],"-",Ruimtestaat[[#This Row],[Frequentie werkdagen]]," ",Ruimtestaat[[#This Row],[Vloer code]]))</f>
        <v>5-5w S</v>
      </c>
      <c r="AJ188" s="114" t="str">
        <f>_xlfn.IFNA(VLOOKUP($AI188,Programma!$F$3:$G$1101,2,0),"")</f>
        <v>_</v>
      </c>
      <c r="AK188" s="114" t="str">
        <f>_xlfn.IFNA(VLOOKUP($AI188,Programma!$F$3:$H$1101,3,0),"")</f>
        <v>_</v>
      </c>
      <c r="AL188" s="114" t="str">
        <f>_xlfn.IFNA(VLOOKUP($AI188,Programma!$F$3:$I$1101,4,0),"")</f>
        <v>_</v>
      </c>
      <c r="AM188" s="114" t="str">
        <f>_xlfn.IFNA(VLOOKUP($AI188,Programma!$F$3:$J$1101,5,0),"")</f>
        <v>4w</v>
      </c>
      <c r="AN188" s="114" t="str">
        <f>_xlfn.IFNA(VLOOKUP($AI188,Programma!$F$3:$K$1101,6,0),"")</f>
        <v>1w</v>
      </c>
      <c r="AO188" s="114" t="str">
        <f>_xlfn.IFNA(VLOOKUP($AI188,Programma!$F$3:$L$1101,7,0),"")</f>
        <v>_</v>
      </c>
      <c r="AP188" s="114" t="str">
        <f>_xlfn.IFNA(VLOOKUP($AI188,Programma!$F$3:$M$1101,8,0),"")</f>
        <v>_</v>
      </c>
      <c r="AQ188" s="114" t="str">
        <f>_xlfn.IFNA(VLOOKUP($AI188,Programma!$F$3:$N$1101,9,0),"")</f>
        <v>_</v>
      </c>
      <c r="AR188" s="114" t="str">
        <f>_xlfn.IFNA(VLOOKUP($AI188,Programma!$F$3:$O$1101,10,0),"")</f>
        <v>_</v>
      </c>
      <c r="AS188" s="114" t="str">
        <f>_xlfn.IFNA(VLOOKUP($AI188,Programma!$F$3:$P$1101,11,0),"")</f>
        <v>_</v>
      </c>
      <c r="AT188" s="114" t="str">
        <f>_xlfn.IFNA(VLOOKUP($AI188,Programma!$F$3:$Q$1101,12,0),"")</f>
        <v>_</v>
      </c>
      <c r="AU188" s="114" t="str">
        <f>_xlfn.IFNA(VLOOKUP($AI188,Programma!$F$3:$R$1101,13,0),"")</f>
        <v>_</v>
      </c>
      <c r="AV188" s="114" t="str">
        <f>_xlfn.IFNA(VLOOKUP($AI188,Programma!$F$3:$S$1101,14,0),"")</f>
        <v>_</v>
      </c>
      <c r="AW188" s="114" t="str">
        <f>_xlfn.IFNA(VLOOKUP($AI188,Programma!$F$3:$T$1101,15,0),"")</f>
        <v>_</v>
      </c>
      <c r="AX188" s="114" t="str">
        <f>_xlfn.IFNA(VLOOKUP($AI188,Programma!$F$3:$U$1101,16,0),"")</f>
        <v>_</v>
      </c>
      <c r="AY188" s="114" t="str">
        <f>_xlfn.IFNA(VLOOKUP($AI188,Programma!$F$3:$V$1101,17,0),"")</f>
        <v>_</v>
      </c>
      <c r="AZ188" s="114" t="str">
        <f>_xlfn.IFNA(VLOOKUP($AI188,Programma!$F$3:$W$1101,18,0),"")</f>
        <v>4w</v>
      </c>
      <c r="BA188" s="114" t="str">
        <f>_xlfn.IFNA(VLOOKUP($AI188,Programma!$F$3:$X$1101,19,0),"")</f>
        <v>1w</v>
      </c>
      <c r="BB188" s="114" t="str">
        <f>_xlfn.IFNA(VLOOKUP($AI188,Programma!$F$3:$Y$1101,20,0),"")</f>
        <v>_</v>
      </c>
      <c r="BC188" s="111"/>
      <c r="BD188" s="110" t="str">
        <f>IF(Ruimtestaat[[#This Row],[Frequentie weekend]]="","",_xlfn.CONCAT(Ruimtestaat[[#This Row],[Ruimte code]],"-",Ruimtestaat[[#This Row],[Frequentie weekend]]," ",Ruimtestaat[[#This Row],[Vloer code]]))</f>
        <v/>
      </c>
      <c r="BE188" s="114" t="str">
        <f>_xlfn.IFNA(VLOOKUP($BD188,Programma!$F$3:$G$1101,2,0),"")</f>
        <v/>
      </c>
      <c r="BF188" s="114" t="str">
        <f>_xlfn.IFNA(VLOOKUP($BD188,Programma!$F$3:$H$1101,3,0),"")</f>
        <v/>
      </c>
      <c r="BG188" s="114" t="str">
        <f>_xlfn.IFNA(VLOOKUP($BD188,Programma!$F$3:$I$1101,4,0),"")</f>
        <v/>
      </c>
      <c r="BH188" s="114" t="str">
        <f>_xlfn.IFNA(VLOOKUP($BD188,Programma!$F$3:$J$1101,5,0),"")</f>
        <v/>
      </c>
      <c r="BI188" s="114" t="str">
        <f>_xlfn.IFNA(VLOOKUP($BD188,Programma!$F$3:$K$1101,6,0),"")</f>
        <v/>
      </c>
      <c r="BJ188" s="114" t="str">
        <f>_xlfn.IFNA(VLOOKUP($BD188,Programma!$F$3:$L$1101,7,0),"")</f>
        <v/>
      </c>
      <c r="BK188" s="114" t="str">
        <f>_xlfn.IFNA(VLOOKUP($BD188,Programma!$F$3:$M$1101,8,0),"")</f>
        <v/>
      </c>
      <c r="BL188" s="114" t="str">
        <f>_xlfn.IFNA(VLOOKUP($BD188,Programma!$F$3:$N$1101,9,0),"")</f>
        <v/>
      </c>
      <c r="BM188" s="114" t="str">
        <f>_xlfn.IFNA(VLOOKUP($BD188,Programma!$F$3:$O$1101,10,0),"")</f>
        <v/>
      </c>
      <c r="BN188" s="114" t="str">
        <f>_xlfn.IFNA(VLOOKUP($BD188,Programma!$F$3:$P$1101,11,0),"")</f>
        <v/>
      </c>
      <c r="BO188" s="114" t="str">
        <f>_xlfn.IFNA(VLOOKUP($BD188,Programma!$F$3:$Q$1101,12,0),"")</f>
        <v/>
      </c>
      <c r="BP188" s="114" t="str">
        <f>_xlfn.IFNA(VLOOKUP($BD188,Programma!$F$3:$R$1101,13,0),"")</f>
        <v/>
      </c>
      <c r="BQ188" s="114" t="str">
        <f>_xlfn.IFNA(VLOOKUP($BD188,Programma!$F$3:$S$1101,14,0),"")</f>
        <v/>
      </c>
      <c r="BR188" s="114" t="str">
        <f>_xlfn.IFNA(VLOOKUP($BD188,Programma!$F$3:$T$1101,15,0),"")</f>
        <v/>
      </c>
      <c r="BS188" s="114" t="str">
        <f>_xlfn.IFNA(VLOOKUP($BD188,Programma!$F$3:$U$1101,16,0),"")</f>
        <v/>
      </c>
      <c r="BT188" s="114" t="str">
        <f>_xlfn.IFNA(VLOOKUP($BD188,Programma!$F$3:$V$1101,17,0),"")</f>
        <v/>
      </c>
      <c r="BU188" s="114" t="str">
        <f>_xlfn.IFNA(VLOOKUP($BD188,Programma!$F$3:$W$1101,18,0),"")</f>
        <v/>
      </c>
      <c r="BV188" s="114" t="str">
        <f>_xlfn.IFNA(VLOOKUP($BD188,Programma!$F$3:$X$1101,19,0),"")</f>
        <v/>
      </c>
      <c r="BW188" s="114" t="str">
        <f>_xlfn.IFNA(VLOOKUP($BD188,Programma!$F$3:$Y$1101,20,0),"")</f>
        <v/>
      </c>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c r="EA188" s="28"/>
      <c r="EB188" s="28"/>
      <c r="EC188" s="28"/>
      <c r="ED188" s="28"/>
      <c r="EE188" s="28"/>
      <c r="EF188" s="28"/>
      <c r="EG188" s="28"/>
      <c r="EH188" s="28"/>
      <c r="EI188" s="28"/>
      <c r="EJ188" s="28"/>
      <c r="EK188" s="28"/>
      <c r="EL188" s="28"/>
      <c r="EM188" s="28"/>
      <c r="EN188" s="28"/>
      <c r="EO188" s="28"/>
      <c r="EP188" s="28"/>
      <c r="EQ188" s="28"/>
      <c r="ER188" s="28"/>
      <c r="ES188" s="28"/>
      <c r="ET188" s="28"/>
      <c r="EU188" s="28"/>
      <c r="EV188" s="28"/>
      <c r="EW188" s="28"/>
      <c r="EX188" s="28"/>
      <c r="EY188" s="28"/>
      <c r="EZ188" s="28"/>
      <c r="FA188" s="28"/>
      <c r="FB188" s="28"/>
      <c r="FC188" s="28"/>
      <c r="FD188" s="28"/>
      <c r="FE188" s="28"/>
      <c r="FF188" s="28"/>
      <c r="FG188" s="28"/>
      <c r="FH188" s="28"/>
      <c r="FI188" s="28"/>
      <c r="FJ188" s="28"/>
      <c r="FK188" s="28"/>
      <c r="FL188" s="28"/>
      <c r="FM188" s="28"/>
      <c r="FN188" s="28"/>
      <c r="FO188" s="28"/>
      <c r="FP188" s="28"/>
      <c r="FQ188" s="28"/>
      <c r="FR188" s="28"/>
      <c r="FS188" s="28"/>
      <c r="FT188" s="28"/>
      <c r="FU188" s="28"/>
      <c r="FV188" s="28"/>
      <c r="FW188" s="28"/>
      <c r="FX188" s="28"/>
      <c r="FY188" s="28"/>
      <c r="FZ188" s="28"/>
      <c r="GA188" s="28"/>
      <c r="GB188" s="28"/>
      <c r="GC188" s="28"/>
      <c r="GD188" s="28"/>
      <c r="GE188" s="28"/>
      <c r="GF188" s="28"/>
      <c r="GG188" s="28"/>
      <c r="GH188" s="28"/>
      <c r="GI188" s="28"/>
      <c r="GJ188" s="28"/>
      <c r="GK188" s="28"/>
      <c r="GL188" s="28"/>
      <c r="GM188" s="28"/>
      <c r="GN188" s="28"/>
      <c r="GO188" s="28"/>
      <c r="GP188" s="28"/>
      <c r="GQ188" s="28"/>
      <c r="GR188" s="28"/>
      <c r="GS188" s="28"/>
      <c r="GT188" s="28"/>
      <c r="GU188" s="28"/>
      <c r="GV188" s="28"/>
      <c r="GW188" s="28"/>
      <c r="GX188" s="28"/>
      <c r="GY188" s="28"/>
      <c r="GZ188" s="28"/>
      <c r="HA188" s="28"/>
      <c r="HB188" s="28"/>
      <c r="HC188" s="28"/>
      <c r="HD188" s="28"/>
      <c r="HE188" s="28"/>
      <c r="HF188" s="28"/>
      <c r="HG188" s="28"/>
      <c r="HH188" s="28"/>
      <c r="HI188" s="28"/>
      <c r="HJ188" s="28"/>
      <c r="HK188" s="28"/>
      <c r="HL188" s="28"/>
    </row>
    <row r="189" spans="1:220" ht="15" customHeight="1">
      <c r="A189" s="31">
        <v>5</v>
      </c>
      <c r="B189" s="105" t="str">
        <f>VLOOKUP(Ruimtestaat[[#This Row],[Code]],Locaties[[Code]:[Locatie]],2,FALSE)</f>
        <v>IKC Remigius</v>
      </c>
      <c r="C189" s="105" t="str">
        <f>VLOOKUP(Ruimtestaat[[#This Row],[Code]],Locaties[[#All],[Code]:[Adres]],4,FALSE)</f>
        <v>Liemersplein 1</v>
      </c>
      <c r="D189" s="105" t="str">
        <f>VLOOKUP(Ruimtestaat[[#This Row],[Code]],Locaties[[#All],[Code]:[Postcode]],5,FALSE)</f>
        <v xml:space="preserve">6921 HN </v>
      </c>
      <c r="E189" s="105" t="str">
        <f>VLOOKUP(Ruimtestaat[[#This Row],[Code]],Locaties[#All],6,FALSE)</f>
        <v>Duiven</v>
      </c>
      <c r="F189" s="73"/>
      <c r="G189" s="73" t="s">
        <v>1645</v>
      </c>
      <c r="H189" s="31" t="s">
        <v>1684</v>
      </c>
      <c r="I189" s="113" t="s">
        <v>1817</v>
      </c>
      <c r="J189" s="31">
        <v>1</v>
      </c>
      <c r="K189" s="113" t="str">
        <f>VLOOKUP(Ruimtestaat[[#This Row],[Ruimte code]],Ruimtegroepen[[#All],[Code]:[Ruimte omschrijving]],2,FALSE)</f>
        <v>Magazijnen/bergingen</v>
      </c>
      <c r="L189" s="73" t="s">
        <v>102</v>
      </c>
      <c r="M189" s="273" t="s">
        <v>120</v>
      </c>
      <c r="N189" s="106">
        <v>1.2</v>
      </c>
      <c r="O189" s="112"/>
      <c r="P189" s="73"/>
      <c r="Q189" s="107" t="str">
        <f>VLOOKUP(Ruimtestaat[[#This Row],[Ruimte code]],Ruimtegroepen[],4,FALSE)</f>
        <v>Ve</v>
      </c>
      <c r="R189" s="73">
        <v>40</v>
      </c>
      <c r="S189" s="73" t="s">
        <v>16</v>
      </c>
      <c r="T189" s="73">
        <f>IF(R189&gt;0,IF(RIGHT(Ruimtestaat[[#This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9" s="73">
        <f>IF(T189&gt;0,VLOOKUP($J189,Ruimtegroepen[],3,FALSE)*VLOOKUP($L189,Vloersoorten[],3,FALSE)*VLOOKUP($S189,Frequenties[],3,FALSE)*VLOOKUP($A189,Locaties[],3,FALSE),0)</f>
        <v>0</v>
      </c>
      <c r="V189" s="73">
        <f>Ruimtestaat[[#This Row],[Uitvoeringen werkdagen]]*Ruimtestaat[[#This Row],[Oppervlak (netto)]]</f>
        <v>14.399999999999999</v>
      </c>
      <c r="W189" s="108">
        <f>IF(U189&gt;0,Ruimtestaat[[#This Row],[Prest. (m2 /jaar) werkdagen]]/Ruimtestaat[[#This Row],[Norm (m2/uur) werkdagen]],0)</f>
        <v>0</v>
      </c>
      <c r="X189" s="109">
        <f>Ruimtestaat[[#This Row],[uren / jaar werkdagen]]*Tariefsopbouw!$E$35</f>
        <v>0</v>
      </c>
      <c r="Y189" s="73"/>
      <c r="Z189" s="73">
        <f>IF(Ruimtestaat[[#This Row],[Frequentie weekend]]&gt;0,VALUE(LEFT(Y189,1))*R189,0)</f>
        <v>0</v>
      </c>
      <c r="AA189" s="72">
        <f>IF($Z189&gt;0,VLOOKUP($J189,Ruimtegroepen[],3,FALSE)*VLOOKUP($L189,Vloersoorten[],3,FALSE)*VLOOKUP($Y189,Frequenties[],3,FALSE)*VLOOKUP(Ruimtestaat[[#This Row],[Code]],Locaties[],3,FALSE),0)</f>
        <v>0</v>
      </c>
      <c r="AB189" s="72">
        <f>Ruimtestaat[[#This Row],[Uitvoeringen weekend]]*Ruimtestaat[[#This Row],[Oppervlak (netto)]]</f>
        <v>0</v>
      </c>
      <c r="AC189" s="72">
        <f>IF(AA189&gt;0,Ruimtestaat[[#This Row],[Prest. (m2 /jaar) weekend]]/Ruimtestaat[[#This Row],[Norm (m2/uur) weekend]],0)</f>
        <v>0</v>
      </c>
      <c r="AD189" s="109">
        <f>Ruimtestaat[[#This Row],[uren / jaar weekend]]*Tariefsopbouw!$D$40</f>
        <v>0</v>
      </c>
      <c r="AE189" s="108">
        <f>Ruimtestaat[[#This Row],[Prest. (m2 /jaar) weekend]]+Ruimtestaat[[#This Row],[Prest. (m2 /jaar) werkdagen]]</f>
        <v>14.399999999999999</v>
      </c>
      <c r="AF189" s="108">
        <f>Ruimtestaat[[#This Row],[uren / jaar weekend]]+Ruimtestaat[[#This Row],[uren / jaar werkdagen]]</f>
        <v>0</v>
      </c>
      <c r="AG189" s="103">
        <f>Ruimtestaat[[#This Row],[kosten / jaar weekend]]+Ruimtestaat[[#This Row],[kosten / jaar werkdagen]]</f>
        <v>0</v>
      </c>
      <c r="AH189" s="103"/>
      <c r="AI189" s="110" t="str">
        <f>IF(Ruimtestaat[[#This Row],[Frequentie werkdagen]]="","",_xlfn.CONCAT(Ruimtestaat[[#This Row],[Ruimte code]],"-",Ruimtestaat[[#This Row],[Frequentie werkdagen]]," ",Ruimtestaat[[#This Row],[Vloer code]]))</f>
        <v>1-1m P</v>
      </c>
      <c r="AJ189" s="114" t="str">
        <f>_xlfn.IFNA(VLOOKUP($AI189,Programma!$F$3:$G$1101,2,0),"")</f>
        <v>_</v>
      </c>
      <c r="AK189" s="114" t="str">
        <f>_xlfn.IFNA(VLOOKUP($AI189,Programma!$F$3:$H$1101,3,0),"")</f>
        <v>_</v>
      </c>
      <c r="AL189" s="114" t="str">
        <f>_xlfn.IFNA(VLOOKUP($AI189,Programma!$F$3:$I$1101,4,0),"")</f>
        <v>1m</v>
      </c>
      <c r="AM189" s="114" t="str">
        <f>_xlfn.IFNA(VLOOKUP($AI189,Programma!$F$3:$J$1101,5,0),"")</f>
        <v>1m</v>
      </c>
      <c r="AN189" s="114" t="str">
        <f>_xlfn.IFNA(VLOOKUP($AI189,Programma!$F$3:$K$1101,6,0),"")</f>
        <v>1j</v>
      </c>
      <c r="AO189" s="114" t="str">
        <f>_xlfn.IFNA(VLOOKUP($AI189,Programma!$F$3:$L$1101,7,0),"")</f>
        <v>_</v>
      </c>
      <c r="AP189" s="114" t="str">
        <f>_xlfn.IFNA(VLOOKUP($AI189,Programma!$F$3:$M$1101,8,0),"")</f>
        <v>_</v>
      </c>
      <c r="AQ189" s="114" t="str">
        <f>_xlfn.IFNA(VLOOKUP($AI189,Programma!$F$3:$N$1101,9,0),"")</f>
        <v>_</v>
      </c>
      <c r="AR189" s="114" t="str">
        <f>_xlfn.IFNA(VLOOKUP($AI189,Programma!$F$3:$O$1101,10,0),"")</f>
        <v>_</v>
      </c>
      <c r="AS189" s="114" t="str">
        <f>_xlfn.IFNA(VLOOKUP($AI189,Programma!$F$3:$P$1101,11,0),"")</f>
        <v>_</v>
      </c>
      <c r="AT189" s="114" t="str">
        <f>_xlfn.IFNA(VLOOKUP($AI189,Programma!$F$3:$Q$1101,12,0),"")</f>
        <v>_</v>
      </c>
      <c r="AU189" s="114" t="str">
        <f>_xlfn.IFNA(VLOOKUP($AI189,Programma!$F$3:$R$1101,13,0),"")</f>
        <v>_</v>
      </c>
      <c r="AV189" s="114" t="str">
        <f>_xlfn.IFNA(VLOOKUP($AI189,Programma!$F$3:$S$1101,14,0),"")</f>
        <v>1m</v>
      </c>
      <c r="AW189" s="114" t="str">
        <f>_xlfn.IFNA(VLOOKUP($AI189,Programma!$F$3:$T$1101,15,0),"")</f>
        <v>4j</v>
      </c>
      <c r="AX189" s="114" t="str">
        <f>_xlfn.IFNA(VLOOKUP($AI189,Programma!$F$3:$U$1101,16,0),"")</f>
        <v>4j</v>
      </c>
      <c r="AY189" s="114" t="str">
        <f>_xlfn.IFNA(VLOOKUP($AI189,Programma!$F$3:$V$1101,17,0),"")</f>
        <v>_</v>
      </c>
      <c r="AZ189" s="114" t="str">
        <f>_xlfn.IFNA(VLOOKUP($AI189,Programma!$F$3:$W$1101,18,0),"")</f>
        <v>_</v>
      </c>
      <c r="BA189" s="114" t="str">
        <f>_xlfn.IFNA(VLOOKUP($AI189,Programma!$F$3:$X$1101,19,0),"")</f>
        <v>_</v>
      </c>
      <c r="BB189" s="114" t="str">
        <f>_xlfn.IFNA(VLOOKUP($AI189,Programma!$F$3:$Y$1101,20,0),"")</f>
        <v>_</v>
      </c>
      <c r="BC189" s="111"/>
      <c r="BD189" s="110" t="str">
        <f>IF(Ruimtestaat[[#This Row],[Frequentie weekend]]="","",_xlfn.CONCAT(Ruimtestaat[[#This Row],[Ruimte code]],"-",Ruimtestaat[[#This Row],[Frequentie weekend]]," ",Ruimtestaat[[#This Row],[Vloer code]]))</f>
        <v/>
      </c>
      <c r="BE189" s="114" t="str">
        <f>_xlfn.IFNA(VLOOKUP($BD189,Programma!$F$3:$G$1101,2,0),"")</f>
        <v/>
      </c>
      <c r="BF189" s="114" t="str">
        <f>_xlfn.IFNA(VLOOKUP($BD189,Programma!$F$3:$H$1101,3,0),"")</f>
        <v/>
      </c>
      <c r="BG189" s="114" t="str">
        <f>_xlfn.IFNA(VLOOKUP($BD189,Programma!$F$3:$I$1101,4,0),"")</f>
        <v/>
      </c>
      <c r="BH189" s="114" t="str">
        <f>_xlfn.IFNA(VLOOKUP($BD189,Programma!$F$3:$J$1101,5,0),"")</f>
        <v/>
      </c>
      <c r="BI189" s="114" t="str">
        <f>_xlfn.IFNA(VLOOKUP($BD189,Programma!$F$3:$K$1101,6,0),"")</f>
        <v/>
      </c>
      <c r="BJ189" s="114" t="str">
        <f>_xlfn.IFNA(VLOOKUP($BD189,Programma!$F$3:$L$1101,7,0),"")</f>
        <v/>
      </c>
      <c r="BK189" s="114" t="str">
        <f>_xlfn.IFNA(VLOOKUP($BD189,Programma!$F$3:$M$1101,8,0),"")</f>
        <v/>
      </c>
      <c r="BL189" s="114" t="str">
        <f>_xlfn.IFNA(VLOOKUP($BD189,Programma!$F$3:$N$1101,9,0),"")</f>
        <v/>
      </c>
      <c r="BM189" s="114" t="str">
        <f>_xlfn.IFNA(VLOOKUP($BD189,Programma!$F$3:$O$1101,10,0),"")</f>
        <v/>
      </c>
      <c r="BN189" s="114" t="str">
        <f>_xlfn.IFNA(VLOOKUP($BD189,Programma!$F$3:$P$1101,11,0),"")</f>
        <v/>
      </c>
      <c r="BO189" s="114" t="str">
        <f>_xlfn.IFNA(VLOOKUP($BD189,Programma!$F$3:$Q$1101,12,0),"")</f>
        <v/>
      </c>
      <c r="BP189" s="114" t="str">
        <f>_xlfn.IFNA(VLOOKUP($BD189,Programma!$F$3:$R$1101,13,0),"")</f>
        <v/>
      </c>
      <c r="BQ189" s="114" t="str">
        <f>_xlfn.IFNA(VLOOKUP($BD189,Programma!$F$3:$S$1101,14,0),"")</f>
        <v/>
      </c>
      <c r="BR189" s="114" t="str">
        <f>_xlfn.IFNA(VLOOKUP($BD189,Programma!$F$3:$T$1101,15,0),"")</f>
        <v/>
      </c>
      <c r="BS189" s="114" t="str">
        <f>_xlfn.IFNA(VLOOKUP($BD189,Programma!$F$3:$U$1101,16,0),"")</f>
        <v/>
      </c>
      <c r="BT189" s="114" t="str">
        <f>_xlfn.IFNA(VLOOKUP($BD189,Programma!$F$3:$V$1101,17,0),"")</f>
        <v/>
      </c>
      <c r="BU189" s="114" t="str">
        <f>_xlfn.IFNA(VLOOKUP($BD189,Programma!$F$3:$W$1101,18,0),"")</f>
        <v/>
      </c>
      <c r="BV189" s="114" t="str">
        <f>_xlfn.IFNA(VLOOKUP($BD189,Programma!$F$3:$X$1101,19,0),"")</f>
        <v/>
      </c>
      <c r="BW189" s="114" t="str">
        <f>_xlfn.IFNA(VLOOKUP($BD189,Programma!$F$3:$Y$1101,20,0),"")</f>
        <v/>
      </c>
      <c r="BX189" s="28"/>
      <c r="BY189" s="28"/>
      <c r="BZ189" s="28"/>
      <c r="CA189" s="28"/>
      <c r="CB189" s="28"/>
      <c r="CC189" s="28"/>
      <c r="CD189" s="28"/>
      <c r="CE189" s="28"/>
      <c r="CF189" s="28"/>
      <c r="CG189" s="28"/>
      <c r="CH189" s="28"/>
      <c r="CI189" s="28"/>
      <c r="CJ189" s="28"/>
      <c r="CK189" s="28"/>
      <c r="CL189" s="28"/>
      <c r="CM189" s="28"/>
      <c r="CN189" s="28"/>
      <c r="CO189" s="28"/>
      <c r="CP189" s="28"/>
      <c r="CQ189" s="28"/>
      <c r="CR189" s="28"/>
      <c r="CS189" s="28"/>
      <c r="CT189" s="28"/>
      <c r="CU189" s="28"/>
      <c r="CV189" s="28"/>
      <c r="CW189" s="28"/>
      <c r="CX189" s="28"/>
      <c r="CY189" s="28"/>
      <c r="CZ189" s="28"/>
      <c r="DA189" s="28"/>
      <c r="DB189" s="28"/>
      <c r="DC189" s="28"/>
      <c r="DD189" s="28"/>
      <c r="DE189" s="28"/>
      <c r="DF189" s="28"/>
      <c r="DG189" s="28"/>
      <c r="DH189" s="28"/>
      <c r="DI189" s="28"/>
      <c r="DJ189" s="28"/>
      <c r="DK189" s="28"/>
      <c r="DL189" s="28"/>
      <c r="DM189" s="28"/>
      <c r="DN189" s="28"/>
      <c r="DO189" s="28"/>
      <c r="DP189" s="28"/>
      <c r="DQ189" s="28"/>
      <c r="DR189" s="28"/>
      <c r="DS189" s="28"/>
      <c r="DT189" s="28"/>
      <c r="DU189" s="28"/>
      <c r="DV189" s="28"/>
      <c r="DW189" s="28"/>
      <c r="DX189" s="28"/>
      <c r="DY189" s="28"/>
      <c r="DZ189" s="28"/>
      <c r="EA189" s="28"/>
      <c r="EB189" s="28"/>
      <c r="EC189" s="28"/>
      <c r="ED189" s="28"/>
      <c r="EE189" s="28"/>
      <c r="EF189" s="28"/>
      <c r="EG189" s="28"/>
      <c r="EH189" s="28"/>
      <c r="EI189" s="28"/>
      <c r="EJ189" s="28"/>
      <c r="EK189" s="28"/>
      <c r="EL189" s="28"/>
      <c r="EM189" s="28"/>
      <c r="EN189" s="28"/>
      <c r="EO189" s="28"/>
      <c r="EP189" s="28"/>
      <c r="EQ189" s="28"/>
      <c r="ER189" s="28"/>
      <c r="ES189" s="28"/>
      <c r="ET189" s="28"/>
      <c r="EU189" s="28"/>
      <c r="EV189" s="28"/>
      <c r="EW189" s="28"/>
      <c r="EX189" s="28"/>
      <c r="EY189" s="28"/>
      <c r="EZ189" s="28"/>
      <c r="FA189" s="28"/>
      <c r="FB189" s="28"/>
      <c r="FC189" s="28"/>
      <c r="FD189" s="28"/>
      <c r="FE189" s="28"/>
      <c r="FF189" s="28"/>
      <c r="FG189" s="28"/>
      <c r="FH189" s="28"/>
      <c r="FI189" s="28"/>
      <c r="FJ189" s="28"/>
      <c r="FK189" s="28"/>
      <c r="FL189" s="28"/>
      <c r="FM189" s="28"/>
      <c r="FN189" s="28"/>
      <c r="FO189" s="28"/>
      <c r="FP189" s="28"/>
      <c r="FQ189" s="28"/>
      <c r="FR189" s="28"/>
      <c r="FS189" s="28"/>
      <c r="FT189" s="28"/>
      <c r="FU189" s="28"/>
      <c r="FV189" s="28"/>
      <c r="FW189" s="28"/>
      <c r="FX189" s="28"/>
      <c r="FY189" s="28"/>
      <c r="FZ189" s="28"/>
      <c r="GA189" s="28"/>
      <c r="GB189" s="28"/>
      <c r="GC189" s="28"/>
      <c r="GD189" s="28"/>
      <c r="GE189" s="28"/>
      <c r="GF189" s="28"/>
      <c r="GG189" s="28"/>
      <c r="GH189" s="28"/>
      <c r="GI189" s="28"/>
      <c r="GJ189" s="28"/>
      <c r="GK189" s="28"/>
      <c r="GL189" s="28"/>
      <c r="GM189" s="28"/>
      <c r="GN189" s="28"/>
      <c r="GO189" s="28"/>
      <c r="GP189" s="28"/>
      <c r="GQ189" s="28"/>
      <c r="GR189" s="28"/>
      <c r="GS189" s="28"/>
      <c r="GT189" s="28"/>
      <c r="GU189" s="28"/>
      <c r="GV189" s="28"/>
      <c r="GW189" s="28"/>
      <c r="GX189" s="28"/>
      <c r="GY189" s="28"/>
      <c r="GZ189" s="28"/>
      <c r="HA189" s="28"/>
      <c r="HB189" s="28"/>
      <c r="HC189" s="28"/>
      <c r="HD189" s="28"/>
      <c r="HE189" s="28"/>
      <c r="HF189" s="28"/>
      <c r="HG189" s="28"/>
      <c r="HH189" s="28"/>
      <c r="HI189" s="28"/>
      <c r="HJ189" s="28"/>
      <c r="HK189" s="28"/>
      <c r="HL189" s="28"/>
    </row>
    <row r="190" spans="1:220" ht="15" customHeight="1">
      <c r="A190" s="31">
        <v>5</v>
      </c>
      <c r="B190" s="105" t="str">
        <f>VLOOKUP(Ruimtestaat[[#This Row],[Code]],Locaties[[Code]:[Locatie]],2,FALSE)</f>
        <v>IKC Remigius</v>
      </c>
      <c r="C190" s="105" t="str">
        <f>VLOOKUP(Ruimtestaat[[#This Row],[Code]],Locaties[[#All],[Code]:[Adres]],4,FALSE)</f>
        <v>Liemersplein 1</v>
      </c>
      <c r="D190" s="105" t="str">
        <f>VLOOKUP(Ruimtestaat[[#This Row],[Code]],Locaties[[#All],[Code]:[Postcode]],5,FALSE)</f>
        <v xml:space="preserve">6921 HN </v>
      </c>
      <c r="E190" s="105" t="str">
        <f>VLOOKUP(Ruimtestaat[[#This Row],[Code]],Locaties[#All],6,FALSE)</f>
        <v>Duiven</v>
      </c>
      <c r="F190" s="73"/>
      <c r="G190" s="73" t="s">
        <v>1645</v>
      </c>
      <c r="H190" s="31" t="s">
        <v>1685</v>
      </c>
      <c r="I190" s="113" t="s">
        <v>1816</v>
      </c>
      <c r="J190" s="31">
        <v>5</v>
      </c>
      <c r="K190" s="113" t="str">
        <f>VLOOKUP(Ruimtestaat[[#This Row],[Ruimte code]],Ruimtegroepen[[#All],[Code]:[Ruimte omschrijving]],2,FALSE)</f>
        <v>Sanitair</v>
      </c>
      <c r="L190" s="73" t="s">
        <v>101</v>
      </c>
      <c r="M190" s="273" t="s">
        <v>1893</v>
      </c>
      <c r="N190" s="106">
        <v>5.3</v>
      </c>
      <c r="O190" s="112"/>
      <c r="P190" s="112"/>
      <c r="Q190" s="107" t="str">
        <f>VLOOKUP(Ruimtestaat[[#This Row],[Ruimte code]],Ruimtegroepen[],4,FALSE)</f>
        <v>Sa</v>
      </c>
      <c r="R190" s="73">
        <v>40</v>
      </c>
      <c r="S190" s="73" t="s">
        <v>2</v>
      </c>
      <c r="T190" s="73">
        <f>IF(R190&gt;0,IF(RIGHT(Ruimtestaat[[#This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0" s="73">
        <f>IF(T190&gt;0,VLOOKUP($J190,Ruimtegroepen[],3,FALSE)*VLOOKUP($L190,Vloersoorten[],3,FALSE)*VLOOKUP($S190,Frequenties[],3,FALSE)*VLOOKUP($A190,Locaties[],3,FALSE),0)</f>
        <v>0</v>
      </c>
      <c r="V190" s="73">
        <f>Ruimtestaat[[#This Row],[Uitvoeringen werkdagen]]*Ruimtestaat[[#This Row],[Oppervlak (netto)]]</f>
        <v>1060</v>
      </c>
      <c r="W190" s="108">
        <f>IF(U190&gt;0,Ruimtestaat[[#This Row],[Prest. (m2 /jaar) werkdagen]]/Ruimtestaat[[#This Row],[Norm (m2/uur) werkdagen]],0)</f>
        <v>0</v>
      </c>
      <c r="X190" s="109">
        <f>Ruimtestaat[[#This Row],[uren / jaar werkdagen]]*Tariefsopbouw!$E$35</f>
        <v>0</v>
      </c>
      <c r="Y190" s="73"/>
      <c r="Z190" s="73">
        <f>IF(Ruimtestaat[[#This Row],[Frequentie weekend]]&gt;0,VALUE(LEFT(Y190,1))*R190,0)</f>
        <v>0</v>
      </c>
      <c r="AA190" s="72">
        <f>IF($Z190&gt;0,VLOOKUP($J190,Ruimtegroepen[],3,FALSE)*VLOOKUP($L190,Vloersoorten[],3,FALSE)*VLOOKUP($Y190,Frequenties[],3,FALSE)*VLOOKUP(Ruimtestaat[[#This Row],[Code]],Locaties[],3,FALSE),0)</f>
        <v>0</v>
      </c>
      <c r="AB190" s="72">
        <f>Ruimtestaat[[#This Row],[Uitvoeringen weekend]]*Ruimtestaat[[#This Row],[Oppervlak (netto)]]</f>
        <v>0</v>
      </c>
      <c r="AC190" s="72">
        <f>IF(AA190&gt;0,Ruimtestaat[[#This Row],[Prest. (m2 /jaar) weekend]]/Ruimtestaat[[#This Row],[Norm (m2/uur) weekend]],0)</f>
        <v>0</v>
      </c>
      <c r="AD190" s="109">
        <f>Ruimtestaat[[#This Row],[uren / jaar weekend]]*Tariefsopbouw!$D$40</f>
        <v>0</v>
      </c>
      <c r="AE190" s="108">
        <f>Ruimtestaat[[#This Row],[Prest. (m2 /jaar) weekend]]+Ruimtestaat[[#This Row],[Prest. (m2 /jaar) werkdagen]]</f>
        <v>1060</v>
      </c>
      <c r="AF190" s="108">
        <f>Ruimtestaat[[#This Row],[uren / jaar weekend]]+Ruimtestaat[[#This Row],[uren / jaar werkdagen]]</f>
        <v>0</v>
      </c>
      <c r="AG190" s="103">
        <f>Ruimtestaat[[#This Row],[kosten / jaar weekend]]+Ruimtestaat[[#This Row],[kosten / jaar werkdagen]]</f>
        <v>0</v>
      </c>
      <c r="AH190" s="103"/>
      <c r="AI190" s="110" t="str">
        <f>IF(Ruimtestaat[[#This Row],[Frequentie werkdagen]]="","",_xlfn.CONCAT(Ruimtestaat[[#This Row],[Ruimte code]],"-",Ruimtestaat[[#This Row],[Frequentie werkdagen]]," ",Ruimtestaat[[#This Row],[Vloer code]]))</f>
        <v>5-5w S</v>
      </c>
      <c r="AJ190" s="114" t="str">
        <f>_xlfn.IFNA(VLOOKUP($AI190,Programma!$F$3:$G$1101,2,0),"")</f>
        <v>_</v>
      </c>
      <c r="AK190" s="114" t="str">
        <f>_xlfn.IFNA(VLOOKUP($AI190,Programma!$F$3:$H$1101,3,0),"")</f>
        <v>_</v>
      </c>
      <c r="AL190" s="114" t="str">
        <f>_xlfn.IFNA(VLOOKUP($AI190,Programma!$F$3:$I$1101,4,0),"")</f>
        <v>_</v>
      </c>
      <c r="AM190" s="114" t="str">
        <f>_xlfn.IFNA(VLOOKUP($AI190,Programma!$F$3:$J$1101,5,0),"")</f>
        <v>4w</v>
      </c>
      <c r="AN190" s="114" t="str">
        <f>_xlfn.IFNA(VLOOKUP($AI190,Programma!$F$3:$K$1101,6,0),"")</f>
        <v>1w</v>
      </c>
      <c r="AO190" s="114" t="str">
        <f>_xlfn.IFNA(VLOOKUP($AI190,Programma!$F$3:$L$1101,7,0),"")</f>
        <v>_</v>
      </c>
      <c r="AP190" s="114" t="str">
        <f>_xlfn.IFNA(VLOOKUP($AI190,Programma!$F$3:$M$1101,8,0),"")</f>
        <v>_</v>
      </c>
      <c r="AQ190" s="114" t="str">
        <f>_xlfn.IFNA(VLOOKUP($AI190,Programma!$F$3:$N$1101,9,0),"")</f>
        <v>_</v>
      </c>
      <c r="AR190" s="114" t="str">
        <f>_xlfn.IFNA(VLOOKUP($AI190,Programma!$F$3:$O$1101,10,0),"")</f>
        <v>_</v>
      </c>
      <c r="AS190" s="114" t="str">
        <f>_xlfn.IFNA(VLOOKUP($AI190,Programma!$F$3:$P$1101,11,0),"")</f>
        <v>_</v>
      </c>
      <c r="AT190" s="114" t="str">
        <f>_xlfn.IFNA(VLOOKUP($AI190,Programma!$F$3:$Q$1101,12,0),"")</f>
        <v>_</v>
      </c>
      <c r="AU190" s="114" t="str">
        <f>_xlfn.IFNA(VLOOKUP($AI190,Programma!$F$3:$R$1101,13,0),"")</f>
        <v>_</v>
      </c>
      <c r="AV190" s="114" t="str">
        <f>_xlfn.IFNA(VLOOKUP($AI190,Programma!$F$3:$S$1101,14,0),"")</f>
        <v>_</v>
      </c>
      <c r="AW190" s="114" t="str">
        <f>_xlfn.IFNA(VLOOKUP($AI190,Programma!$F$3:$T$1101,15,0),"")</f>
        <v>_</v>
      </c>
      <c r="AX190" s="114" t="str">
        <f>_xlfn.IFNA(VLOOKUP($AI190,Programma!$F$3:$U$1101,16,0),"")</f>
        <v>_</v>
      </c>
      <c r="AY190" s="114" t="str">
        <f>_xlfn.IFNA(VLOOKUP($AI190,Programma!$F$3:$V$1101,17,0),"")</f>
        <v>_</v>
      </c>
      <c r="AZ190" s="114" t="str">
        <f>_xlfn.IFNA(VLOOKUP($AI190,Programma!$F$3:$W$1101,18,0),"")</f>
        <v>4w</v>
      </c>
      <c r="BA190" s="114" t="str">
        <f>_xlfn.IFNA(VLOOKUP($AI190,Programma!$F$3:$X$1101,19,0),"")</f>
        <v>1w</v>
      </c>
      <c r="BB190" s="114" t="str">
        <f>_xlfn.IFNA(VLOOKUP($AI190,Programma!$F$3:$Y$1101,20,0),"")</f>
        <v>_</v>
      </c>
      <c r="BC190" s="111"/>
      <c r="BD190" s="110" t="str">
        <f>IF(Ruimtestaat[[#This Row],[Frequentie weekend]]="","",_xlfn.CONCAT(Ruimtestaat[[#This Row],[Ruimte code]],"-",Ruimtestaat[[#This Row],[Frequentie weekend]]," ",Ruimtestaat[[#This Row],[Vloer code]]))</f>
        <v/>
      </c>
      <c r="BE190" s="114" t="str">
        <f>_xlfn.IFNA(VLOOKUP($BD190,Programma!$F$3:$G$1101,2,0),"")</f>
        <v/>
      </c>
      <c r="BF190" s="114" t="str">
        <f>_xlfn.IFNA(VLOOKUP($BD190,Programma!$F$3:$H$1101,3,0),"")</f>
        <v/>
      </c>
      <c r="BG190" s="114" t="str">
        <f>_xlfn.IFNA(VLOOKUP($BD190,Programma!$F$3:$I$1101,4,0),"")</f>
        <v/>
      </c>
      <c r="BH190" s="114" t="str">
        <f>_xlfn.IFNA(VLOOKUP($BD190,Programma!$F$3:$J$1101,5,0),"")</f>
        <v/>
      </c>
      <c r="BI190" s="114" t="str">
        <f>_xlfn.IFNA(VLOOKUP($BD190,Programma!$F$3:$K$1101,6,0),"")</f>
        <v/>
      </c>
      <c r="BJ190" s="114" t="str">
        <f>_xlfn.IFNA(VLOOKUP($BD190,Programma!$F$3:$L$1101,7,0),"")</f>
        <v/>
      </c>
      <c r="BK190" s="114" t="str">
        <f>_xlfn.IFNA(VLOOKUP($BD190,Programma!$F$3:$M$1101,8,0),"")</f>
        <v/>
      </c>
      <c r="BL190" s="114" t="str">
        <f>_xlfn.IFNA(VLOOKUP($BD190,Programma!$F$3:$N$1101,9,0),"")</f>
        <v/>
      </c>
      <c r="BM190" s="114" t="str">
        <f>_xlfn.IFNA(VLOOKUP($BD190,Programma!$F$3:$O$1101,10,0),"")</f>
        <v/>
      </c>
      <c r="BN190" s="114" t="str">
        <f>_xlfn.IFNA(VLOOKUP($BD190,Programma!$F$3:$P$1101,11,0),"")</f>
        <v/>
      </c>
      <c r="BO190" s="114" t="str">
        <f>_xlfn.IFNA(VLOOKUP($BD190,Programma!$F$3:$Q$1101,12,0),"")</f>
        <v/>
      </c>
      <c r="BP190" s="114" t="str">
        <f>_xlfn.IFNA(VLOOKUP($BD190,Programma!$F$3:$R$1101,13,0),"")</f>
        <v/>
      </c>
      <c r="BQ190" s="114" t="str">
        <f>_xlfn.IFNA(VLOOKUP($BD190,Programma!$F$3:$S$1101,14,0),"")</f>
        <v/>
      </c>
      <c r="BR190" s="114" t="str">
        <f>_xlfn.IFNA(VLOOKUP($BD190,Programma!$F$3:$T$1101,15,0),"")</f>
        <v/>
      </c>
      <c r="BS190" s="114" t="str">
        <f>_xlfn.IFNA(VLOOKUP($BD190,Programma!$F$3:$U$1101,16,0),"")</f>
        <v/>
      </c>
      <c r="BT190" s="114" t="str">
        <f>_xlfn.IFNA(VLOOKUP($BD190,Programma!$F$3:$V$1101,17,0),"")</f>
        <v/>
      </c>
      <c r="BU190" s="114" t="str">
        <f>_xlfn.IFNA(VLOOKUP($BD190,Programma!$F$3:$W$1101,18,0),"")</f>
        <v/>
      </c>
      <c r="BV190" s="114" t="str">
        <f>_xlfn.IFNA(VLOOKUP($BD190,Programma!$F$3:$X$1101,19,0),"")</f>
        <v/>
      </c>
      <c r="BW190" s="114" t="str">
        <f>_xlfn.IFNA(VLOOKUP($BD190,Programma!$F$3:$Y$1101,20,0),"")</f>
        <v/>
      </c>
      <c r="BX190" s="28"/>
      <c r="BY190" s="28"/>
      <c r="BZ190" s="28"/>
      <c r="CA190" s="28"/>
      <c r="CB190" s="28"/>
      <c r="CC190" s="28"/>
      <c r="CD190" s="28"/>
      <c r="CE190" s="28"/>
      <c r="CF190" s="28"/>
      <c r="CG190" s="28"/>
      <c r="CH190" s="28"/>
      <c r="CI190" s="28"/>
      <c r="CJ190" s="28"/>
      <c r="CK190" s="28"/>
      <c r="CL190" s="28"/>
      <c r="CM190" s="28"/>
      <c r="CN190" s="28"/>
      <c r="CO190" s="28"/>
      <c r="CP190" s="28"/>
      <c r="CQ190" s="28"/>
      <c r="CR190" s="28"/>
      <c r="CS190" s="28"/>
      <c r="CT190" s="28"/>
      <c r="CU190" s="28"/>
      <c r="CV190" s="28"/>
      <c r="CW190" s="28"/>
      <c r="CX190" s="28"/>
      <c r="CY190" s="28"/>
      <c r="CZ190" s="28"/>
      <c r="DA190" s="28"/>
      <c r="DB190" s="28"/>
      <c r="DC190" s="28"/>
      <c r="DD190" s="28"/>
      <c r="DE190" s="28"/>
      <c r="DF190" s="28"/>
      <c r="DG190" s="28"/>
      <c r="DH190" s="28"/>
      <c r="DI190" s="28"/>
      <c r="DJ190" s="28"/>
      <c r="DK190" s="28"/>
      <c r="DL190" s="28"/>
      <c r="DM190" s="28"/>
      <c r="DN190" s="28"/>
      <c r="DO190" s="28"/>
      <c r="DP190" s="28"/>
      <c r="DQ190" s="28"/>
      <c r="DR190" s="28"/>
      <c r="DS190" s="28"/>
      <c r="DT190" s="28"/>
      <c r="DU190" s="28"/>
      <c r="DV190" s="28"/>
      <c r="DW190" s="28"/>
      <c r="DX190" s="28"/>
      <c r="DY190" s="28"/>
      <c r="DZ190" s="28"/>
      <c r="EA190" s="28"/>
      <c r="EB190" s="28"/>
      <c r="EC190" s="28"/>
      <c r="ED190" s="28"/>
      <c r="EE190" s="28"/>
      <c r="EF190" s="28"/>
      <c r="EG190" s="28"/>
      <c r="EH190" s="28"/>
      <c r="EI190" s="28"/>
      <c r="EJ190" s="28"/>
      <c r="EK190" s="28"/>
      <c r="EL190" s="28"/>
      <c r="EM190" s="28"/>
      <c r="EN190" s="28"/>
      <c r="EO190" s="28"/>
      <c r="EP190" s="28"/>
      <c r="EQ190" s="28"/>
      <c r="ER190" s="28"/>
      <c r="ES190" s="28"/>
      <c r="ET190" s="28"/>
      <c r="EU190" s="28"/>
      <c r="EV190" s="28"/>
      <c r="EW190" s="28"/>
      <c r="EX190" s="28"/>
      <c r="EY190" s="28"/>
      <c r="EZ190" s="28"/>
      <c r="FA190" s="28"/>
      <c r="FB190" s="28"/>
      <c r="FC190" s="28"/>
      <c r="FD190" s="28"/>
      <c r="FE190" s="28"/>
      <c r="FF190" s="28"/>
      <c r="FG190" s="28"/>
      <c r="FH190" s="28"/>
      <c r="FI190" s="28"/>
      <c r="FJ190" s="28"/>
      <c r="FK190" s="28"/>
      <c r="FL190" s="28"/>
      <c r="FM190" s="28"/>
      <c r="FN190" s="28"/>
      <c r="FO190" s="28"/>
      <c r="FP190" s="28"/>
      <c r="FQ190" s="28"/>
      <c r="FR190" s="28"/>
      <c r="FS190" s="28"/>
      <c r="FT190" s="28"/>
      <c r="FU190" s="28"/>
      <c r="FV190" s="28"/>
      <c r="FW190" s="28"/>
      <c r="FX190" s="28"/>
      <c r="FY190" s="28"/>
      <c r="FZ190" s="28"/>
      <c r="GA190" s="28"/>
      <c r="GB190" s="28"/>
      <c r="GC190" s="28"/>
      <c r="GD190" s="28"/>
      <c r="GE190" s="28"/>
      <c r="GF190" s="28"/>
      <c r="GG190" s="28"/>
      <c r="GH190" s="28"/>
      <c r="GI190" s="28"/>
      <c r="GJ190" s="28"/>
      <c r="GK190" s="28"/>
      <c r="GL190" s="28"/>
      <c r="GM190" s="28"/>
      <c r="GN190" s="28"/>
      <c r="GO190" s="28"/>
      <c r="GP190" s="28"/>
      <c r="GQ190" s="28"/>
      <c r="GR190" s="28"/>
      <c r="GS190" s="28"/>
      <c r="GT190" s="28"/>
      <c r="GU190" s="28"/>
      <c r="GV190" s="28"/>
      <c r="GW190" s="28"/>
      <c r="GX190" s="28"/>
      <c r="GY190" s="28"/>
      <c r="GZ190" s="28"/>
      <c r="HA190" s="28"/>
      <c r="HB190" s="28"/>
      <c r="HC190" s="28"/>
      <c r="HD190" s="28"/>
      <c r="HE190" s="28"/>
      <c r="HF190" s="28"/>
      <c r="HG190" s="28"/>
      <c r="HH190" s="28"/>
      <c r="HI190" s="28"/>
      <c r="HJ190" s="28"/>
      <c r="HK190" s="28"/>
      <c r="HL190" s="28"/>
    </row>
    <row r="191" spans="1:220" ht="15" customHeight="1">
      <c r="A191" s="31">
        <v>5</v>
      </c>
      <c r="B191" s="105" t="str">
        <f>VLOOKUP(Ruimtestaat[[#This Row],[Code]],Locaties[[Code]:[Locatie]],2,FALSE)</f>
        <v>IKC Remigius</v>
      </c>
      <c r="C191" s="105" t="str">
        <f>VLOOKUP(Ruimtestaat[[#This Row],[Code]],Locaties[[#All],[Code]:[Adres]],4,FALSE)</f>
        <v>Liemersplein 1</v>
      </c>
      <c r="D191" s="105" t="str">
        <f>VLOOKUP(Ruimtestaat[[#This Row],[Code]],Locaties[[#All],[Code]:[Postcode]],5,FALSE)</f>
        <v xml:space="preserve">6921 HN </v>
      </c>
      <c r="E191" s="105" t="str">
        <f>VLOOKUP(Ruimtestaat[[#This Row],[Code]],Locaties[#All],6,FALSE)</f>
        <v>Duiven</v>
      </c>
      <c r="F191" s="73"/>
      <c r="G191" s="73" t="s">
        <v>1645</v>
      </c>
      <c r="H191" s="31" t="s">
        <v>1686</v>
      </c>
      <c r="I191" s="113" t="s">
        <v>1817</v>
      </c>
      <c r="J191" s="31">
        <v>1</v>
      </c>
      <c r="K191" s="113" t="str">
        <f>VLOOKUP(Ruimtestaat[[#This Row],[Ruimte code]],Ruimtegroepen[[#All],[Code]:[Ruimte omschrijving]],2,FALSE)</f>
        <v>Magazijnen/bergingen</v>
      </c>
      <c r="L191" s="73" t="s">
        <v>102</v>
      </c>
      <c r="M191" s="273" t="s">
        <v>120</v>
      </c>
      <c r="N191" s="106">
        <v>1.2</v>
      </c>
      <c r="O191" s="112"/>
      <c r="P191" s="112"/>
      <c r="Q191" s="107" t="str">
        <f>VLOOKUP(Ruimtestaat[[#This Row],[Ruimte code]],Ruimtegroepen[],4,FALSE)</f>
        <v>Ve</v>
      </c>
      <c r="R191" s="73">
        <v>40</v>
      </c>
      <c r="S191" s="73" t="s">
        <v>16</v>
      </c>
      <c r="T191" s="73">
        <f>IF(R191&gt;0,IF(RIGHT(Ruimtestaat[[#This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91" s="73">
        <f>IF(T191&gt;0,VLOOKUP($J191,Ruimtegroepen[],3,FALSE)*VLOOKUP($L191,Vloersoorten[],3,FALSE)*VLOOKUP($S191,Frequenties[],3,FALSE)*VLOOKUP($A191,Locaties[],3,FALSE),0)</f>
        <v>0</v>
      </c>
      <c r="V191" s="73">
        <f>Ruimtestaat[[#This Row],[Uitvoeringen werkdagen]]*Ruimtestaat[[#This Row],[Oppervlak (netto)]]</f>
        <v>14.399999999999999</v>
      </c>
      <c r="W191" s="108">
        <f>IF(U191&gt;0,Ruimtestaat[[#This Row],[Prest. (m2 /jaar) werkdagen]]/Ruimtestaat[[#This Row],[Norm (m2/uur) werkdagen]],0)</f>
        <v>0</v>
      </c>
      <c r="X191" s="109">
        <f>Ruimtestaat[[#This Row],[uren / jaar werkdagen]]*Tariefsopbouw!$E$35</f>
        <v>0</v>
      </c>
      <c r="Y191" s="73"/>
      <c r="Z191" s="73">
        <f>IF(Ruimtestaat[[#This Row],[Frequentie weekend]]&gt;0,VALUE(LEFT(Y191,1))*R191,0)</f>
        <v>0</v>
      </c>
      <c r="AA191" s="72">
        <f>IF($Z191&gt;0,VLOOKUP($J191,Ruimtegroepen[],3,FALSE)*VLOOKUP($L191,Vloersoorten[],3,FALSE)*VLOOKUP($Y191,Frequenties[],3,FALSE)*VLOOKUP(Ruimtestaat[[#This Row],[Code]],Locaties[],3,FALSE),0)</f>
        <v>0</v>
      </c>
      <c r="AB191" s="72">
        <f>Ruimtestaat[[#This Row],[Uitvoeringen weekend]]*Ruimtestaat[[#This Row],[Oppervlak (netto)]]</f>
        <v>0</v>
      </c>
      <c r="AC191" s="72">
        <f>IF(AA191&gt;0,Ruimtestaat[[#This Row],[Prest. (m2 /jaar) weekend]]/Ruimtestaat[[#This Row],[Norm (m2/uur) weekend]],0)</f>
        <v>0</v>
      </c>
      <c r="AD191" s="109">
        <f>Ruimtestaat[[#This Row],[uren / jaar weekend]]*Tariefsopbouw!$D$40</f>
        <v>0</v>
      </c>
      <c r="AE191" s="108">
        <f>Ruimtestaat[[#This Row],[Prest. (m2 /jaar) weekend]]+Ruimtestaat[[#This Row],[Prest. (m2 /jaar) werkdagen]]</f>
        <v>14.399999999999999</v>
      </c>
      <c r="AF191" s="108">
        <f>Ruimtestaat[[#This Row],[uren / jaar weekend]]+Ruimtestaat[[#This Row],[uren / jaar werkdagen]]</f>
        <v>0</v>
      </c>
      <c r="AG191" s="103">
        <f>Ruimtestaat[[#This Row],[kosten / jaar weekend]]+Ruimtestaat[[#This Row],[kosten / jaar werkdagen]]</f>
        <v>0</v>
      </c>
      <c r="AH191" s="103"/>
      <c r="AI191" s="110" t="str">
        <f>IF(Ruimtestaat[[#This Row],[Frequentie werkdagen]]="","",_xlfn.CONCAT(Ruimtestaat[[#This Row],[Ruimte code]],"-",Ruimtestaat[[#This Row],[Frequentie werkdagen]]," ",Ruimtestaat[[#This Row],[Vloer code]]))</f>
        <v>1-1m P</v>
      </c>
      <c r="AJ191" s="114" t="str">
        <f>_xlfn.IFNA(VLOOKUP($AI191,Programma!$F$3:$G$1101,2,0),"")</f>
        <v>_</v>
      </c>
      <c r="AK191" s="114" t="str">
        <f>_xlfn.IFNA(VLOOKUP($AI191,Programma!$F$3:$H$1101,3,0),"")</f>
        <v>_</v>
      </c>
      <c r="AL191" s="114" t="str">
        <f>_xlfn.IFNA(VLOOKUP($AI191,Programma!$F$3:$I$1101,4,0),"")</f>
        <v>1m</v>
      </c>
      <c r="AM191" s="114" t="str">
        <f>_xlfn.IFNA(VLOOKUP($AI191,Programma!$F$3:$J$1101,5,0),"")</f>
        <v>1m</v>
      </c>
      <c r="AN191" s="114" t="str">
        <f>_xlfn.IFNA(VLOOKUP($AI191,Programma!$F$3:$K$1101,6,0),"")</f>
        <v>1j</v>
      </c>
      <c r="AO191" s="114" t="str">
        <f>_xlfn.IFNA(VLOOKUP($AI191,Programma!$F$3:$L$1101,7,0),"")</f>
        <v>_</v>
      </c>
      <c r="AP191" s="114" t="str">
        <f>_xlfn.IFNA(VLOOKUP($AI191,Programma!$F$3:$M$1101,8,0),"")</f>
        <v>_</v>
      </c>
      <c r="AQ191" s="114" t="str">
        <f>_xlfn.IFNA(VLOOKUP($AI191,Programma!$F$3:$N$1101,9,0),"")</f>
        <v>_</v>
      </c>
      <c r="AR191" s="114" t="str">
        <f>_xlfn.IFNA(VLOOKUP($AI191,Programma!$F$3:$O$1101,10,0),"")</f>
        <v>_</v>
      </c>
      <c r="AS191" s="114" t="str">
        <f>_xlfn.IFNA(VLOOKUP($AI191,Programma!$F$3:$P$1101,11,0),"")</f>
        <v>_</v>
      </c>
      <c r="AT191" s="114" t="str">
        <f>_xlfn.IFNA(VLOOKUP($AI191,Programma!$F$3:$Q$1101,12,0),"")</f>
        <v>_</v>
      </c>
      <c r="AU191" s="114" t="str">
        <f>_xlfn.IFNA(VLOOKUP($AI191,Programma!$F$3:$R$1101,13,0),"")</f>
        <v>_</v>
      </c>
      <c r="AV191" s="114" t="str">
        <f>_xlfn.IFNA(VLOOKUP($AI191,Programma!$F$3:$S$1101,14,0),"")</f>
        <v>1m</v>
      </c>
      <c r="AW191" s="114" t="str">
        <f>_xlfn.IFNA(VLOOKUP($AI191,Programma!$F$3:$T$1101,15,0),"")</f>
        <v>4j</v>
      </c>
      <c r="AX191" s="114" t="str">
        <f>_xlfn.IFNA(VLOOKUP($AI191,Programma!$F$3:$U$1101,16,0),"")</f>
        <v>4j</v>
      </c>
      <c r="AY191" s="114" t="str">
        <f>_xlfn.IFNA(VLOOKUP($AI191,Programma!$F$3:$V$1101,17,0),"")</f>
        <v>_</v>
      </c>
      <c r="AZ191" s="114" t="str">
        <f>_xlfn.IFNA(VLOOKUP($AI191,Programma!$F$3:$W$1101,18,0),"")</f>
        <v>_</v>
      </c>
      <c r="BA191" s="114" t="str">
        <f>_xlfn.IFNA(VLOOKUP($AI191,Programma!$F$3:$X$1101,19,0),"")</f>
        <v>_</v>
      </c>
      <c r="BB191" s="114" t="str">
        <f>_xlfn.IFNA(VLOOKUP($AI191,Programma!$F$3:$Y$1101,20,0),"")</f>
        <v>_</v>
      </c>
      <c r="BC191" s="111"/>
      <c r="BD191" s="110" t="str">
        <f>IF(Ruimtestaat[[#This Row],[Frequentie weekend]]="","",_xlfn.CONCAT(Ruimtestaat[[#This Row],[Ruimte code]],"-",Ruimtestaat[[#This Row],[Frequentie weekend]]," ",Ruimtestaat[[#This Row],[Vloer code]]))</f>
        <v/>
      </c>
      <c r="BE191" s="114" t="str">
        <f>_xlfn.IFNA(VLOOKUP($BD191,Programma!$F$3:$G$1101,2,0),"")</f>
        <v/>
      </c>
      <c r="BF191" s="114" t="str">
        <f>_xlfn.IFNA(VLOOKUP($BD191,Programma!$F$3:$H$1101,3,0),"")</f>
        <v/>
      </c>
      <c r="BG191" s="114" t="str">
        <f>_xlfn.IFNA(VLOOKUP($BD191,Programma!$F$3:$I$1101,4,0),"")</f>
        <v/>
      </c>
      <c r="BH191" s="114" t="str">
        <f>_xlfn.IFNA(VLOOKUP($BD191,Programma!$F$3:$J$1101,5,0),"")</f>
        <v/>
      </c>
      <c r="BI191" s="114" t="str">
        <f>_xlfn.IFNA(VLOOKUP($BD191,Programma!$F$3:$K$1101,6,0),"")</f>
        <v/>
      </c>
      <c r="BJ191" s="114" t="str">
        <f>_xlfn.IFNA(VLOOKUP($BD191,Programma!$F$3:$L$1101,7,0),"")</f>
        <v/>
      </c>
      <c r="BK191" s="114" t="str">
        <f>_xlfn.IFNA(VLOOKUP($BD191,Programma!$F$3:$M$1101,8,0),"")</f>
        <v/>
      </c>
      <c r="BL191" s="114" t="str">
        <f>_xlfn.IFNA(VLOOKUP($BD191,Programma!$F$3:$N$1101,9,0),"")</f>
        <v/>
      </c>
      <c r="BM191" s="114" t="str">
        <f>_xlfn.IFNA(VLOOKUP($BD191,Programma!$F$3:$O$1101,10,0),"")</f>
        <v/>
      </c>
      <c r="BN191" s="114" t="str">
        <f>_xlfn.IFNA(VLOOKUP($BD191,Programma!$F$3:$P$1101,11,0),"")</f>
        <v/>
      </c>
      <c r="BO191" s="114" t="str">
        <f>_xlfn.IFNA(VLOOKUP($BD191,Programma!$F$3:$Q$1101,12,0),"")</f>
        <v/>
      </c>
      <c r="BP191" s="114" t="str">
        <f>_xlfn.IFNA(VLOOKUP($BD191,Programma!$F$3:$R$1101,13,0),"")</f>
        <v/>
      </c>
      <c r="BQ191" s="114" t="str">
        <f>_xlfn.IFNA(VLOOKUP($BD191,Programma!$F$3:$S$1101,14,0),"")</f>
        <v/>
      </c>
      <c r="BR191" s="114" t="str">
        <f>_xlfn.IFNA(VLOOKUP($BD191,Programma!$F$3:$T$1101,15,0),"")</f>
        <v/>
      </c>
      <c r="BS191" s="114" t="str">
        <f>_xlfn.IFNA(VLOOKUP($BD191,Programma!$F$3:$U$1101,16,0),"")</f>
        <v/>
      </c>
      <c r="BT191" s="114" t="str">
        <f>_xlfn.IFNA(VLOOKUP($BD191,Programma!$F$3:$V$1101,17,0),"")</f>
        <v/>
      </c>
      <c r="BU191" s="114" t="str">
        <f>_xlfn.IFNA(VLOOKUP($BD191,Programma!$F$3:$W$1101,18,0),"")</f>
        <v/>
      </c>
      <c r="BV191" s="114" t="str">
        <f>_xlfn.IFNA(VLOOKUP($BD191,Programma!$F$3:$X$1101,19,0),"")</f>
        <v/>
      </c>
      <c r="BW191" s="114" t="str">
        <f>_xlfn.IFNA(VLOOKUP($BD191,Programma!$F$3:$Y$1101,20,0),"")</f>
        <v/>
      </c>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c r="DB191" s="28"/>
      <c r="DC191" s="28"/>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28"/>
      <c r="DZ191" s="28"/>
      <c r="EA191" s="28"/>
      <c r="EB191" s="28"/>
      <c r="EC191" s="28"/>
      <c r="ED191" s="28"/>
      <c r="EE191" s="28"/>
      <c r="EF191" s="28"/>
      <c r="EG191" s="28"/>
      <c r="EH191" s="28"/>
      <c r="EI191" s="28"/>
      <c r="EJ191" s="28"/>
      <c r="EK191" s="28"/>
      <c r="EL191" s="28"/>
      <c r="EM191" s="28"/>
      <c r="EN191" s="28"/>
      <c r="EO191" s="28"/>
      <c r="EP191" s="28"/>
      <c r="EQ191" s="28"/>
      <c r="ER191" s="28"/>
      <c r="ES191" s="28"/>
      <c r="ET191" s="28"/>
      <c r="EU191" s="28"/>
      <c r="EV191" s="28"/>
      <c r="EW191" s="28"/>
      <c r="EX191" s="28"/>
      <c r="EY191" s="28"/>
      <c r="EZ191" s="28"/>
      <c r="FA191" s="28"/>
      <c r="FB191" s="28"/>
      <c r="FC191" s="28"/>
      <c r="FD191" s="28"/>
      <c r="FE191" s="28"/>
      <c r="FF191" s="28"/>
      <c r="FG191" s="28"/>
      <c r="FH191" s="28"/>
      <c r="FI191" s="28"/>
      <c r="FJ191" s="28"/>
      <c r="FK191" s="28"/>
      <c r="FL191" s="28"/>
      <c r="FM191" s="28"/>
      <c r="FN191" s="28"/>
      <c r="FO191" s="28"/>
      <c r="FP191" s="28"/>
      <c r="FQ191" s="28"/>
      <c r="FR191" s="28"/>
      <c r="FS191" s="28"/>
      <c r="FT191" s="28"/>
      <c r="FU191" s="28"/>
      <c r="FV191" s="28"/>
      <c r="FW191" s="28"/>
      <c r="FX191" s="28"/>
      <c r="FY191" s="28"/>
      <c r="FZ191" s="28"/>
      <c r="GA191" s="28"/>
      <c r="GB191" s="28"/>
      <c r="GC191" s="28"/>
      <c r="GD191" s="28"/>
      <c r="GE191" s="28"/>
      <c r="GF191" s="28"/>
      <c r="GG191" s="28"/>
      <c r="GH191" s="28"/>
      <c r="GI191" s="28"/>
      <c r="GJ191" s="28"/>
      <c r="GK191" s="28"/>
      <c r="GL191" s="28"/>
      <c r="GM191" s="28"/>
      <c r="GN191" s="28"/>
      <c r="GO191" s="28"/>
      <c r="GP191" s="28"/>
      <c r="GQ191" s="28"/>
      <c r="GR191" s="28"/>
      <c r="GS191" s="28"/>
      <c r="GT191" s="28"/>
      <c r="GU191" s="28"/>
      <c r="GV191" s="28"/>
      <c r="GW191" s="28"/>
      <c r="GX191" s="28"/>
      <c r="GY191" s="28"/>
      <c r="GZ191" s="28"/>
      <c r="HA191" s="28"/>
      <c r="HB191" s="28"/>
      <c r="HC191" s="28"/>
      <c r="HD191" s="28"/>
      <c r="HE191" s="28"/>
      <c r="HF191" s="28"/>
      <c r="HG191" s="28"/>
      <c r="HH191" s="28"/>
      <c r="HI191" s="28"/>
      <c r="HJ191" s="28"/>
      <c r="HK191" s="28"/>
      <c r="HL191" s="28"/>
    </row>
    <row r="192" spans="1:220" ht="15" customHeight="1">
      <c r="A192" s="31">
        <v>5</v>
      </c>
      <c r="B192" s="105" t="str">
        <f>VLOOKUP(Ruimtestaat[[#This Row],[Code]],Locaties[[Code]:[Locatie]],2,FALSE)</f>
        <v>IKC Remigius</v>
      </c>
      <c r="C192" s="105" t="str">
        <f>VLOOKUP(Ruimtestaat[[#This Row],[Code]],Locaties[[#All],[Code]:[Adres]],4,FALSE)</f>
        <v>Liemersplein 1</v>
      </c>
      <c r="D192" s="105" t="str">
        <f>VLOOKUP(Ruimtestaat[[#This Row],[Code]],Locaties[[#All],[Code]:[Postcode]],5,FALSE)</f>
        <v xml:space="preserve">6921 HN </v>
      </c>
      <c r="E192" s="105" t="str">
        <f>VLOOKUP(Ruimtestaat[[#This Row],[Code]],Locaties[#All],6,FALSE)</f>
        <v>Duiven</v>
      </c>
      <c r="F192" s="73"/>
      <c r="G192" s="73" t="s">
        <v>1645</v>
      </c>
      <c r="H192" s="31" t="s">
        <v>1687</v>
      </c>
      <c r="I192" s="113" t="s">
        <v>1791</v>
      </c>
      <c r="J192" s="31">
        <v>5</v>
      </c>
      <c r="K192" s="113" t="str">
        <f>VLOOKUP(Ruimtestaat[[#This Row],[Ruimte code]],Ruimtegroepen[[#All],[Code]:[Ruimte omschrijving]],2,FALSE)</f>
        <v>Sanitair</v>
      </c>
      <c r="L192" s="73" t="s">
        <v>101</v>
      </c>
      <c r="M192" s="273" t="s">
        <v>1893</v>
      </c>
      <c r="N192" s="106">
        <v>4.9000000000000004</v>
      </c>
      <c r="O192" s="112"/>
      <c r="P192" s="73"/>
      <c r="Q192" s="107" t="str">
        <f>VLOOKUP(Ruimtestaat[[#This Row],[Ruimte code]],Ruimtegroepen[],4,FALSE)</f>
        <v>Sa</v>
      </c>
      <c r="R192" s="73">
        <v>40</v>
      </c>
      <c r="S192" s="73" t="s">
        <v>2</v>
      </c>
      <c r="T192" s="73">
        <f>IF(R192&gt;0,IF(RIGHT(Ruimtestaat[[#This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2" s="73">
        <f>IF(T192&gt;0,VLOOKUP($J192,Ruimtegroepen[],3,FALSE)*VLOOKUP($L192,Vloersoorten[],3,FALSE)*VLOOKUP($S192,Frequenties[],3,FALSE)*VLOOKUP($A192,Locaties[],3,FALSE),0)</f>
        <v>0</v>
      </c>
      <c r="V192" s="73">
        <f>Ruimtestaat[[#This Row],[Uitvoeringen werkdagen]]*Ruimtestaat[[#This Row],[Oppervlak (netto)]]</f>
        <v>980.00000000000011</v>
      </c>
      <c r="W192" s="108">
        <f>IF(U192&gt;0,Ruimtestaat[[#This Row],[Prest. (m2 /jaar) werkdagen]]/Ruimtestaat[[#This Row],[Norm (m2/uur) werkdagen]],0)</f>
        <v>0</v>
      </c>
      <c r="X192" s="109">
        <f>Ruimtestaat[[#This Row],[uren / jaar werkdagen]]*Tariefsopbouw!$E$35</f>
        <v>0</v>
      </c>
      <c r="Y192" s="73"/>
      <c r="Z192" s="73">
        <f>IF(Ruimtestaat[[#This Row],[Frequentie weekend]]&gt;0,VALUE(LEFT(Y192,1))*R192,0)</f>
        <v>0</v>
      </c>
      <c r="AA192" s="72">
        <f>IF($Z192&gt;0,VLOOKUP($J192,Ruimtegroepen[],3,FALSE)*VLOOKUP($L192,Vloersoorten[],3,FALSE)*VLOOKUP($Y192,Frequenties[],3,FALSE)*VLOOKUP(Ruimtestaat[[#This Row],[Code]],Locaties[],3,FALSE),0)</f>
        <v>0</v>
      </c>
      <c r="AB192" s="72">
        <f>Ruimtestaat[[#This Row],[Uitvoeringen weekend]]*Ruimtestaat[[#This Row],[Oppervlak (netto)]]</f>
        <v>0</v>
      </c>
      <c r="AC192" s="72">
        <f>IF(AA192&gt;0,Ruimtestaat[[#This Row],[Prest. (m2 /jaar) weekend]]/Ruimtestaat[[#This Row],[Norm (m2/uur) weekend]],0)</f>
        <v>0</v>
      </c>
      <c r="AD192" s="109">
        <f>Ruimtestaat[[#This Row],[uren / jaar weekend]]*Tariefsopbouw!$D$40</f>
        <v>0</v>
      </c>
      <c r="AE192" s="108">
        <f>Ruimtestaat[[#This Row],[Prest. (m2 /jaar) weekend]]+Ruimtestaat[[#This Row],[Prest. (m2 /jaar) werkdagen]]</f>
        <v>980.00000000000011</v>
      </c>
      <c r="AF192" s="108">
        <f>Ruimtestaat[[#This Row],[uren / jaar weekend]]+Ruimtestaat[[#This Row],[uren / jaar werkdagen]]</f>
        <v>0</v>
      </c>
      <c r="AG192" s="103">
        <f>Ruimtestaat[[#This Row],[kosten / jaar weekend]]+Ruimtestaat[[#This Row],[kosten / jaar werkdagen]]</f>
        <v>0</v>
      </c>
      <c r="AH192" s="103"/>
      <c r="AI192" s="110" t="str">
        <f>IF(Ruimtestaat[[#This Row],[Frequentie werkdagen]]="","",_xlfn.CONCAT(Ruimtestaat[[#This Row],[Ruimte code]],"-",Ruimtestaat[[#This Row],[Frequentie werkdagen]]," ",Ruimtestaat[[#This Row],[Vloer code]]))</f>
        <v>5-5w S</v>
      </c>
      <c r="AJ192" s="114" t="str">
        <f>_xlfn.IFNA(VLOOKUP($AI192,Programma!$F$3:$G$1101,2,0),"")</f>
        <v>_</v>
      </c>
      <c r="AK192" s="114" t="str">
        <f>_xlfn.IFNA(VLOOKUP($AI192,Programma!$F$3:$H$1101,3,0),"")</f>
        <v>_</v>
      </c>
      <c r="AL192" s="114" t="str">
        <f>_xlfn.IFNA(VLOOKUP($AI192,Programma!$F$3:$I$1101,4,0),"")</f>
        <v>_</v>
      </c>
      <c r="AM192" s="114" t="str">
        <f>_xlfn.IFNA(VLOOKUP($AI192,Programma!$F$3:$J$1101,5,0),"")</f>
        <v>4w</v>
      </c>
      <c r="AN192" s="114" t="str">
        <f>_xlfn.IFNA(VLOOKUP($AI192,Programma!$F$3:$K$1101,6,0),"")</f>
        <v>1w</v>
      </c>
      <c r="AO192" s="114" t="str">
        <f>_xlfn.IFNA(VLOOKUP($AI192,Programma!$F$3:$L$1101,7,0),"")</f>
        <v>_</v>
      </c>
      <c r="AP192" s="114" t="str">
        <f>_xlfn.IFNA(VLOOKUP($AI192,Programma!$F$3:$M$1101,8,0),"")</f>
        <v>_</v>
      </c>
      <c r="AQ192" s="114" t="str">
        <f>_xlfn.IFNA(VLOOKUP($AI192,Programma!$F$3:$N$1101,9,0),"")</f>
        <v>_</v>
      </c>
      <c r="AR192" s="114" t="str">
        <f>_xlfn.IFNA(VLOOKUP($AI192,Programma!$F$3:$O$1101,10,0),"")</f>
        <v>_</v>
      </c>
      <c r="AS192" s="114" t="str">
        <f>_xlfn.IFNA(VLOOKUP($AI192,Programma!$F$3:$P$1101,11,0),"")</f>
        <v>_</v>
      </c>
      <c r="AT192" s="114" t="str">
        <f>_xlfn.IFNA(VLOOKUP($AI192,Programma!$F$3:$Q$1101,12,0),"")</f>
        <v>_</v>
      </c>
      <c r="AU192" s="114" t="str">
        <f>_xlfn.IFNA(VLOOKUP($AI192,Programma!$F$3:$R$1101,13,0),"")</f>
        <v>_</v>
      </c>
      <c r="AV192" s="114" t="str">
        <f>_xlfn.IFNA(VLOOKUP($AI192,Programma!$F$3:$S$1101,14,0),"")</f>
        <v>_</v>
      </c>
      <c r="AW192" s="114" t="str">
        <f>_xlfn.IFNA(VLOOKUP($AI192,Programma!$F$3:$T$1101,15,0),"")</f>
        <v>_</v>
      </c>
      <c r="AX192" s="114" t="str">
        <f>_xlfn.IFNA(VLOOKUP($AI192,Programma!$F$3:$U$1101,16,0),"")</f>
        <v>_</v>
      </c>
      <c r="AY192" s="114" t="str">
        <f>_xlfn.IFNA(VLOOKUP($AI192,Programma!$F$3:$V$1101,17,0),"")</f>
        <v>_</v>
      </c>
      <c r="AZ192" s="114" t="str">
        <f>_xlfn.IFNA(VLOOKUP($AI192,Programma!$F$3:$W$1101,18,0),"")</f>
        <v>4w</v>
      </c>
      <c r="BA192" s="114" t="str">
        <f>_xlfn.IFNA(VLOOKUP($AI192,Programma!$F$3:$X$1101,19,0),"")</f>
        <v>1w</v>
      </c>
      <c r="BB192" s="114" t="str">
        <f>_xlfn.IFNA(VLOOKUP($AI192,Programma!$F$3:$Y$1101,20,0),"")</f>
        <v>_</v>
      </c>
      <c r="BC192" s="111"/>
      <c r="BD192" s="110" t="str">
        <f>IF(Ruimtestaat[[#This Row],[Frequentie weekend]]="","",_xlfn.CONCAT(Ruimtestaat[[#This Row],[Ruimte code]],"-",Ruimtestaat[[#This Row],[Frequentie weekend]]," ",Ruimtestaat[[#This Row],[Vloer code]]))</f>
        <v/>
      </c>
      <c r="BE192" s="114" t="str">
        <f>_xlfn.IFNA(VLOOKUP($BD192,Programma!$F$3:$G$1101,2,0),"")</f>
        <v/>
      </c>
      <c r="BF192" s="114" t="str">
        <f>_xlfn.IFNA(VLOOKUP($BD192,Programma!$F$3:$H$1101,3,0),"")</f>
        <v/>
      </c>
      <c r="BG192" s="114" t="str">
        <f>_xlfn.IFNA(VLOOKUP($BD192,Programma!$F$3:$I$1101,4,0),"")</f>
        <v/>
      </c>
      <c r="BH192" s="114" t="str">
        <f>_xlfn.IFNA(VLOOKUP($BD192,Programma!$F$3:$J$1101,5,0),"")</f>
        <v/>
      </c>
      <c r="BI192" s="114" t="str">
        <f>_xlfn.IFNA(VLOOKUP($BD192,Programma!$F$3:$K$1101,6,0),"")</f>
        <v/>
      </c>
      <c r="BJ192" s="114" t="str">
        <f>_xlfn.IFNA(VLOOKUP($BD192,Programma!$F$3:$L$1101,7,0),"")</f>
        <v/>
      </c>
      <c r="BK192" s="114" t="str">
        <f>_xlfn.IFNA(VLOOKUP($BD192,Programma!$F$3:$M$1101,8,0),"")</f>
        <v/>
      </c>
      <c r="BL192" s="114" t="str">
        <f>_xlfn.IFNA(VLOOKUP($BD192,Programma!$F$3:$N$1101,9,0),"")</f>
        <v/>
      </c>
      <c r="BM192" s="114" t="str">
        <f>_xlfn.IFNA(VLOOKUP($BD192,Programma!$F$3:$O$1101,10,0),"")</f>
        <v/>
      </c>
      <c r="BN192" s="114" t="str">
        <f>_xlfn.IFNA(VLOOKUP($BD192,Programma!$F$3:$P$1101,11,0),"")</f>
        <v/>
      </c>
      <c r="BO192" s="114" t="str">
        <f>_xlfn.IFNA(VLOOKUP($BD192,Programma!$F$3:$Q$1101,12,0),"")</f>
        <v/>
      </c>
      <c r="BP192" s="114" t="str">
        <f>_xlfn.IFNA(VLOOKUP($BD192,Programma!$F$3:$R$1101,13,0),"")</f>
        <v/>
      </c>
      <c r="BQ192" s="114" t="str">
        <f>_xlfn.IFNA(VLOOKUP($BD192,Programma!$F$3:$S$1101,14,0),"")</f>
        <v/>
      </c>
      <c r="BR192" s="114" t="str">
        <f>_xlfn.IFNA(VLOOKUP($BD192,Programma!$F$3:$T$1101,15,0),"")</f>
        <v/>
      </c>
      <c r="BS192" s="114" t="str">
        <f>_xlfn.IFNA(VLOOKUP($BD192,Programma!$F$3:$U$1101,16,0),"")</f>
        <v/>
      </c>
      <c r="BT192" s="114" t="str">
        <f>_xlfn.IFNA(VLOOKUP($BD192,Programma!$F$3:$V$1101,17,0),"")</f>
        <v/>
      </c>
      <c r="BU192" s="114" t="str">
        <f>_xlfn.IFNA(VLOOKUP($BD192,Programma!$F$3:$W$1101,18,0),"")</f>
        <v/>
      </c>
      <c r="BV192" s="114" t="str">
        <f>_xlfn.IFNA(VLOOKUP($BD192,Programma!$F$3:$X$1101,19,0),"")</f>
        <v/>
      </c>
      <c r="BW192" s="114" t="str">
        <f>_xlfn.IFNA(VLOOKUP($BD192,Programma!$F$3:$Y$1101,20,0),"")</f>
        <v/>
      </c>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28"/>
      <c r="DZ192" s="28"/>
      <c r="EA192" s="28"/>
      <c r="EB192" s="28"/>
      <c r="EC192" s="28"/>
      <c r="ED192" s="28"/>
      <c r="EE192" s="28"/>
      <c r="EF192" s="28"/>
      <c r="EG192" s="28"/>
      <c r="EH192" s="28"/>
      <c r="EI192" s="28"/>
      <c r="EJ192" s="28"/>
      <c r="EK192" s="28"/>
      <c r="EL192" s="28"/>
      <c r="EM192" s="28"/>
      <c r="EN192" s="28"/>
      <c r="EO192" s="28"/>
      <c r="EP192" s="28"/>
      <c r="EQ192" s="28"/>
      <c r="ER192" s="28"/>
      <c r="ES192" s="28"/>
      <c r="ET192" s="28"/>
      <c r="EU192" s="28"/>
      <c r="EV192" s="28"/>
      <c r="EW192" s="28"/>
      <c r="EX192" s="28"/>
      <c r="EY192" s="28"/>
      <c r="EZ192" s="28"/>
      <c r="FA192" s="28"/>
      <c r="FB192" s="28"/>
      <c r="FC192" s="28"/>
      <c r="FD192" s="28"/>
      <c r="FE192" s="28"/>
      <c r="FF192" s="28"/>
      <c r="FG192" s="28"/>
      <c r="FH192" s="28"/>
      <c r="FI192" s="28"/>
      <c r="FJ192" s="28"/>
      <c r="FK192" s="28"/>
      <c r="FL192" s="28"/>
      <c r="FM192" s="28"/>
      <c r="FN192" s="28"/>
      <c r="FO192" s="28"/>
      <c r="FP192" s="28"/>
      <c r="FQ192" s="28"/>
      <c r="FR192" s="28"/>
      <c r="FS192" s="28"/>
      <c r="FT192" s="28"/>
      <c r="FU192" s="28"/>
      <c r="FV192" s="28"/>
      <c r="FW192" s="28"/>
      <c r="FX192" s="28"/>
      <c r="FY192" s="28"/>
      <c r="FZ192" s="28"/>
      <c r="GA192" s="28"/>
      <c r="GB192" s="28"/>
      <c r="GC192" s="28"/>
      <c r="GD192" s="28"/>
      <c r="GE192" s="28"/>
      <c r="GF192" s="28"/>
      <c r="GG192" s="28"/>
      <c r="GH192" s="28"/>
      <c r="GI192" s="28"/>
      <c r="GJ192" s="28"/>
      <c r="GK192" s="28"/>
      <c r="GL192" s="28"/>
      <c r="GM192" s="28"/>
      <c r="GN192" s="28"/>
      <c r="GO192" s="28"/>
      <c r="GP192" s="28"/>
      <c r="GQ192" s="28"/>
      <c r="GR192" s="28"/>
      <c r="GS192" s="28"/>
      <c r="GT192" s="28"/>
      <c r="GU192" s="28"/>
      <c r="GV192" s="28"/>
      <c r="GW192" s="28"/>
      <c r="GX192" s="28"/>
      <c r="GY192" s="28"/>
      <c r="GZ192" s="28"/>
      <c r="HA192" s="28"/>
      <c r="HB192" s="28"/>
      <c r="HC192" s="28"/>
      <c r="HD192" s="28"/>
      <c r="HE192" s="28"/>
      <c r="HF192" s="28"/>
      <c r="HG192" s="28"/>
      <c r="HH192" s="28"/>
      <c r="HI192" s="28"/>
      <c r="HJ192" s="28"/>
      <c r="HK192" s="28"/>
      <c r="HL192" s="28"/>
    </row>
    <row r="193" spans="1:220" ht="15" customHeight="1">
      <c r="A193" s="31">
        <v>5</v>
      </c>
      <c r="B193" s="105" t="str">
        <f>VLOOKUP(Ruimtestaat[[#This Row],[Code]],Locaties[[Code]:[Locatie]],2,FALSE)</f>
        <v>IKC Remigius</v>
      </c>
      <c r="C193" s="105" t="str">
        <f>VLOOKUP(Ruimtestaat[[#This Row],[Code]],Locaties[[#All],[Code]:[Adres]],4,FALSE)</f>
        <v>Liemersplein 1</v>
      </c>
      <c r="D193" s="105" t="str">
        <f>VLOOKUP(Ruimtestaat[[#This Row],[Code]],Locaties[[#All],[Code]:[Postcode]],5,FALSE)</f>
        <v xml:space="preserve">6921 HN </v>
      </c>
      <c r="E193" s="105" t="str">
        <f>VLOOKUP(Ruimtestaat[[#This Row],[Code]],Locaties[#All],6,FALSE)</f>
        <v>Duiven</v>
      </c>
      <c r="F193" s="73"/>
      <c r="G193" s="73" t="s">
        <v>1645</v>
      </c>
      <c r="H193" s="31" t="s">
        <v>1688</v>
      </c>
      <c r="I193" s="113" t="s">
        <v>1818</v>
      </c>
      <c r="J193" s="31">
        <v>1</v>
      </c>
      <c r="K193" s="113" t="str">
        <f>VLOOKUP(Ruimtestaat[[#This Row],[Ruimte code]],Ruimtegroepen[[#All],[Code]:[Ruimte omschrijving]],2,FALSE)</f>
        <v>Magazijnen/bergingen</v>
      </c>
      <c r="L193" s="73" t="s">
        <v>102</v>
      </c>
      <c r="M193" s="273" t="s">
        <v>120</v>
      </c>
      <c r="N193" s="106">
        <v>0.8</v>
      </c>
      <c r="O193" s="112"/>
      <c r="P193" s="112"/>
      <c r="Q193" s="107" t="str">
        <f>VLOOKUP(Ruimtestaat[[#This Row],[Ruimte code]],Ruimtegroepen[],4,FALSE)</f>
        <v>Ve</v>
      </c>
      <c r="R193" s="73">
        <v>40</v>
      </c>
      <c r="S193" s="73" t="s">
        <v>16</v>
      </c>
      <c r="T193" s="73">
        <f>IF(R193&gt;0,IF(RIGHT(Ruimtestaat[[#This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93" s="73">
        <f>IF(T193&gt;0,VLOOKUP($J193,Ruimtegroepen[],3,FALSE)*VLOOKUP($L193,Vloersoorten[],3,FALSE)*VLOOKUP($S193,Frequenties[],3,FALSE)*VLOOKUP($A193,Locaties[],3,FALSE),0)</f>
        <v>0</v>
      </c>
      <c r="V193" s="73">
        <f>Ruimtestaat[[#This Row],[Uitvoeringen werkdagen]]*Ruimtestaat[[#This Row],[Oppervlak (netto)]]</f>
        <v>9.6000000000000014</v>
      </c>
      <c r="W193" s="108">
        <f>IF(U193&gt;0,Ruimtestaat[[#This Row],[Prest. (m2 /jaar) werkdagen]]/Ruimtestaat[[#This Row],[Norm (m2/uur) werkdagen]],0)</f>
        <v>0</v>
      </c>
      <c r="X193" s="109">
        <f>Ruimtestaat[[#This Row],[uren / jaar werkdagen]]*Tariefsopbouw!$E$35</f>
        <v>0</v>
      </c>
      <c r="Y193" s="73"/>
      <c r="Z193" s="73">
        <f>IF(Ruimtestaat[[#This Row],[Frequentie weekend]]&gt;0,VALUE(LEFT(Y193,1))*R193,0)</f>
        <v>0</v>
      </c>
      <c r="AA193" s="72">
        <f>IF($Z193&gt;0,VLOOKUP($J193,Ruimtegroepen[],3,FALSE)*VLOOKUP($L193,Vloersoorten[],3,FALSE)*VLOOKUP($Y193,Frequenties[],3,FALSE)*VLOOKUP(Ruimtestaat[[#This Row],[Code]],Locaties[],3,FALSE),0)</f>
        <v>0</v>
      </c>
      <c r="AB193" s="72">
        <f>Ruimtestaat[[#This Row],[Uitvoeringen weekend]]*Ruimtestaat[[#This Row],[Oppervlak (netto)]]</f>
        <v>0</v>
      </c>
      <c r="AC193" s="72">
        <f>IF(AA193&gt;0,Ruimtestaat[[#This Row],[Prest. (m2 /jaar) weekend]]/Ruimtestaat[[#This Row],[Norm (m2/uur) weekend]],0)</f>
        <v>0</v>
      </c>
      <c r="AD193" s="109">
        <f>Ruimtestaat[[#This Row],[uren / jaar weekend]]*Tariefsopbouw!$D$40</f>
        <v>0</v>
      </c>
      <c r="AE193" s="108">
        <f>Ruimtestaat[[#This Row],[Prest. (m2 /jaar) weekend]]+Ruimtestaat[[#This Row],[Prest. (m2 /jaar) werkdagen]]</f>
        <v>9.6000000000000014</v>
      </c>
      <c r="AF193" s="108">
        <f>Ruimtestaat[[#This Row],[uren / jaar weekend]]+Ruimtestaat[[#This Row],[uren / jaar werkdagen]]</f>
        <v>0</v>
      </c>
      <c r="AG193" s="103">
        <f>Ruimtestaat[[#This Row],[kosten / jaar weekend]]+Ruimtestaat[[#This Row],[kosten / jaar werkdagen]]</f>
        <v>0</v>
      </c>
      <c r="AH193" s="103"/>
      <c r="AI193" s="110" t="str">
        <f>IF(Ruimtestaat[[#This Row],[Frequentie werkdagen]]="","",_xlfn.CONCAT(Ruimtestaat[[#This Row],[Ruimte code]],"-",Ruimtestaat[[#This Row],[Frequentie werkdagen]]," ",Ruimtestaat[[#This Row],[Vloer code]]))</f>
        <v>1-1m P</v>
      </c>
      <c r="AJ193" s="114" t="str">
        <f>_xlfn.IFNA(VLOOKUP($AI193,Programma!$F$3:$G$1101,2,0),"")</f>
        <v>_</v>
      </c>
      <c r="AK193" s="114" t="str">
        <f>_xlfn.IFNA(VLOOKUP($AI193,Programma!$F$3:$H$1101,3,0),"")</f>
        <v>_</v>
      </c>
      <c r="AL193" s="114" t="str">
        <f>_xlfn.IFNA(VLOOKUP($AI193,Programma!$F$3:$I$1101,4,0),"")</f>
        <v>1m</v>
      </c>
      <c r="AM193" s="114" t="str">
        <f>_xlfn.IFNA(VLOOKUP($AI193,Programma!$F$3:$J$1101,5,0),"")</f>
        <v>1m</v>
      </c>
      <c r="AN193" s="114" t="str">
        <f>_xlfn.IFNA(VLOOKUP($AI193,Programma!$F$3:$K$1101,6,0),"")</f>
        <v>1j</v>
      </c>
      <c r="AO193" s="114" t="str">
        <f>_xlfn.IFNA(VLOOKUP($AI193,Programma!$F$3:$L$1101,7,0),"")</f>
        <v>_</v>
      </c>
      <c r="AP193" s="114" t="str">
        <f>_xlfn.IFNA(VLOOKUP($AI193,Programma!$F$3:$M$1101,8,0),"")</f>
        <v>_</v>
      </c>
      <c r="AQ193" s="114" t="str">
        <f>_xlfn.IFNA(VLOOKUP($AI193,Programma!$F$3:$N$1101,9,0),"")</f>
        <v>_</v>
      </c>
      <c r="AR193" s="114" t="str">
        <f>_xlfn.IFNA(VLOOKUP($AI193,Programma!$F$3:$O$1101,10,0),"")</f>
        <v>_</v>
      </c>
      <c r="AS193" s="114" t="str">
        <f>_xlfn.IFNA(VLOOKUP($AI193,Programma!$F$3:$P$1101,11,0),"")</f>
        <v>_</v>
      </c>
      <c r="AT193" s="114" t="str">
        <f>_xlfn.IFNA(VLOOKUP($AI193,Programma!$F$3:$Q$1101,12,0),"")</f>
        <v>_</v>
      </c>
      <c r="AU193" s="114" t="str">
        <f>_xlfn.IFNA(VLOOKUP($AI193,Programma!$F$3:$R$1101,13,0),"")</f>
        <v>_</v>
      </c>
      <c r="AV193" s="114" t="str">
        <f>_xlfn.IFNA(VLOOKUP($AI193,Programma!$F$3:$S$1101,14,0),"")</f>
        <v>1m</v>
      </c>
      <c r="AW193" s="114" t="str">
        <f>_xlfn.IFNA(VLOOKUP($AI193,Programma!$F$3:$T$1101,15,0),"")</f>
        <v>4j</v>
      </c>
      <c r="AX193" s="114" t="str">
        <f>_xlfn.IFNA(VLOOKUP($AI193,Programma!$F$3:$U$1101,16,0),"")</f>
        <v>4j</v>
      </c>
      <c r="AY193" s="114" t="str">
        <f>_xlfn.IFNA(VLOOKUP($AI193,Programma!$F$3:$V$1101,17,0),"")</f>
        <v>_</v>
      </c>
      <c r="AZ193" s="114" t="str">
        <f>_xlfn.IFNA(VLOOKUP($AI193,Programma!$F$3:$W$1101,18,0),"")</f>
        <v>_</v>
      </c>
      <c r="BA193" s="114" t="str">
        <f>_xlfn.IFNA(VLOOKUP($AI193,Programma!$F$3:$X$1101,19,0),"")</f>
        <v>_</v>
      </c>
      <c r="BB193" s="114" t="str">
        <f>_xlfn.IFNA(VLOOKUP($AI193,Programma!$F$3:$Y$1101,20,0),"")</f>
        <v>_</v>
      </c>
      <c r="BC193" s="111"/>
      <c r="BD193" s="110" t="str">
        <f>IF(Ruimtestaat[[#This Row],[Frequentie weekend]]="","",_xlfn.CONCAT(Ruimtestaat[[#This Row],[Ruimte code]],"-",Ruimtestaat[[#This Row],[Frequentie weekend]]," ",Ruimtestaat[[#This Row],[Vloer code]]))</f>
        <v/>
      </c>
      <c r="BE193" s="114" t="str">
        <f>_xlfn.IFNA(VLOOKUP($BD193,Programma!$F$3:$G$1101,2,0),"")</f>
        <v/>
      </c>
      <c r="BF193" s="114" t="str">
        <f>_xlfn.IFNA(VLOOKUP($BD193,Programma!$F$3:$H$1101,3,0),"")</f>
        <v/>
      </c>
      <c r="BG193" s="114" t="str">
        <f>_xlfn.IFNA(VLOOKUP($BD193,Programma!$F$3:$I$1101,4,0),"")</f>
        <v/>
      </c>
      <c r="BH193" s="114" t="str">
        <f>_xlfn.IFNA(VLOOKUP($BD193,Programma!$F$3:$J$1101,5,0),"")</f>
        <v/>
      </c>
      <c r="BI193" s="114" t="str">
        <f>_xlfn.IFNA(VLOOKUP($BD193,Programma!$F$3:$K$1101,6,0),"")</f>
        <v/>
      </c>
      <c r="BJ193" s="114" t="str">
        <f>_xlfn.IFNA(VLOOKUP($BD193,Programma!$F$3:$L$1101,7,0),"")</f>
        <v/>
      </c>
      <c r="BK193" s="114" t="str">
        <f>_xlfn.IFNA(VLOOKUP($BD193,Programma!$F$3:$M$1101,8,0),"")</f>
        <v/>
      </c>
      <c r="BL193" s="114" t="str">
        <f>_xlfn.IFNA(VLOOKUP($BD193,Programma!$F$3:$N$1101,9,0),"")</f>
        <v/>
      </c>
      <c r="BM193" s="114" t="str">
        <f>_xlfn.IFNA(VLOOKUP($BD193,Programma!$F$3:$O$1101,10,0),"")</f>
        <v/>
      </c>
      <c r="BN193" s="114" t="str">
        <f>_xlfn.IFNA(VLOOKUP($BD193,Programma!$F$3:$P$1101,11,0),"")</f>
        <v/>
      </c>
      <c r="BO193" s="114" t="str">
        <f>_xlfn.IFNA(VLOOKUP($BD193,Programma!$F$3:$Q$1101,12,0),"")</f>
        <v/>
      </c>
      <c r="BP193" s="114" t="str">
        <f>_xlfn.IFNA(VLOOKUP($BD193,Programma!$F$3:$R$1101,13,0),"")</f>
        <v/>
      </c>
      <c r="BQ193" s="114" t="str">
        <f>_xlfn.IFNA(VLOOKUP($BD193,Programma!$F$3:$S$1101,14,0),"")</f>
        <v/>
      </c>
      <c r="BR193" s="114" t="str">
        <f>_xlfn.IFNA(VLOOKUP($BD193,Programma!$F$3:$T$1101,15,0),"")</f>
        <v/>
      </c>
      <c r="BS193" s="114" t="str">
        <f>_xlfn.IFNA(VLOOKUP($BD193,Programma!$F$3:$U$1101,16,0),"")</f>
        <v/>
      </c>
      <c r="BT193" s="114" t="str">
        <f>_xlfn.IFNA(VLOOKUP($BD193,Programma!$F$3:$V$1101,17,0),"")</f>
        <v/>
      </c>
      <c r="BU193" s="114" t="str">
        <f>_xlfn.IFNA(VLOOKUP($BD193,Programma!$F$3:$W$1101,18,0),"")</f>
        <v/>
      </c>
      <c r="BV193" s="114" t="str">
        <f>_xlfn.IFNA(VLOOKUP($BD193,Programma!$F$3:$X$1101,19,0),"")</f>
        <v/>
      </c>
      <c r="BW193" s="114" t="str">
        <f>_xlfn.IFNA(VLOOKUP($BD193,Programma!$F$3:$Y$1101,20,0),"")</f>
        <v/>
      </c>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c r="EA193" s="28"/>
      <c r="EB193" s="28"/>
      <c r="EC193" s="28"/>
      <c r="ED193" s="28"/>
      <c r="EE193" s="28"/>
      <c r="EF193" s="28"/>
      <c r="EG193" s="28"/>
      <c r="EH193" s="28"/>
      <c r="EI193" s="28"/>
      <c r="EJ193" s="28"/>
      <c r="EK193" s="28"/>
      <c r="EL193" s="28"/>
      <c r="EM193" s="28"/>
      <c r="EN193" s="28"/>
      <c r="EO193" s="28"/>
      <c r="EP193" s="28"/>
      <c r="EQ193" s="28"/>
      <c r="ER193" s="28"/>
      <c r="ES193" s="28"/>
      <c r="ET193" s="28"/>
      <c r="EU193" s="28"/>
      <c r="EV193" s="28"/>
      <c r="EW193" s="28"/>
      <c r="EX193" s="28"/>
      <c r="EY193" s="28"/>
      <c r="EZ193" s="28"/>
      <c r="FA193" s="28"/>
      <c r="FB193" s="28"/>
      <c r="FC193" s="28"/>
      <c r="FD193" s="28"/>
      <c r="FE193" s="28"/>
      <c r="FF193" s="28"/>
      <c r="FG193" s="28"/>
      <c r="FH193" s="28"/>
      <c r="FI193" s="28"/>
      <c r="FJ193" s="28"/>
      <c r="FK193" s="28"/>
      <c r="FL193" s="28"/>
      <c r="FM193" s="28"/>
      <c r="FN193" s="28"/>
      <c r="FO193" s="28"/>
      <c r="FP193" s="28"/>
      <c r="FQ193" s="28"/>
      <c r="FR193" s="28"/>
      <c r="FS193" s="28"/>
      <c r="FT193" s="28"/>
      <c r="FU193" s="28"/>
      <c r="FV193" s="28"/>
      <c r="FW193" s="28"/>
      <c r="FX193" s="28"/>
      <c r="FY193" s="28"/>
      <c r="FZ193" s="28"/>
      <c r="GA193" s="28"/>
      <c r="GB193" s="28"/>
      <c r="GC193" s="28"/>
      <c r="GD193" s="28"/>
      <c r="GE193" s="28"/>
      <c r="GF193" s="28"/>
      <c r="GG193" s="28"/>
      <c r="GH193" s="28"/>
      <c r="GI193" s="28"/>
      <c r="GJ193" s="28"/>
      <c r="GK193" s="28"/>
      <c r="GL193" s="28"/>
      <c r="GM193" s="28"/>
      <c r="GN193" s="28"/>
      <c r="GO193" s="28"/>
      <c r="GP193" s="28"/>
      <c r="GQ193" s="28"/>
      <c r="GR193" s="28"/>
      <c r="GS193" s="28"/>
      <c r="GT193" s="28"/>
      <c r="GU193" s="28"/>
      <c r="GV193" s="28"/>
      <c r="GW193" s="28"/>
      <c r="GX193" s="28"/>
      <c r="GY193" s="28"/>
      <c r="GZ193" s="28"/>
      <c r="HA193" s="28"/>
      <c r="HB193" s="28"/>
      <c r="HC193" s="28"/>
      <c r="HD193" s="28"/>
      <c r="HE193" s="28"/>
      <c r="HF193" s="28"/>
      <c r="HG193" s="28"/>
      <c r="HH193" s="28"/>
      <c r="HI193" s="28"/>
      <c r="HJ193" s="28"/>
      <c r="HK193" s="28"/>
      <c r="HL193" s="28"/>
    </row>
    <row r="194" spans="1:220" ht="15" customHeight="1">
      <c r="A194" s="31">
        <v>5</v>
      </c>
      <c r="B194" s="105" t="str">
        <f>VLOOKUP(Ruimtestaat[[#This Row],[Code]],Locaties[[Code]:[Locatie]],2,FALSE)</f>
        <v>IKC Remigius</v>
      </c>
      <c r="C194" s="105" t="str">
        <f>VLOOKUP(Ruimtestaat[[#This Row],[Code]],Locaties[[#All],[Code]:[Adres]],4,FALSE)</f>
        <v>Liemersplein 1</v>
      </c>
      <c r="D194" s="105" t="str">
        <f>VLOOKUP(Ruimtestaat[[#This Row],[Code]],Locaties[[#All],[Code]:[Postcode]],5,FALSE)</f>
        <v xml:space="preserve">6921 HN </v>
      </c>
      <c r="E194" s="105" t="str">
        <f>VLOOKUP(Ruimtestaat[[#This Row],[Code]],Locaties[#All],6,FALSE)</f>
        <v>Duiven</v>
      </c>
      <c r="F194" s="73"/>
      <c r="G194" s="73" t="s">
        <v>1645</v>
      </c>
      <c r="H194" s="31" t="s">
        <v>1689</v>
      </c>
      <c r="I194" s="113" t="s">
        <v>38</v>
      </c>
      <c r="J194" s="31">
        <v>7</v>
      </c>
      <c r="K194" s="113" t="str">
        <f>VLOOKUP(Ruimtestaat[[#This Row],[Ruimte code]],Ruimtegroepen[[#All],[Code]:[Ruimte omschrijving]],2,FALSE)</f>
        <v>Entree</v>
      </c>
      <c r="L194" s="73" t="s">
        <v>102</v>
      </c>
      <c r="M194" s="273" t="s">
        <v>120</v>
      </c>
      <c r="N194" s="106">
        <v>3.7</v>
      </c>
      <c r="O194" s="112"/>
      <c r="P194" s="112"/>
      <c r="Q194" s="107" t="str">
        <f>VLOOKUP(Ruimtestaat[[#This Row],[Ruimte code]],Ruimtegroepen[],4,FALSE)</f>
        <v>Ve</v>
      </c>
      <c r="R194" s="73">
        <v>40</v>
      </c>
      <c r="S194" s="73" t="s">
        <v>2</v>
      </c>
      <c r="T194" s="73">
        <f>IF(R194&gt;0,IF(RIGHT(Ruimtestaat[[#This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4" s="73">
        <f>IF(T194&gt;0,VLOOKUP($J194,Ruimtegroepen[],3,FALSE)*VLOOKUP($L194,Vloersoorten[],3,FALSE)*VLOOKUP($S194,Frequenties[],3,FALSE)*VLOOKUP($A194,Locaties[],3,FALSE),0)</f>
        <v>0</v>
      </c>
      <c r="V194" s="73">
        <f>Ruimtestaat[[#This Row],[Uitvoeringen werkdagen]]*Ruimtestaat[[#This Row],[Oppervlak (netto)]]</f>
        <v>740</v>
      </c>
      <c r="W194" s="108">
        <f>IF(U194&gt;0,Ruimtestaat[[#This Row],[Prest. (m2 /jaar) werkdagen]]/Ruimtestaat[[#This Row],[Norm (m2/uur) werkdagen]],0)</f>
        <v>0</v>
      </c>
      <c r="X194" s="109">
        <f>Ruimtestaat[[#This Row],[uren / jaar werkdagen]]*Tariefsopbouw!$E$35</f>
        <v>0</v>
      </c>
      <c r="Y194" s="73"/>
      <c r="Z194" s="73">
        <f>IF(Ruimtestaat[[#This Row],[Frequentie weekend]]&gt;0,VALUE(LEFT(Y194,1))*R194,0)</f>
        <v>0</v>
      </c>
      <c r="AA194" s="72">
        <f>IF($Z194&gt;0,VLOOKUP($J194,Ruimtegroepen[],3,FALSE)*VLOOKUP($L194,Vloersoorten[],3,FALSE)*VLOOKUP($Y194,Frequenties[],3,FALSE)*VLOOKUP(Ruimtestaat[[#This Row],[Code]],Locaties[],3,FALSE),0)</f>
        <v>0</v>
      </c>
      <c r="AB194" s="72">
        <f>Ruimtestaat[[#This Row],[Uitvoeringen weekend]]*Ruimtestaat[[#This Row],[Oppervlak (netto)]]</f>
        <v>0</v>
      </c>
      <c r="AC194" s="72">
        <f>IF(AA194&gt;0,Ruimtestaat[[#This Row],[Prest. (m2 /jaar) weekend]]/Ruimtestaat[[#This Row],[Norm (m2/uur) weekend]],0)</f>
        <v>0</v>
      </c>
      <c r="AD194" s="109">
        <f>Ruimtestaat[[#This Row],[uren / jaar weekend]]*Tariefsopbouw!$D$40</f>
        <v>0</v>
      </c>
      <c r="AE194" s="108">
        <f>Ruimtestaat[[#This Row],[Prest. (m2 /jaar) weekend]]+Ruimtestaat[[#This Row],[Prest. (m2 /jaar) werkdagen]]</f>
        <v>740</v>
      </c>
      <c r="AF194" s="108">
        <f>Ruimtestaat[[#This Row],[uren / jaar weekend]]+Ruimtestaat[[#This Row],[uren / jaar werkdagen]]</f>
        <v>0</v>
      </c>
      <c r="AG194" s="103">
        <f>Ruimtestaat[[#This Row],[kosten / jaar weekend]]+Ruimtestaat[[#This Row],[kosten / jaar werkdagen]]</f>
        <v>0</v>
      </c>
      <c r="AH194" s="103"/>
      <c r="AI194" s="110" t="str">
        <f>IF(Ruimtestaat[[#This Row],[Frequentie werkdagen]]="","",_xlfn.CONCAT(Ruimtestaat[[#This Row],[Ruimte code]],"-",Ruimtestaat[[#This Row],[Frequentie werkdagen]]," ",Ruimtestaat[[#This Row],[Vloer code]]))</f>
        <v>7-5w P</v>
      </c>
      <c r="AJ194" s="114" t="str">
        <f>_xlfn.IFNA(VLOOKUP($AI194,Programma!$F$3:$G$1101,2,0),"")</f>
        <v>_</v>
      </c>
      <c r="AK194" s="114" t="str">
        <f>_xlfn.IFNA(VLOOKUP($AI194,Programma!$F$3:$H$1101,3,0),"")</f>
        <v>_</v>
      </c>
      <c r="AL194" s="114" t="str">
        <f>_xlfn.IFNA(VLOOKUP($AI194,Programma!$F$3:$I$1101,4,0),"")</f>
        <v>5w</v>
      </c>
      <c r="AM194" s="114" t="str">
        <f>_xlfn.IFNA(VLOOKUP($AI194,Programma!$F$3:$J$1101,5,0),"")</f>
        <v>_</v>
      </c>
      <c r="AN194" s="114" t="str">
        <f>_xlfn.IFNA(VLOOKUP($AI194,Programma!$F$3:$K$1101,6,0),"")</f>
        <v>5w</v>
      </c>
      <c r="AO194" s="114" t="str">
        <f>_xlfn.IFNA(VLOOKUP($AI194,Programma!$F$3:$L$1101,7,0),"")</f>
        <v>_</v>
      </c>
      <c r="AP194" s="114" t="str">
        <f>_xlfn.IFNA(VLOOKUP($AI194,Programma!$F$3:$M$1101,8,0),"")</f>
        <v>_</v>
      </c>
      <c r="AQ194" s="114" t="str">
        <f>_xlfn.IFNA(VLOOKUP($AI194,Programma!$F$3:$N$1101,9,0),"")</f>
        <v>_</v>
      </c>
      <c r="AR194" s="114" t="str">
        <f>_xlfn.IFNA(VLOOKUP($AI194,Programma!$F$3:$O$1101,10,0),"")</f>
        <v>5w</v>
      </c>
      <c r="AS194" s="114" t="str">
        <f>_xlfn.IFNA(VLOOKUP($AI194,Programma!$F$3:$P$1101,11,0),"")</f>
        <v>5w</v>
      </c>
      <c r="AT194" s="114" t="str">
        <f>_xlfn.IFNA(VLOOKUP($AI194,Programma!$F$3:$Q$1101,12,0),"")</f>
        <v>1w</v>
      </c>
      <c r="AU194" s="114" t="str">
        <f>_xlfn.IFNA(VLOOKUP($AI194,Programma!$F$3:$R$1101,13,0),"")</f>
        <v>1w</v>
      </c>
      <c r="AV194" s="114" t="str">
        <f>_xlfn.IFNA(VLOOKUP($AI194,Programma!$F$3:$S$1101,14,0),"")</f>
        <v>1m</v>
      </c>
      <c r="AW194" s="114" t="str">
        <f>_xlfn.IFNA(VLOOKUP($AI194,Programma!$F$3:$T$1101,15,0),"")</f>
        <v>2j</v>
      </c>
      <c r="AX194" s="114" t="str">
        <f>_xlfn.IFNA(VLOOKUP($AI194,Programma!$F$3:$U$1101,16,0),"")</f>
        <v>1j</v>
      </c>
      <c r="AY194" s="114" t="str">
        <f>_xlfn.IFNA(VLOOKUP($AI194,Programma!$F$3:$V$1101,17,0),"")</f>
        <v>_</v>
      </c>
      <c r="AZ194" s="114" t="str">
        <f>_xlfn.IFNA(VLOOKUP($AI194,Programma!$F$3:$W$1101,18,0),"")</f>
        <v>_</v>
      </c>
      <c r="BA194" s="114" t="str">
        <f>_xlfn.IFNA(VLOOKUP($AI194,Programma!$F$3:$X$1101,19,0),"")</f>
        <v>_</v>
      </c>
      <c r="BB194" s="114" t="str">
        <f>_xlfn.IFNA(VLOOKUP($AI194,Programma!$F$3:$Y$1101,20,0),"")</f>
        <v>_</v>
      </c>
      <c r="BC194" s="111"/>
      <c r="BD194" s="110" t="str">
        <f>IF(Ruimtestaat[[#This Row],[Frequentie weekend]]="","",_xlfn.CONCAT(Ruimtestaat[[#This Row],[Ruimte code]],"-",Ruimtestaat[[#This Row],[Frequentie weekend]]," ",Ruimtestaat[[#This Row],[Vloer code]]))</f>
        <v/>
      </c>
      <c r="BE194" s="114" t="str">
        <f>_xlfn.IFNA(VLOOKUP($BD194,Programma!$F$3:$G$1101,2,0),"")</f>
        <v/>
      </c>
      <c r="BF194" s="114" t="str">
        <f>_xlfn.IFNA(VLOOKUP($BD194,Programma!$F$3:$H$1101,3,0),"")</f>
        <v/>
      </c>
      <c r="BG194" s="114" t="str">
        <f>_xlfn.IFNA(VLOOKUP($BD194,Programma!$F$3:$I$1101,4,0),"")</f>
        <v/>
      </c>
      <c r="BH194" s="114" t="str">
        <f>_xlfn.IFNA(VLOOKUP($BD194,Programma!$F$3:$J$1101,5,0),"")</f>
        <v/>
      </c>
      <c r="BI194" s="114" t="str">
        <f>_xlfn.IFNA(VLOOKUP($BD194,Programma!$F$3:$K$1101,6,0),"")</f>
        <v/>
      </c>
      <c r="BJ194" s="114" t="str">
        <f>_xlfn.IFNA(VLOOKUP($BD194,Programma!$F$3:$L$1101,7,0),"")</f>
        <v/>
      </c>
      <c r="BK194" s="114" t="str">
        <f>_xlfn.IFNA(VLOOKUP($BD194,Programma!$F$3:$M$1101,8,0),"")</f>
        <v/>
      </c>
      <c r="BL194" s="114" t="str">
        <f>_xlfn.IFNA(VLOOKUP($BD194,Programma!$F$3:$N$1101,9,0),"")</f>
        <v/>
      </c>
      <c r="BM194" s="114" t="str">
        <f>_xlfn.IFNA(VLOOKUP($BD194,Programma!$F$3:$O$1101,10,0),"")</f>
        <v/>
      </c>
      <c r="BN194" s="114" t="str">
        <f>_xlfn.IFNA(VLOOKUP($BD194,Programma!$F$3:$P$1101,11,0),"")</f>
        <v/>
      </c>
      <c r="BO194" s="114" t="str">
        <f>_xlfn.IFNA(VLOOKUP($BD194,Programma!$F$3:$Q$1101,12,0),"")</f>
        <v/>
      </c>
      <c r="BP194" s="114" t="str">
        <f>_xlfn.IFNA(VLOOKUP($BD194,Programma!$F$3:$R$1101,13,0),"")</f>
        <v/>
      </c>
      <c r="BQ194" s="114" t="str">
        <f>_xlfn.IFNA(VLOOKUP($BD194,Programma!$F$3:$S$1101,14,0),"")</f>
        <v/>
      </c>
      <c r="BR194" s="114" t="str">
        <f>_xlfn.IFNA(VLOOKUP($BD194,Programma!$F$3:$T$1101,15,0),"")</f>
        <v/>
      </c>
      <c r="BS194" s="114" t="str">
        <f>_xlfn.IFNA(VLOOKUP($BD194,Programma!$F$3:$U$1101,16,0),"")</f>
        <v/>
      </c>
      <c r="BT194" s="114" t="str">
        <f>_xlfn.IFNA(VLOOKUP($BD194,Programma!$F$3:$V$1101,17,0),"")</f>
        <v/>
      </c>
      <c r="BU194" s="114" t="str">
        <f>_xlfn.IFNA(VLOOKUP($BD194,Programma!$F$3:$W$1101,18,0),"")</f>
        <v/>
      </c>
      <c r="BV194" s="114" t="str">
        <f>_xlfn.IFNA(VLOOKUP($BD194,Programma!$F$3:$X$1101,19,0),"")</f>
        <v/>
      </c>
      <c r="BW194" s="114" t="str">
        <f>_xlfn.IFNA(VLOOKUP($BD194,Programma!$F$3:$Y$1101,20,0),"")</f>
        <v/>
      </c>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c r="EO194" s="28"/>
      <c r="EP194" s="28"/>
      <c r="EQ194" s="28"/>
      <c r="ER194" s="28"/>
      <c r="ES194" s="28"/>
      <c r="ET194" s="28"/>
      <c r="EU194" s="28"/>
      <c r="EV194" s="28"/>
      <c r="EW194" s="28"/>
      <c r="EX194" s="28"/>
      <c r="EY194" s="28"/>
      <c r="EZ194" s="28"/>
      <c r="FA194" s="28"/>
      <c r="FB194" s="28"/>
      <c r="FC194" s="28"/>
      <c r="FD194" s="28"/>
      <c r="FE194" s="28"/>
      <c r="FF194" s="28"/>
      <c r="FG194" s="28"/>
      <c r="FH194" s="28"/>
      <c r="FI194" s="28"/>
      <c r="FJ194" s="28"/>
      <c r="FK194" s="28"/>
      <c r="FL194" s="28"/>
      <c r="FM194" s="28"/>
      <c r="FN194" s="28"/>
      <c r="FO194" s="28"/>
      <c r="FP194" s="28"/>
      <c r="FQ194" s="28"/>
      <c r="FR194" s="28"/>
      <c r="FS194" s="28"/>
      <c r="FT194" s="28"/>
      <c r="FU194" s="28"/>
      <c r="FV194" s="28"/>
      <c r="FW194" s="28"/>
      <c r="FX194" s="28"/>
      <c r="FY194" s="28"/>
      <c r="FZ194" s="28"/>
      <c r="GA194" s="28"/>
      <c r="GB194" s="28"/>
      <c r="GC194" s="28"/>
      <c r="GD194" s="28"/>
      <c r="GE194" s="28"/>
      <c r="GF194" s="28"/>
      <c r="GG194" s="28"/>
      <c r="GH194" s="28"/>
      <c r="GI194" s="28"/>
      <c r="GJ194" s="28"/>
      <c r="GK194" s="28"/>
      <c r="GL194" s="28"/>
      <c r="GM194" s="28"/>
      <c r="GN194" s="28"/>
      <c r="GO194" s="28"/>
      <c r="GP194" s="28"/>
      <c r="GQ194" s="28"/>
      <c r="GR194" s="28"/>
      <c r="GS194" s="28"/>
      <c r="GT194" s="28"/>
      <c r="GU194" s="28"/>
      <c r="GV194" s="28"/>
      <c r="GW194" s="28"/>
      <c r="GX194" s="28"/>
      <c r="GY194" s="28"/>
      <c r="GZ194" s="28"/>
      <c r="HA194" s="28"/>
      <c r="HB194" s="28"/>
      <c r="HC194" s="28"/>
      <c r="HD194" s="28"/>
      <c r="HE194" s="28"/>
      <c r="HF194" s="28"/>
      <c r="HG194" s="28"/>
      <c r="HH194" s="28"/>
      <c r="HI194" s="28"/>
      <c r="HJ194" s="28"/>
      <c r="HK194" s="28"/>
      <c r="HL194" s="28"/>
    </row>
    <row r="195" spans="1:220" ht="15" customHeight="1">
      <c r="A195" s="31">
        <v>5</v>
      </c>
      <c r="B195" s="105" t="str">
        <f>VLOOKUP(Ruimtestaat[[#This Row],[Code]],Locaties[[Code]:[Locatie]],2,FALSE)</f>
        <v>IKC Remigius</v>
      </c>
      <c r="C195" s="105" t="str">
        <f>VLOOKUP(Ruimtestaat[[#This Row],[Code]],Locaties[[#All],[Code]:[Adres]],4,FALSE)</f>
        <v>Liemersplein 1</v>
      </c>
      <c r="D195" s="105" t="str">
        <f>VLOOKUP(Ruimtestaat[[#This Row],[Code]],Locaties[[#All],[Code]:[Postcode]],5,FALSE)</f>
        <v xml:space="preserve">6921 HN </v>
      </c>
      <c r="E195" s="105" t="str">
        <f>VLOOKUP(Ruimtestaat[[#This Row],[Code]],Locaties[#All],6,FALSE)</f>
        <v>Duiven</v>
      </c>
      <c r="F195" s="73"/>
      <c r="G195" s="73" t="s">
        <v>1645</v>
      </c>
      <c r="H195" s="31" t="s">
        <v>1690</v>
      </c>
      <c r="I195" s="113" t="s">
        <v>1819</v>
      </c>
      <c r="J195" s="31">
        <v>6</v>
      </c>
      <c r="K195" s="113" t="str">
        <f>VLOOKUP(Ruimtestaat[[#This Row],[Ruimte code]],Ruimtegroepen[[#All],[Code]:[Ruimte omschrijving]],2,FALSE)</f>
        <v>Gangen/hallen</v>
      </c>
      <c r="L195" s="73" t="s">
        <v>102</v>
      </c>
      <c r="M195" s="273" t="s">
        <v>120</v>
      </c>
      <c r="N195" s="106">
        <v>179.6</v>
      </c>
      <c r="O195" s="112"/>
      <c r="P195" s="73"/>
      <c r="Q195" s="107" t="str">
        <f>VLOOKUP(Ruimtestaat[[#This Row],[Ruimte code]],Ruimtegroepen[],4,FALSE)</f>
        <v>Ve</v>
      </c>
      <c r="R195" s="73">
        <v>40</v>
      </c>
      <c r="S195" s="73" t="s">
        <v>2</v>
      </c>
      <c r="T195" s="73">
        <f>IF(R195&gt;0,IF(RIGHT(Ruimtestaat[[#This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5" s="73">
        <f>IF(T195&gt;0,VLOOKUP($J195,Ruimtegroepen[],3,FALSE)*VLOOKUP($L195,Vloersoorten[],3,FALSE)*VLOOKUP($S195,Frequenties[],3,FALSE)*VLOOKUP($A195,Locaties[],3,FALSE),0)</f>
        <v>0</v>
      </c>
      <c r="V195" s="73">
        <f>Ruimtestaat[[#This Row],[Uitvoeringen werkdagen]]*Ruimtestaat[[#This Row],[Oppervlak (netto)]]</f>
        <v>35920</v>
      </c>
      <c r="W195" s="108">
        <f>IF(U195&gt;0,Ruimtestaat[[#This Row],[Prest. (m2 /jaar) werkdagen]]/Ruimtestaat[[#This Row],[Norm (m2/uur) werkdagen]],0)</f>
        <v>0</v>
      </c>
      <c r="X195" s="109">
        <f>Ruimtestaat[[#This Row],[uren / jaar werkdagen]]*Tariefsopbouw!$E$35</f>
        <v>0</v>
      </c>
      <c r="Y195" s="73"/>
      <c r="Z195" s="73">
        <f>IF(Ruimtestaat[[#This Row],[Frequentie weekend]]&gt;0,VALUE(LEFT(Y195,1))*R195,0)</f>
        <v>0</v>
      </c>
      <c r="AA195" s="72">
        <f>IF($Z195&gt;0,VLOOKUP($J195,Ruimtegroepen[],3,FALSE)*VLOOKUP($L195,Vloersoorten[],3,FALSE)*VLOOKUP($Y195,Frequenties[],3,FALSE)*VLOOKUP(Ruimtestaat[[#This Row],[Code]],Locaties[],3,FALSE),0)</f>
        <v>0</v>
      </c>
      <c r="AB195" s="72">
        <f>Ruimtestaat[[#This Row],[Uitvoeringen weekend]]*Ruimtestaat[[#This Row],[Oppervlak (netto)]]</f>
        <v>0</v>
      </c>
      <c r="AC195" s="72">
        <f>IF(AA195&gt;0,Ruimtestaat[[#This Row],[Prest. (m2 /jaar) weekend]]/Ruimtestaat[[#This Row],[Norm (m2/uur) weekend]],0)</f>
        <v>0</v>
      </c>
      <c r="AD195" s="109">
        <f>Ruimtestaat[[#This Row],[uren / jaar weekend]]*Tariefsopbouw!$D$40</f>
        <v>0</v>
      </c>
      <c r="AE195" s="108">
        <f>Ruimtestaat[[#This Row],[Prest. (m2 /jaar) weekend]]+Ruimtestaat[[#This Row],[Prest. (m2 /jaar) werkdagen]]</f>
        <v>35920</v>
      </c>
      <c r="AF195" s="108">
        <f>Ruimtestaat[[#This Row],[uren / jaar weekend]]+Ruimtestaat[[#This Row],[uren / jaar werkdagen]]</f>
        <v>0</v>
      </c>
      <c r="AG195" s="103">
        <f>Ruimtestaat[[#This Row],[kosten / jaar weekend]]+Ruimtestaat[[#This Row],[kosten / jaar werkdagen]]</f>
        <v>0</v>
      </c>
      <c r="AH195" s="103"/>
      <c r="AI195" s="110" t="str">
        <f>IF(Ruimtestaat[[#This Row],[Frequentie werkdagen]]="","",_xlfn.CONCAT(Ruimtestaat[[#This Row],[Ruimte code]],"-",Ruimtestaat[[#This Row],[Frequentie werkdagen]]," ",Ruimtestaat[[#This Row],[Vloer code]]))</f>
        <v>6-5w P</v>
      </c>
      <c r="AJ195" s="114" t="str">
        <f>_xlfn.IFNA(VLOOKUP($AI195,Programma!$F$3:$G$1101,2,0),"")</f>
        <v>_</v>
      </c>
      <c r="AK195" s="114" t="str">
        <f>_xlfn.IFNA(VLOOKUP($AI195,Programma!$F$3:$H$1101,3,0),"")</f>
        <v>_</v>
      </c>
      <c r="AL195" s="114" t="str">
        <f>_xlfn.IFNA(VLOOKUP($AI195,Programma!$F$3:$I$1101,4,0),"")</f>
        <v>5w</v>
      </c>
      <c r="AM195" s="114" t="str">
        <f>_xlfn.IFNA(VLOOKUP($AI195,Programma!$F$3:$J$1101,5,0),"")</f>
        <v>_</v>
      </c>
      <c r="AN195" s="114" t="str">
        <f>_xlfn.IFNA(VLOOKUP($AI195,Programma!$F$3:$K$1101,6,0),"")</f>
        <v>5w</v>
      </c>
      <c r="AO195" s="114" t="str">
        <f>_xlfn.IFNA(VLOOKUP($AI195,Programma!$F$3:$L$1101,7,0),"")</f>
        <v>_</v>
      </c>
      <c r="AP195" s="114" t="str">
        <f>_xlfn.IFNA(VLOOKUP($AI195,Programma!$F$3:$M$1101,8,0),"")</f>
        <v>_</v>
      </c>
      <c r="AQ195" s="114" t="str">
        <f>_xlfn.IFNA(VLOOKUP($AI195,Programma!$F$3:$N$1101,9,0),"")</f>
        <v>_</v>
      </c>
      <c r="AR195" s="114" t="str">
        <f>_xlfn.IFNA(VLOOKUP($AI195,Programma!$F$3:$O$1101,10,0),"")</f>
        <v>5w</v>
      </c>
      <c r="AS195" s="114" t="str">
        <f>_xlfn.IFNA(VLOOKUP($AI195,Programma!$F$3:$P$1101,11,0),"")</f>
        <v>5w</v>
      </c>
      <c r="AT195" s="114" t="str">
        <f>_xlfn.IFNA(VLOOKUP($AI195,Programma!$F$3:$Q$1101,12,0),"")</f>
        <v>1w</v>
      </c>
      <c r="AU195" s="114" t="str">
        <f>_xlfn.IFNA(VLOOKUP($AI195,Programma!$F$3:$R$1101,13,0),"")</f>
        <v>1w</v>
      </c>
      <c r="AV195" s="114" t="str">
        <f>_xlfn.IFNA(VLOOKUP($AI195,Programma!$F$3:$S$1101,14,0),"")</f>
        <v>1m</v>
      </c>
      <c r="AW195" s="114" t="str">
        <f>_xlfn.IFNA(VLOOKUP($AI195,Programma!$F$3:$T$1101,15,0),"")</f>
        <v>2j</v>
      </c>
      <c r="AX195" s="114" t="str">
        <f>_xlfn.IFNA(VLOOKUP($AI195,Programma!$F$3:$U$1101,16,0),"")</f>
        <v>1j</v>
      </c>
      <c r="AY195" s="114" t="str">
        <f>_xlfn.IFNA(VLOOKUP($AI195,Programma!$F$3:$V$1101,17,0),"")</f>
        <v>_</v>
      </c>
      <c r="AZ195" s="114" t="str">
        <f>_xlfn.IFNA(VLOOKUP($AI195,Programma!$F$3:$W$1101,18,0),"")</f>
        <v>_</v>
      </c>
      <c r="BA195" s="114" t="str">
        <f>_xlfn.IFNA(VLOOKUP($AI195,Programma!$F$3:$X$1101,19,0),"")</f>
        <v>_</v>
      </c>
      <c r="BB195" s="114" t="str">
        <f>_xlfn.IFNA(VLOOKUP($AI195,Programma!$F$3:$Y$1101,20,0),"")</f>
        <v>_</v>
      </c>
      <c r="BC195" s="111"/>
      <c r="BD195" s="110" t="str">
        <f>IF(Ruimtestaat[[#This Row],[Frequentie weekend]]="","",_xlfn.CONCAT(Ruimtestaat[[#This Row],[Ruimte code]],"-",Ruimtestaat[[#This Row],[Frequentie weekend]]," ",Ruimtestaat[[#This Row],[Vloer code]]))</f>
        <v/>
      </c>
      <c r="BE195" s="114" t="str">
        <f>_xlfn.IFNA(VLOOKUP($BD195,Programma!$F$3:$G$1101,2,0),"")</f>
        <v/>
      </c>
      <c r="BF195" s="114" t="str">
        <f>_xlfn.IFNA(VLOOKUP($BD195,Programma!$F$3:$H$1101,3,0),"")</f>
        <v/>
      </c>
      <c r="BG195" s="114" t="str">
        <f>_xlfn.IFNA(VLOOKUP($BD195,Programma!$F$3:$I$1101,4,0),"")</f>
        <v/>
      </c>
      <c r="BH195" s="114" t="str">
        <f>_xlfn.IFNA(VLOOKUP($BD195,Programma!$F$3:$J$1101,5,0),"")</f>
        <v/>
      </c>
      <c r="BI195" s="114" t="str">
        <f>_xlfn.IFNA(VLOOKUP($BD195,Programma!$F$3:$K$1101,6,0),"")</f>
        <v/>
      </c>
      <c r="BJ195" s="114" t="str">
        <f>_xlfn.IFNA(VLOOKUP($BD195,Programma!$F$3:$L$1101,7,0),"")</f>
        <v/>
      </c>
      <c r="BK195" s="114" t="str">
        <f>_xlfn.IFNA(VLOOKUP($BD195,Programma!$F$3:$M$1101,8,0),"")</f>
        <v/>
      </c>
      <c r="BL195" s="114" t="str">
        <f>_xlfn.IFNA(VLOOKUP($BD195,Programma!$F$3:$N$1101,9,0),"")</f>
        <v/>
      </c>
      <c r="BM195" s="114" t="str">
        <f>_xlfn.IFNA(VLOOKUP($BD195,Programma!$F$3:$O$1101,10,0),"")</f>
        <v/>
      </c>
      <c r="BN195" s="114" t="str">
        <f>_xlfn.IFNA(VLOOKUP($BD195,Programma!$F$3:$P$1101,11,0),"")</f>
        <v/>
      </c>
      <c r="BO195" s="114" t="str">
        <f>_xlfn.IFNA(VLOOKUP($BD195,Programma!$F$3:$Q$1101,12,0),"")</f>
        <v/>
      </c>
      <c r="BP195" s="114" t="str">
        <f>_xlfn.IFNA(VLOOKUP($BD195,Programma!$F$3:$R$1101,13,0),"")</f>
        <v/>
      </c>
      <c r="BQ195" s="114" t="str">
        <f>_xlfn.IFNA(VLOOKUP($BD195,Programma!$F$3:$S$1101,14,0),"")</f>
        <v/>
      </c>
      <c r="BR195" s="114" t="str">
        <f>_xlfn.IFNA(VLOOKUP($BD195,Programma!$F$3:$T$1101,15,0),"")</f>
        <v/>
      </c>
      <c r="BS195" s="114" t="str">
        <f>_xlfn.IFNA(VLOOKUP($BD195,Programma!$F$3:$U$1101,16,0),"")</f>
        <v/>
      </c>
      <c r="BT195" s="114" t="str">
        <f>_xlfn.IFNA(VLOOKUP($BD195,Programma!$F$3:$V$1101,17,0),"")</f>
        <v/>
      </c>
      <c r="BU195" s="114" t="str">
        <f>_xlfn.IFNA(VLOOKUP($BD195,Programma!$F$3:$W$1101,18,0),"")</f>
        <v/>
      </c>
      <c r="BV195" s="114" t="str">
        <f>_xlfn.IFNA(VLOOKUP($BD195,Programma!$F$3:$X$1101,19,0),"")</f>
        <v/>
      </c>
      <c r="BW195" s="114" t="str">
        <f>_xlfn.IFNA(VLOOKUP($BD195,Programma!$F$3:$Y$1101,20,0),"")</f>
        <v/>
      </c>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c r="EO195" s="28"/>
      <c r="EP195" s="28"/>
      <c r="EQ195" s="28"/>
      <c r="ER195" s="28"/>
      <c r="ES195" s="28"/>
      <c r="ET195" s="28"/>
      <c r="EU195" s="28"/>
      <c r="EV195" s="28"/>
      <c r="EW195" s="28"/>
      <c r="EX195" s="28"/>
      <c r="EY195" s="28"/>
      <c r="EZ195" s="28"/>
      <c r="FA195" s="28"/>
      <c r="FB195" s="28"/>
      <c r="FC195" s="28"/>
      <c r="FD195" s="28"/>
      <c r="FE195" s="28"/>
      <c r="FF195" s="28"/>
      <c r="FG195" s="28"/>
      <c r="FH195" s="28"/>
      <c r="FI195" s="28"/>
      <c r="FJ195" s="28"/>
      <c r="FK195" s="28"/>
      <c r="FL195" s="28"/>
      <c r="FM195" s="28"/>
      <c r="FN195" s="28"/>
      <c r="FO195" s="28"/>
      <c r="FP195" s="28"/>
      <c r="FQ195" s="28"/>
      <c r="FR195" s="28"/>
      <c r="FS195" s="28"/>
      <c r="FT195" s="28"/>
      <c r="FU195" s="28"/>
      <c r="FV195" s="28"/>
      <c r="FW195" s="28"/>
      <c r="FX195" s="28"/>
      <c r="FY195" s="28"/>
      <c r="FZ195" s="28"/>
      <c r="GA195" s="28"/>
      <c r="GB195" s="28"/>
      <c r="GC195" s="28"/>
      <c r="GD195" s="28"/>
      <c r="GE195" s="28"/>
      <c r="GF195" s="28"/>
      <c r="GG195" s="28"/>
      <c r="GH195" s="28"/>
      <c r="GI195" s="28"/>
      <c r="GJ195" s="28"/>
      <c r="GK195" s="28"/>
      <c r="GL195" s="28"/>
      <c r="GM195" s="28"/>
      <c r="GN195" s="28"/>
      <c r="GO195" s="28"/>
      <c r="GP195" s="28"/>
      <c r="GQ195" s="28"/>
      <c r="GR195" s="28"/>
      <c r="GS195" s="28"/>
      <c r="GT195" s="28"/>
      <c r="GU195" s="28"/>
      <c r="GV195" s="28"/>
      <c r="GW195" s="28"/>
      <c r="GX195" s="28"/>
      <c r="GY195" s="28"/>
      <c r="GZ195" s="28"/>
      <c r="HA195" s="28"/>
      <c r="HB195" s="28"/>
      <c r="HC195" s="28"/>
      <c r="HD195" s="28"/>
      <c r="HE195" s="28"/>
      <c r="HF195" s="28"/>
      <c r="HG195" s="28"/>
      <c r="HH195" s="28"/>
      <c r="HI195" s="28"/>
      <c r="HJ195" s="28"/>
      <c r="HK195" s="28"/>
      <c r="HL195" s="28"/>
    </row>
    <row r="196" spans="1:220" ht="15" customHeight="1">
      <c r="A196" s="31">
        <v>5</v>
      </c>
      <c r="B196" s="105" t="str">
        <f>VLOOKUP(Ruimtestaat[[#This Row],[Code]],Locaties[[Code]:[Locatie]],2,FALSE)</f>
        <v>IKC Remigius</v>
      </c>
      <c r="C196" s="105" t="str">
        <f>VLOOKUP(Ruimtestaat[[#This Row],[Code]],Locaties[[#All],[Code]:[Adres]],4,FALSE)</f>
        <v>Liemersplein 1</v>
      </c>
      <c r="D196" s="105" t="str">
        <f>VLOOKUP(Ruimtestaat[[#This Row],[Code]],Locaties[[#All],[Code]:[Postcode]],5,FALSE)</f>
        <v xml:space="preserve">6921 HN </v>
      </c>
      <c r="E196" s="105" t="str">
        <f>VLOOKUP(Ruimtestaat[[#This Row],[Code]],Locaties[#All],6,FALSE)</f>
        <v>Duiven</v>
      </c>
      <c r="F196" s="73"/>
      <c r="G196" s="73" t="s">
        <v>1645</v>
      </c>
      <c r="H196" s="31" t="s">
        <v>1691</v>
      </c>
      <c r="I196" s="113" t="s">
        <v>1820</v>
      </c>
      <c r="J196" s="31">
        <v>9</v>
      </c>
      <c r="K196" s="113" t="str">
        <f>VLOOKUP(Ruimtestaat[[#This Row],[Ruimte code]],Ruimtegroepen[[#All],[Code]:[Ruimte omschrijving]],2,FALSE)</f>
        <v>Bibliotheek/OLC</v>
      </c>
      <c r="L196" s="73" t="s">
        <v>102</v>
      </c>
      <c r="M196" s="273" t="s">
        <v>1894</v>
      </c>
      <c r="N196" s="106">
        <v>122.5</v>
      </c>
      <c r="O196" s="112"/>
      <c r="P196" s="112"/>
      <c r="Q196" s="107" t="str">
        <f>VLOOKUP(Ruimtestaat[[#This Row],[Ruimte code]],Ruimtegroepen[],4,FALSE)</f>
        <v>Le</v>
      </c>
      <c r="R196" s="73">
        <v>40</v>
      </c>
      <c r="S196" s="73" t="s">
        <v>2</v>
      </c>
      <c r="T196" s="73">
        <f>IF(R196&gt;0,IF(RIGHT(Ruimtestaat[[#This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6" s="73">
        <f>IF(T196&gt;0,VLOOKUP($J196,Ruimtegroepen[],3,FALSE)*VLOOKUP($L196,Vloersoorten[],3,FALSE)*VLOOKUP($S196,Frequenties[],3,FALSE)*VLOOKUP($A196,Locaties[],3,FALSE),0)</f>
        <v>0</v>
      </c>
      <c r="V196" s="73">
        <f>Ruimtestaat[[#This Row],[Uitvoeringen werkdagen]]*Ruimtestaat[[#This Row],[Oppervlak (netto)]]</f>
        <v>24500</v>
      </c>
      <c r="W196" s="108">
        <f>IF(U196&gt;0,Ruimtestaat[[#This Row],[Prest. (m2 /jaar) werkdagen]]/Ruimtestaat[[#This Row],[Norm (m2/uur) werkdagen]],0)</f>
        <v>0</v>
      </c>
      <c r="X196" s="109">
        <f>Ruimtestaat[[#This Row],[uren / jaar werkdagen]]*Tariefsopbouw!$E$35</f>
        <v>0</v>
      </c>
      <c r="Y196" s="73"/>
      <c r="Z196" s="73">
        <f>IF(Ruimtestaat[[#This Row],[Frequentie weekend]]&gt;0,VALUE(LEFT(Y196,1))*R196,0)</f>
        <v>0</v>
      </c>
      <c r="AA196" s="72">
        <f>IF($Z196&gt;0,VLOOKUP($J196,Ruimtegroepen[],3,FALSE)*VLOOKUP($L196,Vloersoorten[],3,FALSE)*VLOOKUP($Y196,Frequenties[],3,FALSE)*VLOOKUP(Ruimtestaat[[#This Row],[Code]],Locaties[],3,FALSE),0)</f>
        <v>0</v>
      </c>
      <c r="AB196" s="72">
        <f>Ruimtestaat[[#This Row],[Uitvoeringen weekend]]*Ruimtestaat[[#This Row],[Oppervlak (netto)]]</f>
        <v>0</v>
      </c>
      <c r="AC196" s="72">
        <f>IF(AA196&gt;0,Ruimtestaat[[#This Row],[Prest. (m2 /jaar) weekend]]/Ruimtestaat[[#This Row],[Norm (m2/uur) weekend]],0)</f>
        <v>0</v>
      </c>
      <c r="AD196" s="109">
        <f>Ruimtestaat[[#This Row],[uren / jaar weekend]]*Tariefsopbouw!$D$40</f>
        <v>0</v>
      </c>
      <c r="AE196" s="108">
        <f>Ruimtestaat[[#This Row],[Prest. (m2 /jaar) weekend]]+Ruimtestaat[[#This Row],[Prest. (m2 /jaar) werkdagen]]</f>
        <v>24500</v>
      </c>
      <c r="AF196" s="108">
        <f>Ruimtestaat[[#This Row],[uren / jaar weekend]]+Ruimtestaat[[#This Row],[uren / jaar werkdagen]]</f>
        <v>0</v>
      </c>
      <c r="AG196" s="103">
        <f>Ruimtestaat[[#This Row],[kosten / jaar weekend]]+Ruimtestaat[[#This Row],[kosten / jaar werkdagen]]</f>
        <v>0</v>
      </c>
      <c r="AH196" s="103"/>
      <c r="AI196" s="110" t="str">
        <f>IF(Ruimtestaat[[#This Row],[Frequentie werkdagen]]="","",_xlfn.CONCAT(Ruimtestaat[[#This Row],[Ruimte code]],"-",Ruimtestaat[[#This Row],[Frequentie werkdagen]]," ",Ruimtestaat[[#This Row],[Vloer code]]))</f>
        <v>9-5w P</v>
      </c>
      <c r="AJ196" s="114" t="str">
        <f>_xlfn.IFNA(VLOOKUP($AI196,Programma!$F$3:$G$1101,2,0),"")</f>
        <v>_</v>
      </c>
      <c r="AK196" s="114" t="str">
        <f>_xlfn.IFNA(VLOOKUP($AI196,Programma!$F$3:$H$1101,3,0),"")</f>
        <v>_</v>
      </c>
      <c r="AL196" s="114" t="str">
        <f>_xlfn.IFNA(VLOOKUP($AI196,Programma!$F$3:$I$1101,4,0),"")</f>
        <v>5w</v>
      </c>
      <c r="AM196" s="114" t="str">
        <f>_xlfn.IFNA(VLOOKUP($AI196,Programma!$F$3:$J$1101,5,0),"")</f>
        <v>_</v>
      </c>
      <c r="AN196" s="114" t="str">
        <f>_xlfn.IFNA(VLOOKUP($AI196,Programma!$F$3:$K$1101,6,0),"")</f>
        <v>4j</v>
      </c>
      <c r="AO196" s="114" t="str">
        <f>_xlfn.IFNA(VLOOKUP($AI196,Programma!$F$3:$L$1101,7,0),"")</f>
        <v>_</v>
      </c>
      <c r="AP196" s="114" t="str">
        <f>_xlfn.IFNA(VLOOKUP($AI196,Programma!$F$3:$M$1101,8,0),"")</f>
        <v>_</v>
      </c>
      <c r="AQ196" s="114" t="str">
        <f>_xlfn.IFNA(VLOOKUP($AI196,Programma!$F$3:$N$1101,9,0),"")</f>
        <v>_</v>
      </c>
      <c r="AR196" s="114" t="str">
        <f>_xlfn.IFNA(VLOOKUP($AI196,Programma!$F$3:$O$1101,10,0),"")</f>
        <v>5w</v>
      </c>
      <c r="AS196" s="114" t="str">
        <f>_xlfn.IFNA(VLOOKUP($AI196,Programma!$F$3:$P$1101,11,0),"")</f>
        <v>5w</v>
      </c>
      <c r="AT196" s="114" t="str">
        <f>_xlfn.IFNA(VLOOKUP($AI196,Programma!$F$3:$Q$1101,12,0),"")</f>
        <v>1w</v>
      </c>
      <c r="AU196" s="114" t="str">
        <f>_xlfn.IFNA(VLOOKUP($AI196,Programma!$F$3:$R$1101,13,0),"")</f>
        <v>1w</v>
      </c>
      <c r="AV196" s="114" t="str">
        <f>_xlfn.IFNA(VLOOKUP($AI196,Programma!$F$3:$S$1101,14,0),"")</f>
        <v>1m</v>
      </c>
      <c r="AW196" s="114" t="str">
        <f>_xlfn.IFNA(VLOOKUP($AI196,Programma!$F$3:$T$1101,15,0),"")</f>
        <v>2j</v>
      </c>
      <c r="AX196" s="114" t="str">
        <f>_xlfn.IFNA(VLOOKUP($AI196,Programma!$F$3:$U$1101,16,0),"")</f>
        <v>1j</v>
      </c>
      <c r="AY196" s="114" t="str">
        <f>_xlfn.IFNA(VLOOKUP($AI196,Programma!$F$3:$V$1101,17,0),"")</f>
        <v>_</v>
      </c>
      <c r="AZ196" s="114" t="str">
        <f>_xlfn.IFNA(VLOOKUP($AI196,Programma!$F$3:$W$1101,18,0),"")</f>
        <v>_</v>
      </c>
      <c r="BA196" s="114" t="str">
        <f>_xlfn.IFNA(VLOOKUP($AI196,Programma!$F$3:$X$1101,19,0),"")</f>
        <v>_</v>
      </c>
      <c r="BB196" s="114" t="str">
        <f>_xlfn.IFNA(VLOOKUP($AI196,Programma!$F$3:$Y$1101,20,0),"")</f>
        <v>_</v>
      </c>
      <c r="BC196" s="111"/>
      <c r="BD196" s="110" t="str">
        <f>IF(Ruimtestaat[[#This Row],[Frequentie weekend]]="","",_xlfn.CONCAT(Ruimtestaat[[#This Row],[Ruimte code]],"-",Ruimtestaat[[#This Row],[Frequentie weekend]]," ",Ruimtestaat[[#This Row],[Vloer code]]))</f>
        <v/>
      </c>
      <c r="BE196" s="114" t="str">
        <f>_xlfn.IFNA(VLOOKUP($BD196,Programma!$F$3:$G$1101,2,0),"")</f>
        <v/>
      </c>
      <c r="BF196" s="114" t="str">
        <f>_xlfn.IFNA(VLOOKUP($BD196,Programma!$F$3:$H$1101,3,0),"")</f>
        <v/>
      </c>
      <c r="BG196" s="114" t="str">
        <f>_xlfn.IFNA(VLOOKUP($BD196,Programma!$F$3:$I$1101,4,0),"")</f>
        <v/>
      </c>
      <c r="BH196" s="114" t="str">
        <f>_xlfn.IFNA(VLOOKUP($BD196,Programma!$F$3:$J$1101,5,0),"")</f>
        <v/>
      </c>
      <c r="BI196" s="114" t="str">
        <f>_xlfn.IFNA(VLOOKUP($BD196,Programma!$F$3:$K$1101,6,0),"")</f>
        <v/>
      </c>
      <c r="BJ196" s="114" t="str">
        <f>_xlfn.IFNA(VLOOKUP($BD196,Programma!$F$3:$L$1101,7,0),"")</f>
        <v/>
      </c>
      <c r="BK196" s="114" t="str">
        <f>_xlfn.IFNA(VLOOKUP($BD196,Programma!$F$3:$M$1101,8,0),"")</f>
        <v/>
      </c>
      <c r="BL196" s="114" t="str">
        <f>_xlfn.IFNA(VLOOKUP($BD196,Programma!$F$3:$N$1101,9,0),"")</f>
        <v/>
      </c>
      <c r="BM196" s="114" t="str">
        <f>_xlfn.IFNA(VLOOKUP($BD196,Programma!$F$3:$O$1101,10,0),"")</f>
        <v/>
      </c>
      <c r="BN196" s="114" t="str">
        <f>_xlfn.IFNA(VLOOKUP($BD196,Programma!$F$3:$P$1101,11,0),"")</f>
        <v/>
      </c>
      <c r="BO196" s="114" t="str">
        <f>_xlfn.IFNA(VLOOKUP($BD196,Programma!$F$3:$Q$1101,12,0),"")</f>
        <v/>
      </c>
      <c r="BP196" s="114" t="str">
        <f>_xlfn.IFNA(VLOOKUP($BD196,Programma!$F$3:$R$1101,13,0),"")</f>
        <v/>
      </c>
      <c r="BQ196" s="114" t="str">
        <f>_xlfn.IFNA(VLOOKUP($BD196,Programma!$F$3:$S$1101,14,0),"")</f>
        <v/>
      </c>
      <c r="BR196" s="114" t="str">
        <f>_xlfn.IFNA(VLOOKUP($BD196,Programma!$F$3:$T$1101,15,0),"")</f>
        <v/>
      </c>
      <c r="BS196" s="114" t="str">
        <f>_xlfn.IFNA(VLOOKUP($BD196,Programma!$F$3:$U$1101,16,0),"")</f>
        <v/>
      </c>
      <c r="BT196" s="114" t="str">
        <f>_xlfn.IFNA(VLOOKUP($BD196,Programma!$F$3:$V$1101,17,0),"")</f>
        <v/>
      </c>
      <c r="BU196" s="114" t="str">
        <f>_xlfn.IFNA(VLOOKUP($BD196,Programma!$F$3:$W$1101,18,0),"")</f>
        <v/>
      </c>
      <c r="BV196" s="114" t="str">
        <f>_xlfn.IFNA(VLOOKUP($BD196,Programma!$F$3:$X$1101,19,0),"")</f>
        <v/>
      </c>
      <c r="BW196" s="114" t="str">
        <f>_xlfn.IFNA(VLOOKUP($BD196,Programma!$F$3:$Y$1101,20,0),"")</f>
        <v/>
      </c>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8"/>
      <c r="FJ196" s="28"/>
      <c r="FK196" s="28"/>
      <c r="FL196" s="28"/>
      <c r="FM196" s="28"/>
      <c r="FN196" s="28"/>
      <c r="FO196" s="28"/>
      <c r="FP196" s="28"/>
      <c r="FQ196" s="28"/>
      <c r="FR196" s="28"/>
      <c r="FS196" s="28"/>
      <c r="FT196" s="28"/>
      <c r="FU196" s="28"/>
      <c r="FV196" s="28"/>
      <c r="FW196" s="28"/>
      <c r="FX196" s="28"/>
      <c r="FY196" s="28"/>
      <c r="FZ196" s="28"/>
      <c r="GA196" s="28"/>
      <c r="GB196" s="28"/>
      <c r="GC196" s="28"/>
      <c r="GD196" s="28"/>
      <c r="GE196" s="28"/>
      <c r="GF196" s="28"/>
      <c r="GG196" s="28"/>
      <c r="GH196" s="28"/>
      <c r="GI196" s="28"/>
      <c r="GJ196" s="28"/>
      <c r="GK196" s="28"/>
      <c r="GL196" s="28"/>
      <c r="GM196" s="28"/>
      <c r="GN196" s="28"/>
      <c r="GO196" s="28"/>
      <c r="GP196" s="28"/>
      <c r="GQ196" s="28"/>
      <c r="GR196" s="28"/>
      <c r="GS196" s="28"/>
      <c r="GT196" s="28"/>
      <c r="GU196" s="28"/>
      <c r="GV196" s="28"/>
      <c r="GW196" s="28"/>
      <c r="GX196" s="28"/>
      <c r="GY196" s="28"/>
      <c r="GZ196" s="28"/>
      <c r="HA196" s="28"/>
      <c r="HB196" s="28"/>
      <c r="HC196" s="28"/>
      <c r="HD196" s="28"/>
      <c r="HE196" s="28"/>
      <c r="HF196" s="28"/>
      <c r="HG196" s="28"/>
      <c r="HH196" s="28"/>
      <c r="HI196" s="28"/>
      <c r="HJ196" s="28"/>
      <c r="HK196" s="28"/>
      <c r="HL196" s="28"/>
    </row>
    <row r="197" spans="1:220" ht="15" customHeight="1">
      <c r="A197" s="31">
        <v>5</v>
      </c>
      <c r="B197" s="105" t="str">
        <f>VLOOKUP(Ruimtestaat[[#This Row],[Code]],Locaties[[Code]:[Locatie]],2,FALSE)</f>
        <v>IKC Remigius</v>
      </c>
      <c r="C197" s="105" t="str">
        <f>VLOOKUP(Ruimtestaat[[#This Row],[Code]],Locaties[[#All],[Code]:[Adres]],4,FALSE)</f>
        <v>Liemersplein 1</v>
      </c>
      <c r="D197" s="105" t="str">
        <f>VLOOKUP(Ruimtestaat[[#This Row],[Code]],Locaties[[#All],[Code]:[Postcode]],5,FALSE)</f>
        <v xml:space="preserve">6921 HN </v>
      </c>
      <c r="E197" s="105" t="str">
        <f>VLOOKUP(Ruimtestaat[[#This Row],[Code]],Locaties[#All],6,FALSE)</f>
        <v>Duiven</v>
      </c>
      <c r="F197" s="73"/>
      <c r="G197" s="73" t="s">
        <v>1645</v>
      </c>
      <c r="H197" s="31" t="s">
        <v>1692</v>
      </c>
      <c r="I197" s="113" t="s">
        <v>1751</v>
      </c>
      <c r="J197" s="31">
        <v>18</v>
      </c>
      <c r="K197" s="113" t="str">
        <f>VLOOKUP(Ruimtestaat[[#This Row],[Ruimte code]],Ruimtegroepen[[#All],[Code]:[Ruimte omschrijving]],2,FALSE)</f>
        <v>Gymzaal</v>
      </c>
      <c r="L197" s="73" t="s">
        <v>102</v>
      </c>
      <c r="M197" s="273" t="s">
        <v>120</v>
      </c>
      <c r="N197" s="106">
        <v>82.7</v>
      </c>
      <c r="O197" s="112"/>
      <c r="P197" s="112"/>
      <c r="Q197" s="107" t="str">
        <f>VLOOKUP(Ruimtestaat[[#This Row],[Ruimte code]],Ruimtegroepen[],4,FALSE)</f>
        <v>Sp</v>
      </c>
      <c r="R197" s="73">
        <v>40</v>
      </c>
      <c r="S197" s="73" t="s">
        <v>18</v>
      </c>
      <c r="T197" s="73">
        <f>IF(R197&gt;0,IF(RIGHT(Ruimtestaat[[#This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97" s="73">
        <f>IF(T197&gt;0,VLOOKUP($J197,Ruimtegroepen[],3,FALSE)*VLOOKUP($L197,Vloersoorten[],3,FALSE)*VLOOKUP($S197,Frequenties[],3,FALSE)*VLOOKUP($A197,Locaties[],3,FALSE),0)</f>
        <v>0</v>
      </c>
      <c r="V197" s="73">
        <f>Ruimtestaat[[#This Row],[Uitvoeringen werkdagen]]*Ruimtestaat[[#This Row],[Oppervlak (netto)]]</f>
        <v>9924</v>
      </c>
      <c r="W197" s="108">
        <f>IF(U197&gt;0,Ruimtestaat[[#This Row],[Prest. (m2 /jaar) werkdagen]]/Ruimtestaat[[#This Row],[Norm (m2/uur) werkdagen]],0)</f>
        <v>0</v>
      </c>
      <c r="X197" s="109">
        <f>Ruimtestaat[[#This Row],[uren / jaar werkdagen]]*Tariefsopbouw!$E$35</f>
        <v>0</v>
      </c>
      <c r="Y197" s="73"/>
      <c r="Z197" s="73">
        <f>IF(Ruimtestaat[[#This Row],[Frequentie weekend]]&gt;0,VALUE(LEFT(Y197,1))*R197,0)</f>
        <v>0</v>
      </c>
      <c r="AA197" s="72">
        <f>IF($Z197&gt;0,VLOOKUP($J197,Ruimtegroepen[],3,FALSE)*VLOOKUP($L197,Vloersoorten[],3,FALSE)*VLOOKUP($Y197,Frequenties[],3,FALSE)*VLOOKUP(Ruimtestaat[[#This Row],[Code]],Locaties[],3,FALSE),0)</f>
        <v>0</v>
      </c>
      <c r="AB197" s="72">
        <f>Ruimtestaat[[#This Row],[Uitvoeringen weekend]]*Ruimtestaat[[#This Row],[Oppervlak (netto)]]</f>
        <v>0</v>
      </c>
      <c r="AC197" s="72">
        <f>IF(AA197&gt;0,Ruimtestaat[[#This Row],[Prest. (m2 /jaar) weekend]]/Ruimtestaat[[#This Row],[Norm (m2/uur) weekend]],0)</f>
        <v>0</v>
      </c>
      <c r="AD197" s="109">
        <f>Ruimtestaat[[#This Row],[uren / jaar weekend]]*Tariefsopbouw!$D$40</f>
        <v>0</v>
      </c>
      <c r="AE197" s="108">
        <f>Ruimtestaat[[#This Row],[Prest. (m2 /jaar) weekend]]+Ruimtestaat[[#This Row],[Prest. (m2 /jaar) werkdagen]]</f>
        <v>9924</v>
      </c>
      <c r="AF197" s="108">
        <f>Ruimtestaat[[#This Row],[uren / jaar weekend]]+Ruimtestaat[[#This Row],[uren / jaar werkdagen]]</f>
        <v>0</v>
      </c>
      <c r="AG197" s="103">
        <f>Ruimtestaat[[#This Row],[kosten / jaar weekend]]+Ruimtestaat[[#This Row],[kosten / jaar werkdagen]]</f>
        <v>0</v>
      </c>
      <c r="AH197" s="103"/>
      <c r="AI197" s="110" t="str">
        <f>IF(Ruimtestaat[[#This Row],[Frequentie werkdagen]]="","",_xlfn.CONCAT(Ruimtestaat[[#This Row],[Ruimte code]],"-",Ruimtestaat[[#This Row],[Frequentie werkdagen]]," ",Ruimtestaat[[#This Row],[Vloer code]]))</f>
        <v>18-3w P</v>
      </c>
      <c r="AJ197" s="114" t="str">
        <f>_xlfn.IFNA(VLOOKUP($AI197,Programma!$F$3:$G$1101,2,0),"")</f>
        <v>_</v>
      </c>
      <c r="AK197" s="114" t="str">
        <f>_xlfn.IFNA(VLOOKUP($AI197,Programma!$F$3:$H$1101,3,0),"")</f>
        <v>_</v>
      </c>
      <c r="AL197" s="114" t="str">
        <f>_xlfn.IFNA(VLOOKUP($AI197,Programma!$F$3:$I$1101,4,0),"")</f>
        <v>2w</v>
      </c>
      <c r="AM197" s="114" t="str">
        <f>_xlfn.IFNA(VLOOKUP($AI197,Programma!$F$3:$J$1101,5,0),"")</f>
        <v>1w</v>
      </c>
      <c r="AN197" s="114" t="str">
        <f>_xlfn.IFNA(VLOOKUP($AI197,Programma!$F$3:$K$1101,6,0),"")</f>
        <v>4j</v>
      </c>
      <c r="AO197" s="114" t="str">
        <f>_xlfn.IFNA(VLOOKUP($AI197,Programma!$F$3:$L$1101,7,0),"")</f>
        <v>_</v>
      </c>
      <c r="AP197" s="114" t="str">
        <f>_xlfn.IFNA(VLOOKUP($AI197,Programma!$F$3:$M$1101,8,0),"")</f>
        <v>_</v>
      </c>
      <c r="AQ197" s="114" t="str">
        <f>_xlfn.IFNA(VLOOKUP($AI197,Programma!$F$3:$N$1101,9,0),"")</f>
        <v>_</v>
      </c>
      <c r="AR197" s="114" t="str">
        <f>_xlfn.IFNA(VLOOKUP($AI197,Programma!$F$3:$O$1101,10,0),"")</f>
        <v>3w</v>
      </c>
      <c r="AS197" s="114" t="str">
        <f>_xlfn.IFNA(VLOOKUP($AI197,Programma!$F$3:$P$1101,11,0),"")</f>
        <v>3w</v>
      </c>
      <c r="AT197" s="114" t="str">
        <f>_xlfn.IFNA(VLOOKUP($AI197,Programma!$F$3:$Q$1101,12,0),"")</f>
        <v>3w</v>
      </c>
      <c r="AU197" s="114" t="str">
        <f>_xlfn.IFNA(VLOOKUP($AI197,Programma!$F$3:$R$1101,13,0),"")</f>
        <v>1w</v>
      </c>
      <c r="AV197" s="114" t="str">
        <f>_xlfn.IFNA(VLOOKUP($AI197,Programma!$F$3:$S$1101,14,0),"")</f>
        <v>1m</v>
      </c>
      <c r="AW197" s="114" t="str">
        <f>_xlfn.IFNA(VLOOKUP($AI197,Programma!$F$3:$T$1101,15,0),"")</f>
        <v>2j</v>
      </c>
      <c r="AX197" s="114" t="str">
        <f>_xlfn.IFNA(VLOOKUP($AI197,Programma!$F$3:$U$1101,16,0),"")</f>
        <v>1j</v>
      </c>
      <c r="AY197" s="114" t="str">
        <f>_xlfn.IFNA(VLOOKUP($AI197,Programma!$F$3:$V$1101,17,0),"")</f>
        <v>_</v>
      </c>
      <c r="AZ197" s="114" t="str">
        <f>_xlfn.IFNA(VLOOKUP($AI197,Programma!$F$3:$W$1101,18,0),"")</f>
        <v>_</v>
      </c>
      <c r="BA197" s="114" t="str">
        <f>_xlfn.IFNA(VLOOKUP($AI197,Programma!$F$3:$X$1101,19,0),"")</f>
        <v>_</v>
      </c>
      <c r="BB197" s="114" t="str">
        <f>_xlfn.IFNA(VLOOKUP($AI197,Programma!$F$3:$Y$1101,20,0),"")</f>
        <v>_</v>
      </c>
      <c r="BC197" s="111"/>
      <c r="BD197" s="110" t="str">
        <f>IF(Ruimtestaat[[#This Row],[Frequentie weekend]]="","",_xlfn.CONCAT(Ruimtestaat[[#This Row],[Ruimte code]],"-",Ruimtestaat[[#This Row],[Frequentie weekend]]," ",Ruimtestaat[[#This Row],[Vloer code]]))</f>
        <v/>
      </c>
      <c r="BE197" s="114" t="str">
        <f>_xlfn.IFNA(VLOOKUP($BD197,Programma!$F$3:$G$1101,2,0),"")</f>
        <v/>
      </c>
      <c r="BF197" s="114" t="str">
        <f>_xlfn.IFNA(VLOOKUP($BD197,Programma!$F$3:$H$1101,3,0),"")</f>
        <v/>
      </c>
      <c r="BG197" s="114" t="str">
        <f>_xlfn.IFNA(VLOOKUP($BD197,Programma!$F$3:$I$1101,4,0),"")</f>
        <v/>
      </c>
      <c r="BH197" s="114" t="str">
        <f>_xlfn.IFNA(VLOOKUP($BD197,Programma!$F$3:$J$1101,5,0),"")</f>
        <v/>
      </c>
      <c r="BI197" s="114" t="str">
        <f>_xlfn.IFNA(VLOOKUP($BD197,Programma!$F$3:$K$1101,6,0),"")</f>
        <v/>
      </c>
      <c r="BJ197" s="114" t="str">
        <f>_xlfn.IFNA(VLOOKUP($BD197,Programma!$F$3:$L$1101,7,0),"")</f>
        <v/>
      </c>
      <c r="BK197" s="114" t="str">
        <f>_xlfn.IFNA(VLOOKUP($BD197,Programma!$F$3:$M$1101,8,0),"")</f>
        <v/>
      </c>
      <c r="BL197" s="114" t="str">
        <f>_xlfn.IFNA(VLOOKUP($BD197,Programma!$F$3:$N$1101,9,0),"")</f>
        <v/>
      </c>
      <c r="BM197" s="114" t="str">
        <f>_xlfn.IFNA(VLOOKUP($BD197,Programma!$F$3:$O$1101,10,0),"")</f>
        <v/>
      </c>
      <c r="BN197" s="114" t="str">
        <f>_xlfn.IFNA(VLOOKUP($BD197,Programma!$F$3:$P$1101,11,0),"")</f>
        <v/>
      </c>
      <c r="BO197" s="114" t="str">
        <f>_xlfn.IFNA(VLOOKUP($BD197,Programma!$F$3:$Q$1101,12,0),"")</f>
        <v/>
      </c>
      <c r="BP197" s="114" t="str">
        <f>_xlfn.IFNA(VLOOKUP($BD197,Programma!$F$3:$R$1101,13,0),"")</f>
        <v/>
      </c>
      <c r="BQ197" s="114" t="str">
        <f>_xlfn.IFNA(VLOOKUP($BD197,Programma!$F$3:$S$1101,14,0),"")</f>
        <v/>
      </c>
      <c r="BR197" s="114" t="str">
        <f>_xlfn.IFNA(VLOOKUP($BD197,Programma!$F$3:$T$1101,15,0),"")</f>
        <v/>
      </c>
      <c r="BS197" s="114" t="str">
        <f>_xlfn.IFNA(VLOOKUP($BD197,Programma!$F$3:$U$1101,16,0),"")</f>
        <v/>
      </c>
      <c r="BT197" s="114" t="str">
        <f>_xlfn.IFNA(VLOOKUP($BD197,Programma!$F$3:$V$1101,17,0),"")</f>
        <v/>
      </c>
      <c r="BU197" s="114" t="str">
        <f>_xlfn.IFNA(VLOOKUP($BD197,Programma!$F$3:$W$1101,18,0),"")</f>
        <v/>
      </c>
      <c r="BV197" s="114" t="str">
        <f>_xlfn.IFNA(VLOOKUP($BD197,Programma!$F$3:$X$1101,19,0),"")</f>
        <v/>
      </c>
      <c r="BW197" s="114" t="str">
        <f>_xlfn.IFNA(VLOOKUP($BD197,Programma!$F$3:$Y$1101,20,0),"")</f>
        <v/>
      </c>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c r="EA197" s="28"/>
      <c r="EB197" s="28"/>
      <c r="EC197" s="28"/>
      <c r="ED197" s="28"/>
      <c r="EE197" s="28"/>
      <c r="EF197" s="28"/>
      <c r="EG197" s="28"/>
      <c r="EH197" s="28"/>
      <c r="EI197" s="28"/>
      <c r="EJ197" s="28"/>
      <c r="EK197" s="28"/>
      <c r="EL197" s="28"/>
      <c r="EM197" s="28"/>
      <c r="EN197" s="28"/>
      <c r="EO197" s="28"/>
      <c r="EP197" s="28"/>
      <c r="EQ197" s="28"/>
      <c r="ER197" s="28"/>
      <c r="ES197" s="28"/>
      <c r="ET197" s="28"/>
      <c r="EU197" s="28"/>
      <c r="EV197" s="28"/>
      <c r="EW197" s="28"/>
      <c r="EX197" s="28"/>
      <c r="EY197" s="28"/>
      <c r="EZ197" s="28"/>
      <c r="FA197" s="28"/>
      <c r="FB197" s="28"/>
      <c r="FC197" s="28"/>
      <c r="FD197" s="28"/>
      <c r="FE197" s="28"/>
      <c r="FF197" s="28"/>
      <c r="FG197" s="28"/>
      <c r="FH197" s="28"/>
      <c r="FI197" s="28"/>
      <c r="FJ197" s="28"/>
      <c r="FK197" s="28"/>
      <c r="FL197" s="28"/>
      <c r="FM197" s="28"/>
      <c r="FN197" s="28"/>
      <c r="FO197" s="28"/>
      <c r="FP197" s="28"/>
      <c r="FQ197" s="28"/>
      <c r="FR197" s="28"/>
      <c r="FS197" s="28"/>
      <c r="FT197" s="28"/>
      <c r="FU197" s="28"/>
      <c r="FV197" s="28"/>
      <c r="FW197" s="28"/>
      <c r="FX197" s="28"/>
      <c r="FY197" s="28"/>
      <c r="FZ197" s="28"/>
      <c r="GA197" s="28"/>
      <c r="GB197" s="28"/>
      <c r="GC197" s="28"/>
      <c r="GD197" s="28"/>
      <c r="GE197" s="28"/>
      <c r="GF197" s="28"/>
      <c r="GG197" s="28"/>
      <c r="GH197" s="28"/>
      <c r="GI197" s="28"/>
      <c r="GJ197" s="28"/>
      <c r="GK197" s="28"/>
      <c r="GL197" s="28"/>
      <c r="GM197" s="28"/>
      <c r="GN197" s="28"/>
      <c r="GO197" s="28"/>
      <c r="GP197" s="28"/>
      <c r="GQ197" s="28"/>
      <c r="GR197" s="28"/>
      <c r="GS197" s="28"/>
      <c r="GT197" s="28"/>
      <c r="GU197" s="28"/>
      <c r="GV197" s="28"/>
      <c r="GW197" s="28"/>
      <c r="GX197" s="28"/>
      <c r="GY197" s="28"/>
      <c r="GZ197" s="28"/>
      <c r="HA197" s="28"/>
      <c r="HB197" s="28"/>
      <c r="HC197" s="28"/>
      <c r="HD197" s="28"/>
      <c r="HE197" s="28"/>
      <c r="HF197" s="28"/>
      <c r="HG197" s="28"/>
      <c r="HH197" s="28"/>
      <c r="HI197" s="28"/>
      <c r="HJ197" s="28"/>
      <c r="HK197" s="28"/>
      <c r="HL197" s="28"/>
    </row>
    <row r="198" spans="1:220" ht="15" customHeight="1">
      <c r="A198" s="31">
        <v>5</v>
      </c>
      <c r="B198" s="105" t="str">
        <f>VLOOKUP(Ruimtestaat[[#This Row],[Code]],Locaties[[Code]:[Locatie]],2,FALSE)</f>
        <v>IKC Remigius</v>
      </c>
      <c r="C198" s="105" t="str">
        <f>VLOOKUP(Ruimtestaat[[#This Row],[Code]],Locaties[[#All],[Code]:[Adres]],4,FALSE)</f>
        <v>Liemersplein 1</v>
      </c>
      <c r="D198" s="105" t="str">
        <f>VLOOKUP(Ruimtestaat[[#This Row],[Code]],Locaties[[#All],[Code]:[Postcode]],5,FALSE)</f>
        <v xml:space="preserve">6921 HN </v>
      </c>
      <c r="E198" s="105" t="str">
        <f>VLOOKUP(Ruimtestaat[[#This Row],[Code]],Locaties[#All],6,FALSE)</f>
        <v>Duiven</v>
      </c>
      <c r="F198" s="73"/>
      <c r="G198" s="73" t="s">
        <v>1645</v>
      </c>
      <c r="H198" s="31" t="s">
        <v>1693</v>
      </c>
      <c r="I198" s="113" t="s">
        <v>1821</v>
      </c>
      <c r="J198" s="31">
        <v>10</v>
      </c>
      <c r="K198" s="113" t="str">
        <f>VLOOKUP(Ruimtestaat[[#This Row],[Ruimte code]],Ruimtegroepen[[#All],[Code]:[Ruimte omschrijving]],2,FALSE)</f>
        <v>Trappenhuizen/lift</v>
      </c>
      <c r="L198" s="73" t="s">
        <v>102</v>
      </c>
      <c r="M198" s="273" t="s">
        <v>120</v>
      </c>
      <c r="N198" s="106">
        <v>1.9</v>
      </c>
      <c r="O198" s="112"/>
      <c r="P198" s="73"/>
      <c r="Q198" s="107" t="str">
        <f>VLOOKUP(Ruimtestaat[[#This Row],[Ruimte code]],Ruimtegroepen[],4,FALSE)</f>
        <v>Ve</v>
      </c>
      <c r="R198" s="73">
        <v>40</v>
      </c>
      <c r="S198" s="73" t="s">
        <v>2</v>
      </c>
      <c r="T198" s="73">
        <f>IF(R198&gt;0,IF(RIGHT(Ruimtestaat[[#This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8" s="73">
        <f>IF(T198&gt;0,VLOOKUP($J198,Ruimtegroepen[],3,FALSE)*VLOOKUP($L198,Vloersoorten[],3,FALSE)*VLOOKUP($S198,Frequenties[],3,FALSE)*VLOOKUP($A198,Locaties[],3,FALSE),0)</f>
        <v>0</v>
      </c>
      <c r="V198" s="73">
        <f>Ruimtestaat[[#This Row],[Uitvoeringen werkdagen]]*Ruimtestaat[[#This Row],[Oppervlak (netto)]]</f>
        <v>380</v>
      </c>
      <c r="W198" s="108">
        <f>IF(U198&gt;0,Ruimtestaat[[#This Row],[Prest. (m2 /jaar) werkdagen]]/Ruimtestaat[[#This Row],[Norm (m2/uur) werkdagen]],0)</f>
        <v>0</v>
      </c>
      <c r="X198" s="109">
        <f>Ruimtestaat[[#This Row],[uren / jaar werkdagen]]*Tariefsopbouw!$E$35</f>
        <v>0</v>
      </c>
      <c r="Y198" s="73"/>
      <c r="Z198" s="73">
        <f>IF(Ruimtestaat[[#This Row],[Frequentie weekend]]&gt;0,VALUE(LEFT(Y198,1))*R198,0)</f>
        <v>0</v>
      </c>
      <c r="AA198" s="72">
        <f>IF($Z198&gt;0,VLOOKUP($J198,Ruimtegroepen[],3,FALSE)*VLOOKUP($L198,Vloersoorten[],3,FALSE)*VLOOKUP($Y198,Frequenties[],3,FALSE)*VLOOKUP(Ruimtestaat[[#This Row],[Code]],Locaties[],3,FALSE),0)</f>
        <v>0</v>
      </c>
      <c r="AB198" s="72">
        <f>Ruimtestaat[[#This Row],[Uitvoeringen weekend]]*Ruimtestaat[[#This Row],[Oppervlak (netto)]]</f>
        <v>0</v>
      </c>
      <c r="AC198" s="72">
        <f>IF(AA198&gt;0,Ruimtestaat[[#This Row],[Prest. (m2 /jaar) weekend]]/Ruimtestaat[[#This Row],[Norm (m2/uur) weekend]],0)</f>
        <v>0</v>
      </c>
      <c r="AD198" s="109">
        <f>Ruimtestaat[[#This Row],[uren / jaar weekend]]*Tariefsopbouw!$D$40</f>
        <v>0</v>
      </c>
      <c r="AE198" s="108">
        <f>Ruimtestaat[[#This Row],[Prest. (m2 /jaar) weekend]]+Ruimtestaat[[#This Row],[Prest. (m2 /jaar) werkdagen]]</f>
        <v>380</v>
      </c>
      <c r="AF198" s="108">
        <f>Ruimtestaat[[#This Row],[uren / jaar weekend]]+Ruimtestaat[[#This Row],[uren / jaar werkdagen]]</f>
        <v>0</v>
      </c>
      <c r="AG198" s="103">
        <f>Ruimtestaat[[#This Row],[kosten / jaar weekend]]+Ruimtestaat[[#This Row],[kosten / jaar werkdagen]]</f>
        <v>0</v>
      </c>
      <c r="AH198" s="103"/>
      <c r="AI198" s="110" t="str">
        <f>IF(Ruimtestaat[[#This Row],[Frequentie werkdagen]]="","",_xlfn.CONCAT(Ruimtestaat[[#This Row],[Ruimte code]],"-",Ruimtestaat[[#This Row],[Frequentie werkdagen]]," ",Ruimtestaat[[#This Row],[Vloer code]]))</f>
        <v>10-5w P</v>
      </c>
      <c r="AJ198" s="114" t="str">
        <f>_xlfn.IFNA(VLOOKUP($AI198,Programma!$F$3:$G$1101,2,0),"")</f>
        <v>_</v>
      </c>
      <c r="AK198" s="114" t="str">
        <f>_xlfn.IFNA(VLOOKUP($AI198,Programma!$F$3:$H$1101,3,0),"")</f>
        <v>_</v>
      </c>
      <c r="AL198" s="114" t="str">
        <f>_xlfn.IFNA(VLOOKUP($AI198,Programma!$F$3:$I$1101,4,0),"")</f>
        <v>5w</v>
      </c>
      <c r="AM198" s="114" t="str">
        <f>_xlfn.IFNA(VLOOKUP($AI198,Programma!$F$3:$J$1101,5,0),"")</f>
        <v>_</v>
      </c>
      <c r="AN198" s="114" t="str">
        <f>_xlfn.IFNA(VLOOKUP($AI198,Programma!$F$3:$K$1101,6,0),"")</f>
        <v>4j</v>
      </c>
      <c r="AO198" s="114" t="str">
        <f>_xlfn.IFNA(VLOOKUP($AI198,Programma!$F$3:$L$1101,7,0),"")</f>
        <v>_</v>
      </c>
      <c r="AP198" s="114" t="str">
        <f>_xlfn.IFNA(VLOOKUP($AI198,Programma!$F$3:$M$1101,8,0),"")</f>
        <v>_</v>
      </c>
      <c r="AQ198" s="114" t="str">
        <f>_xlfn.IFNA(VLOOKUP($AI198,Programma!$F$3:$N$1101,9,0),"")</f>
        <v>_</v>
      </c>
      <c r="AR198" s="114" t="str">
        <f>_xlfn.IFNA(VLOOKUP($AI198,Programma!$F$3:$O$1101,10,0),"")</f>
        <v>5w</v>
      </c>
      <c r="AS198" s="114" t="str">
        <f>_xlfn.IFNA(VLOOKUP($AI198,Programma!$F$3:$P$1101,11,0),"")</f>
        <v>5w</v>
      </c>
      <c r="AT198" s="114" t="str">
        <f>_xlfn.IFNA(VLOOKUP($AI198,Programma!$F$3:$Q$1101,12,0),"")</f>
        <v>1w</v>
      </c>
      <c r="AU198" s="114" t="str">
        <f>_xlfn.IFNA(VLOOKUP($AI198,Programma!$F$3:$R$1101,13,0),"")</f>
        <v>1w</v>
      </c>
      <c r="AV198" s="114" t="str">
        <f>_xlfn.IFNA(VLOOKUP($AI198,Programma!$F$3:$S$1101,14,0),"")</f>
        <v>1m</v>
      </c>
      <c r="AW198" s="114" t="str">
        <f>_xlfn.IFNA(VLOOKUP($AI198,Programma!$F$3:$T$1101,15,0),"")</f>
        <v>2j</v>
      </c>
      <c r="AX198" s="114" t="str">
        <f>_xlfn.IFNA(VLOOKUP($AI198,Programma!$F$3:$U$1101,16,0),"")</f>
        <v>1j</v>
      </c>
      <c r="AY198" s="114" t="str">
        <f>_xlfn.IFNA(VLOOKUP($AI198,Programma!$F$3:$V$1101,17,0),"")</f>
        <v>_</v>
      </c>
      <c r="AZ198" s="114" t="str">
        <f>_xlfn.IFNA(VLOOKUP($AI198,Programma!$F$3:$W$1101,18,0),"")</f>
        <v>_</v>
      </c>
      <c r="BA198" s="114" t="str">
        <f>_xlfn.IFNA(VLOOKUP($AI198,Programma!$F$3:$X$1101,19,0),"")</f>
        <v>_</v>
      </c>
      <c r="BB198" s="114" t="str">
        <f>_xlfn.IFNA(VLOOKUP($AI198,Programma!$F$3:$Y$1101,20,0),"")</f>
        <v>_</v>
      </c>
      <c r="BC198" s="111"/>
      <c r="BD198" s="110" t="str">
        <f>IF(Ruimtestaat[[#This Row],[Frequentie weekend]]="","",_xlfn.CONCAT(Ruimtestaat[[#This Row],[Ruimte code]],"-",Ruimtestaat[[#This Row],[Frequentie weekend]]," ",Ruimtestaat[[#This Row],[Vloer code]]))</f>
        <v/>
      </c>
      <c r="BE198" s="114" t="str">
        <f>_xlfn.IFNA(VLOOKUP($BD198,Programma!$F$3:$G$1101,2,0),"")</f>
        <v/>
      </c>
      <c r="BF198" s="114" t="str">
        <f>_xlfn.IFNA(VLOOKUP($BD198,Programma!$F$3:$H$1101,3,0),"")</f>
        <v/>
      </c>
      <c r="BG198" s="114" t="str">
        <f>_xlfn.IFNA(VLOOKUP($BD198,Programma!$F$3:$I$1101,4,0),"")</f>
        <v/>
      </c>
      <c r="BH198" s="114" t="str">
        <f>_xlfn.IFNA(VLOOKUP($BD198,Programma!$F$3:$J$1101,5,0),"")</f>
        <v/>
      </c>
      <c r="BI198" s="114" t="str">
        <f>_xlfn.IFNA(VLOOKUP($BD198,Programma!$F$3:$K$1101,6,0),"")</f>
        <v/>
      </c>
      <c r="BJ198" s="114" t="str">
        <f>_xlfn.IFNA(VLOOKUP($BD198,Programma!$F$3:$L$1101,7,0),"")</f>
        <v/>
      </c>
      <c r="BK198" s="114" t="str">
        <f>_xlfn.IFNA(VLOOKUP($BD198,Programma!$F$3:$M$1101,8,0),"")</f>
        <v/>
      </c>
      <c r="BL198" s="114" t="str">
        <f>_xlfn.IFNA(VLOOKUP($BD198,Programma!$F$3:$N$1101,9,0),"")</f>
        <v/>
      </c>
      <c r="BM198" s="114" t="str">
        <f>_xlfn.IFNA(VLOOKUP($BD198,Programma!$F$3:$O$1101,10,0),"")</f>
        <v/>
      </c>
      <c r="BN198" s="114" t="str">
        <f>_xlfn.IFNA(VLOOKUP($BD198,Programma!$F$3:$P$1101,11,0),"")</f>
        <v/>
      </c>
      <c r="BO198" s="114" t="str">
        <f>_xlfn.IFNA(VLOOKUP($BD198,Programma!$F$3:$Q$1101,12,0),"")</f>
        <v/>
      </c>
      <c r="BP198" s="114" t="str">
        <f>_xlfn.IFNA(VLOOKUP($BD198,Programma!$F$3:$R$1101,13,0),"")</f>
        <v/>
      </c>
      <c r="BQ198" s="114" t="str">
        <f>_xlfn.IFNA(VLOOKUP($BD198,Programma!$F$3:$S$1101,14,0),"")</f>
        <v/>
      </c>
      <c r="BR198" s="114" t="str">
        <f>_xlfn.IFNA(VLOOKUP($BD198,Programma!$F$3:$T$1101,15,0),"")</f>
        <v/>
      </c>
      <c r="BS198" s="114" t="str">
        <f>_xlfn.IFNA(VLOOKUP($BD198,Programma!$F$3:$U$1101,16,0),"")</f>
        <v/>
      </c>
      <c r="BT198" s="114" t="str">
        <f>_xlfn.IFNA(VLOOKUP($BD198,Programma!$F$3:$V$1101,17,0),"")</f>
        <v/>
      </c>
      <c r="BU198" s="114" t="str">
        <f>_xlfn.IFNA(VLOOKUP($BD198,Programma!$F$3:$W$1101,18,0),"")</f>
        <v/>
      </c>
      <c r="BV198" s="114" t="str">
        <f>_xlfn.IFNA(VLOOKUP($BD198,Programma!$F$3:$X$1101,19,0),"")</f>
        <v/>
      </c>
      <c r="BW198" s="114" t="str">
        <f>_xlfn.IFNA(VLOOKUP($BD198,Programma!$F$3:$Y$1101,20,0),"")</f>
        <v/>
      </c>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c r="DB198" s="28"/>
      <c r="DC198" s="28"/>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c r="EA198" s="28"/>
      <c r="EB198" s="28"/>
      <c r="EC198" s="28"/>
      <c r="ED198" s="28"/>
      <c r="EE198" s="28"/>
      <c r="EF198" s="28"/>
      <c r="EG198" s="28"/>
      <c r="EH198" s="28"/>
      <c r="EI198" s="28"/>
      <c r="EJ198" s="28"/>
      <c r="EK198" s="28"/>
      <c r="EL198" s="28"/>
      <c r="EM198" s="28"/>
      <c r="EN198" s="28"/>
      <c r="EO198" s="28"/>
      <c r="EP198" s="28"/>
      <c r="EQ198" s="28"/>
      <c r="ER198" s="28"/>
      <c r="ES198" s="28"/>
      <c r="ET198" s="28"/>
      <c r="EU198" s="28"/>
      <c r="EV198" s="28"/>
      <c r="EW198" s="28"/>
      <c r="EX198" s="28"/>
      <c r="EY198" s="28"/>
      <c r="EZ198" s="28"/>
      <c r="FA198" s="28"/>
      <c r="FB198" s="28"/>
      <c r="FC198" s="28"/>
      <c r="FD198" s="28"/>
      <c r="FE198" s="28"/>
      <c r="FF198" s="28"/>
      <c r="FG198" s="28"/>
      <c r="FH198" s="28"/>
      <c r="FI198" s="28"/>
      <c r="FJ198" s="28"/>
      <c r="FK198" s="28"/>
      <c r="FL198" s="28"/>
      <c r="FM198" s="28"/>
      <c r="FN198" s="28"/>
      <c r="FO198" s="28"/>
      <c r="FP198" s="28"/>
      <c r="FQ198" s="28"/>
      <c r="FR198" s="28"/>
      <c r="FS198" s="28"/>
      <c r="FT198" s="28"/>
      <c r="FU198" s="28"/>
      <c r="FV198" s="28"/>
      <c r="FW198" s="28"/>
      <c r="FX198" s="28"/>
      <c r="FY198" s="28"/>
      <c r="FZ198" s="28"/>
      <c r="GA198" s="28"/>
      <c r="GB198" s="28"/>
      <c r="GC198" s="28"/>
      <c r="GD198" s="28"/>
      <c r="GE198" s="28"/>
      <c r="GF198" s="28"/>
      <c r="GG198" s="28"/>
      <c r="GH198" s="28"/>
      <c r="GI198" s="28"/>
      <c r="GJ198" s="28"/>
      <c r="GK198" s="28"/>
      <c r="GL198" s="28"/>
      <c r="GM198" s="28"/>
      <c r="GN198" s="28"/>
      <c r="GO198" s="28"/>
      <c r="GP198" s="28"/>
      <c r="GQ198" s="28"/>
      <c r="GR198" s="28"/>
      <c r="GS198" s="28"/>
      <c r="GT198" s="28"/>
      <c r="GU198" s="28"/>
      <c r="GV198" s="28"/>
      <c r="GW198" s="28"/>
      <c r="GX198" s="28"/>
      <c r="GY198" s="28"/>
      <c r="GZ198" s="28"/>
      <c r="HA198" s="28"/>
      <c r="HB198" s="28"/>
      <c r="HC198" s="28"/>
      <c r="HD198" s="28"/>
      <c r="HE198" s="28"/>
      <c r="HF198" s="28"/>
      <c r="HG198" s="28"/>
      <c r="HH198" s="28"/>
      <c r="HI198" s="28"/>
      <c r="HJ198" s="28"/>
      <c r="HK198" s="28"/>
      <c r="HL198" s="28"/>
    </row>
    <row r="199" spans="1:220" ht="15" customHeight="1">
      <c r="A199" s="31">
        <v>5</v>
      </c>
      <c r="B199" s="105" t="str">
        <f>VLOOKUP(Ruimtestaat[[#This Row],[Code]],Locaties[[Code]:[Locatie]],2,FALSE)</f>
        <v>IKC Remigius</v>
      </c>
      <c r="C199" s="105" t="str">
        <f>VLOOKUP(Ruimtestaat[[#This Row],[Code]],Locaties[[#All],[Code]:[Adres]],4,FALSE)</f>
        <v>Liemersplein 1</v>
      </c>
      <c r="D199" s="105" t="str">
        <f>VLOOKUP(Ruimtestaat[[#This Row],[Code]],Locaties[[#All],[Code]:[Postcode]],5,FALSE)</f>
        <v xml:space="preserve">6921 HN </v>
      </c>
      <c r="E199" s="105" t="str">
        <f>VLOOKUP(Ruimtestaat[[#This Row],[Code]],Locaties[#All],6,FALSE)</f>
        <v>Duiven</v>
      </c>
      <c r="F199" s="73"/>
      <c r="G199" s="73" t="s">
        <v>1645</v>
      </c>
      <c r="H199" s="31" t="s">
        <v>1694</v>
      </c>
      <c r="I199" s="113" t="s">
        <v>1723</v>
      </c>
      <c r="J199" s="31">
        <v>5</v>
      </c>
      <c r="K199" s="113" t="str">
        <f>VLOOKUP(Ruimtestaat[[#This Row],[Ruimte code]],Ruimtegroepen[[#All],[Code]:[Ruimte omschrijving]],2,FALSE)</f>
        <v>Sanitair</v>
      </c>
      <c r="L199" s="73" t="s">
        <v>101</v>
      </c>
      <c r="M199" s="273" t="s">
        <v>1893</v>
      </c>
      <c r="N199" s="106">
        <v>2.2999999999999998</v>
      </c>
      <c r="O199" s="112"/>
      <c r="P199" s="112"/>
      <c r="Q199" s="107" t="str">
        <f>VLOOKUP(Ruimtestaat[[#This Row],[Ruimte code]],Ruimtegroepen[],4,FALSE)</f>
        <v>Sa</v>
      </c>
      <c r="R199" s="73">
        <v>40</v>
      </c>
      <c r="S199" s="73" t="s">
        <v>2</v>
      </c>
      <c r="T199" s="73">
        <f>IF(R199&gt;0,IF(RIGHT(Ruimtestaat[[#This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9" s="73">
        <f>IF(T199&gt;0,VLOOKUP($J199,Ruimtegroepen[],3,FALSE)*VLOOKUP($L199,Vloersoorten[],3,FALSE)*VLOOKUP($S199,Frequenties[],3,FALSE)*VLOOKUP($A199,Locaties[],3,FALSE),0)</f>
        <v>0</v>
      </c>
      <c r="V199" s="73">
        <f>Ruimtestaat[[#This Row],[Uitvoeringen werkdagen]]*Ruimtestaat[[#This Row],[Oppervlak (netto)]]</f>
        <v>459.99999999999994</v>
      </c>
      <c r="W199" s="108">
        <f>IF(U199&gt;0,Ruimtestaat[[#This Row],[Prest. (m2 /jaar) werkdagen]]/Ruimtestaat[[#This Row],[Norm (m2/uur) werkdagen]],0)</f>
        <v>0</v>
      </c>
      <c r="X199" s="109">
        <f>Ruimtestaat[[#This Row],[uren / jaar werkdagen]]*Tariefsopbouw!$E$35</f>
        <v>0</v>
      </c>
      <c r="Y199" s="73"/>
      <c r="Z199" s="73">
        <f>IF(Ruimtestaat[[#This Row],[Frequentie weekend]]&gt;0,VALUE(LEFT(Y199,1))*R199,0)</f>
        <v>0</v>
      </c>
      <c r="AA199" s="72">
        <f>IF($Z199&gt;0,VLOOKUP($J199,Ruimtegroepen[],3,FALSE)*VLOOKUP($L199,Vloersoorten[],3,FALSE)*VLOOKUP($Y199,Frequenties[],3,FALSE)*VLOOKUP(Ruimtestaat[[#This Row],[Code]],Locaties[],3,FALSE),0)</f>
        <v>0</v>
      </c>
      <c r="AB199" s="72">
        <f>Ruimtestaat[[#This Row],[Uitvoeringen weekend]]*Ruimtestaat[[#This Row],[Oppervlak (netto)]]</f>
        <v>0</v>
      </c>
      <c r="AC199" s="72">
        <f>IF(AA199&gt;0,Ruimtestaat[[#This Row],[Prest. (m2 /jaar) weekend]]/Ruimtestaat[[#This Row],[Norm (m2/uur) weekend]],0)</f>
        <v>0</v>
      </c>
      <c r="AD199" s="109">
        <f>Ruimtestaat[[#This Row],[uren / jaar weekend]]*Tariefsopbouw!$D$40</f>
        <v>0</v>
      </c>
      <c r="AE199" s="108">
        <f>Ruimtestaat[[#This Row],[Prest. (m2 /jaar) weekend]]+Ruimtestaat[[#This Row],[Prest. (m2 /jaar) werkdagen]]</f>
        <v>459.99999999999994</v>
      </c>
      <c r="AF199" s="108">
        <f>Ruimtestaat[[#This Row],[uren / jaar weekend]]+Ruimtestaat[[#This Row],[uren / jaar werkdagen]]</f>
        <v>0</v>
      </c>
      <c r="AG199" s="103">
        <f>Ruimtestaat[[#This Row],[kosten / jaar weekend]]+Ruimtestaat[[#This Row],[kosten / jaar werkdagen]]</f>
        <v>0</v>
      </c>
      <c r="AH199" s="103"/>
      <c r="AI199" s="110" t="str">
        <f>IF(Ruimtestaat[[#This Row],[Frequentie werkdagen]]="","",_xlfn.CONCAT(Ruimtestaat[[#This Row],[Ruimte code]],"-",Ruimtestaat[[#This Row],[Frequentie werkdagen]]," ",Ruimtestaat[[#This Row],[Vloer code]]))</f>
        <v>5-5w S</v>
      </c>
      <c r="AJ199" s="114" t="str">
        <f>_xlfn.IFNA(VLOOKUP($AI199,Programma!$F$3:$G$1101,2,0),"")</f>
        <v>_</v>
      </c>
      <c r="AK199" s="114" t="str">
        <f>_xlfn.IFNA(VLOOKUP($AI199,Programma!$F$3:$H$1101,3,0),"")</f>
        <v>_</v>
      </c>
      <c r="AL199" s="114" t="str">
        <f>_xlfn.IFNA(VLOOKUP($AI199,Programma!$F$3:$I$1101,4,0),"")</f>
        <v>_</v>
      </c>
      <c r="AM199" s="114" t="str">
        <f>_xlfn.IFNA(VLOOKUP($AI199,Programma!$F$3:$J$1101,5,0),"")</f>
        <v>4w</v>
      </c>
      <c r="AN199" s="114" t="str">
        <f>_xlfn.IFNA(VLOOKUP($AI199,Programma!$F$3:$K$1101,6,0),"")</f>
        <v>1w</v>
      </c>
      <c r="AO199" s="114" t="str">
        <f>_xlfn.IFNA(VLOOKUP($AI199,Programma!$F$3:$L$1101,7,0),"")</f>
        <v>_</v>
      </c>
      <c r="AP199" s="114" t="str">
        <f>_xlfn.IFNA(VLOOKUP($AI199,Programma!$F$3:$M$1101,8,0),"")</f>
        <v>_</v>
      </c>
      <c r="AQ199" s="114" t="str">
        <f>_xlfn.IFNA(VLOOKUP($AI199,Programma!$F$3:$N$1101,9,0),"")</f>
        <v>_</v>
      </c>
      <c r="AR199" s="114" t="str">
        <f>_xlfn.IFNA(VLOOKUP($AI199,Programma!$F$3:$O$1101,10,0),"")</f>
        <v>_</v>
      </c>
      <c r="AS199" s="114" t="str">
        <f>_xlfn.IFNA(VLOOKUP($AI199,Programma!$F$3:$P$1101,11,0),"")</f>
        <v>_</v>
      </c>
      <c r="AT199" s="114" t="str">
        <f>_xlfn.IFNA(VLOOKUP($AI199,Programma!$F$3:$Q$1101,12,0),"")</f>
        <v>_</v>
      </c>
      <c r="AU199" s="114" t="str">
        <f>_xlfn.IFNA(VLOOKUP($AI199,Programma!$F$3:$R$1101,13,0),"")</f>
        <v>_</v>
      </c>
      <c r="AV199" s="114" t="str">
        <f>_xlfn.IFNA(VLOOKUP($AI199,Programma!$F$3:$S$1101,14,0),"")</f>
        <v>_</v>
      </c>
      <c r="AW199" s="114" t="str">
        <f>_xlfn.IFNA(VLOOKUP($AI199,Programma!$F$3:$T$1101,15,0),"")</f>
        <v>_</v>
      </c>
      <c r="AX199" s="114" t="str">
        <f>_xlfn.IFNA(VLOOKUP($AI199,Programma!$F$3:$U$1101,16,0),"")</f>
        <v>_</v>
      </c>
      <c r="AY199" s="114" t="str">
        <f>_xlfn.IFNA(VLOOKUP($AI199,Programma!$F$3:$V$1101,17,0),"")</f>
        <v>_</v>
      </c>
      <c r="AZ199" s="114" t="str">
        <f>_xlfn.IFNA(VLOOKUP($AI199,Programma!$F$3:$W$1101,18,0),"")</f>
        <v>4w</v>
      </c>
      <c r="BA199" s="114" t="str">
        <f>_xlfn.IFNA(VLOOKUP($AI199,Programma!$F$3:$X$1101,19,0),"")</f>
        <v>1w</v>
      </c>
      <c r="BB199" s="114" t="str">
        <f>_xlfn.IFNA(VLOOKUP($AI199,Programma!$F$3:$Y$1101,20,0),"")</f>
        <v>_</v>
      </c>
      <c r="BC199" s="111"/>
      <c r="BD199" s="110" t="str">
        <f>IF(Ruimtestaat[[#This Row],[Frequentie weekend]]="","",_xlfn.CONCAT(Ruimtestaat[[#This Row],[Ruimte code]],"-",Ruimtestaat[[#This Row],[Frequentie weekend]]," ",Ruimtestaat[[#This Row],[Vloer code]]))</f>
        <v/>
      </c>
      <c r="BE199" s="114" t="str">
        <f>_xlfn.IFNA(VLOOKUP($BD199,Programma!$F$3:$G$1101,2,0),"")</f>
        <v/>
      </c>
      <c r="BF199" s="114" t="str">
        <f>_xlfn.IFNA(VLOOKUP($BD199,Programma!$F$3:$H$1101,3,0),"")</f>
        <v/>
      </c>
      <c r="BG199" s="114" t="str">
        <f>_xlfn.IFNA(VLOOKUP($BD199,Programma!$F$3:$I$1101,4,0),"")</f>
        <v/>
      </c>
      <c r="BH199" s="114" t="str">
        <f>_xlfn.IFNA(VLOOKUP($BD199,Programma!$F$3:$J$1101,5,0),"")</f>
        <v/>
      </c>
      <c r="BI199" s="114" t="str">
        <f>_xlfn.IFNA(VLOOKUP($BD199,Programma!$F$3:$K$1101,6,0),"")</f>
        <v/>
      </c>
      <c r="BJ199" s="114" t="str">
        <f>_xlfn.IFNA(VLOOKUP($BD199,Programma!$F$3:$L$1101,7,0),"")</f>
        <v/>
      </c>
      <c r="BK199" s="114" t="str">
        <f>_xlfn.IFNA(VLOOKUP($BD199,Programma!$F$3:$M$1101,8,0),"")</f>
        <v/>
      </c>
      <c r="BL199" s="114" t="str">
        <f>_xlfn.IFNA(VLOOKUP($BD199,Programma!$F$3:$N$1101,9,0),"")</f>
        <v/>
      </c>
      <c r="BM199" s="114" t="str">
        <f>_xlfn.IFNA(VLOOKUP($BD199,Programma!$F$3:$O$1101,10,0),"")</f>
        <v/>
      </c>
      <c r="BN199" s="114" t="str">
        <f>_xlfn.IFNA(VLOOKUP($BD199,Programma!$F$3:$P$1101,11,0),"")</f>
        <v/>
      </c>
      <c r="BO199" s="114" t="str">
        <f>_xlfn.IFNA(VLOOKUP($BD199,Programma!$F$3:$Q$1101,12,0),"")</f>
        <v/>
      </c>
      <c r="BP199" s="114" t="str">
        <f>_xlfn.IFNA(VLOOKUP($BD199,Programma!$F$3:$R$1101,13,0),"")</f>
        <v/>
      </c>
      <c r="BQ199" s="114" t="str">
        <f>_xlfn.IFNA(VLOOKUP($BD199,Programma!$F$3:$S$1101,14,0),"")</f>
        <v/>
      </c>
      <c r="BR199" s="114" t="str">
        <f>_xlfn.IFNA(VLOOKUP($BD199,Programma!$F$3:$T$1101,15,0),"")</f>
        <v/>
      </c>
      <c r="BS199" s="114" t="str">
        <f>_xlfn.IFNA(VLOOKUP($BD199,Programma!$F$3:$U$1101,16,0),"")</f>
        <v/>
      </c>
      <c r="BT199" s="114" t="str">
        <f>_xlfn.IFNA(VLOOKUP($BD199,Programma!$F$3:$V$1101,17,0),"")</f>
        <v/>
      </c>
      <c r="BU199" s="114" t="str">
        <f>_xlfn.IFNA(VLOOKUP($BD199,Programma!$F$3:$W$1101,18,0),"")</f>
        <v/>
      </c>
      <c r="BV199" s="114" t="str">
        <f>_xlfn.IFNA(VLOOKUP($BD199,Programma!$F$3:$X$1101,19,0),"")</f>
        <v/>
      </c>
      <c r="BW199" s="114" t="str">
        <f>_xlfn.IFNA(VLOOKUP($BD199,Programma!$F$3:$Y$1101,20,0),"")</f>
        <v/>
      </c>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c r="EA199" s="28"/>
      <c r="EB199" s="28"/>
      <c r="EC199" s="28"/>
      <c r="ED199" s="28"/>
      <c r="EE199" s="28"/>
      <c r="EF199" s="28"/>
      <c r="EG199" s="28"/>
      <c r="EH199" s="28"/>
      <c r="EI199" s="28"/>
      <c r="EJ199" s="28"/>
      <c r="EK199" s="28"/>
      <c r="EL199" s="28"/>
      <c r="EM199" s="28"/>
      <c r="EN199" s="28"/>
      <c r="EO199" s="28"/>
      <c r="EP199" s="28"/>
      <c r="EQ199" s="28"/>
      <c r="ER199" s="28"/>
      <c r="ES199" s="28"/>
      <c r="ET199" s="28"/>
      <c r="EU199" s="28"/>
      <c r="EV199" s="28"/>
      <c r="EW199" s="28"/>
      <c r="EX199" s="28"/>
      <c r="EY199" s="28"/>
      <c r="EZ199" s="28"/>
      <c r="FA199" s="28"/>
      <c r="FB199" s="28"/>
      <c r="FC199" s="28"/>
      <c r="FD199" s="28"/>
      <c r="FE199" s="28"/>
      <c r="FF199" s="28"/>
      <c r="FG199" s="28"/>
      <c r="FH199" s="28"/>
      <c r="FI199" s="28"/>
      <c r="FJ199" s="28"/>
      <c r="FK199" s="28"/>
      <c r="FL199" s="28"/>
      <c r="FM199" s="28"/>
      <c r="FN199" s="28"/>
      <c r="FO199" s="28"/>
      <c r="FP199" s="28"/>
      <c r="FQ199" s="28"/>
      <c r="FR199" s="28"/>
      <c r="FS199" s="28"/>
      <c r="FT199" s="28"/>
      <c r="FU199" s="28"/>
      <c r="FV199" s="28"/>
      <c r="FW199" s="28"/>
      <c r="FX199" s="28"/>
      <c r="FY199" s="28"/>
      <c r="FZ199" s="28"/>
      <c r="GA199" s="28"/>
      <c r="GB199" s="28"/>
      <c r="GC199" s="28"/>
      <c r="GD199" s="28"/>
      <c r="GE199" s="28"/>
      <c r="GF199" s="28"/>
      <c r="GG199" s="28"/>
      <c r="GH199" s="28"/>
      <c r="GI199" s="28"/>
      <c r="GJ199" s="28"/>
      <c r="GK199" s="28"/>
      <c r="GL199" s="28"/>
      <c r="GM199" s="28"/>
      <c r="GN199" s="28"/>
      <c r="GO199" s="28"/>
      <c r="GP199" s="28"/>
      <c r="GQ199" s="28"/>
      <c r="GR199" s="28"/>
      <c r="GS199" s="28"/>
      <c r="GT199" s="28"/>
      <c r="GU199" s="28"/>
      <c r="GV199" s="28"/>
      <c r="GW199" s="28"/>
      <c r="GX199" s="28"/>
      <c r="GY199" s="28"/>
      <c r="GZ199" s="28"/>
      <c r="HA199" s="28"/>
      <c r="HB199" s="28"/>
      <c r="HC199" s="28"/>
      <c r="HD199" s="28"/>
      <c r="HE199" s="28"/>
      <c r="HF199" s="28"/>
      <c r="HG199" s="28"/>
      <c r="HH199" s="28"/>
      <c r="HI199" s="28"/>
      <c r="HJ199" s="28"/>
      <c r="HK199" s="28"/>
      <c r="HL199" s="28"/>
    </row>
    <row r="200" spans="1:220" ht="15" customHeight="1">
      <c r="A200" s="31">
        <v>5</v>
      </c>
      <c r="B200" s="105" t="str">
        <f>VLOOKUP(Ruimtestaat[[#This Row],[Code]],Locaties[[Code]:[Locatie]],2,FALSE)</f>
        <v>IKC Remigius</v>
      </c>
      <c r="C200" s="105" t="str">
        <f>VLOOKUP(Ruimtestaat[[#This Row],[Code]],Locaties[[#All],[Code]:[Adres]],4,FALSE)</f>
        <v>Liemersplein 1</v>
      </c>
      <c r="D200" s="105" t="str">
        <f>VLOOKUP(Ruimtestaat[[#This Row],[Code]],Locaties[[#All],[Code]:[Postcode]],5,FALSE)</f>
        <v xml:space="preserve">6921 HN </v>
      </c>
      <c r="E200" s="105" t="str">
        <f>VLOOKUP(Ruimtestaat[[#This Row],[Code]],Locaties[#All],6,FALSE)</f>
        <v>Duiven</v>
      </c>
      <c r="F200" s="73"/>
      <c r="G200" s="73" t="s">
        <v>1645</v>
      </c>
      <c r="H200" s="31" t="s">
        <v>1695</v>
      </c>
      <c r="I200" s="113" t="s">
        <v>1790</v>
      </c>
      <c r="J200" s="31">
        <v>5</v>
      </c>
      <c r="K200" s="113" t="str">
        <f>VLOOKUP(Ruimtestaat[[#This Row],[Ruimte code]],Ruimtegroepen[[#All],[Code]:[Ruimte omschrijving]],2,FALSE)</f>
        <v>Sanitair</v>
      </c>
      <c r="L200" s="73" t="s">
        <v>101</v>
      </c>
      <c r="M200" s="273" t="s">
        <v>1893</v>
      </c>
      <c r="N200" s="106">
        <v>3.6</v>
      </c>
      <c r="O200" s="112"/>
      <c r="P200" s="112"/>
      <c r="Q200" s="107" t="str">
        <f>VLOOKUP(Ruimtestaat[[#This Row],[Ruimte code]],Ruimtegroepen[],4,FALSE)</f>
        <v>Sa</v>
      </c>
      <c r="R200" s="73">
        <v>40</v>
      </c>
      <c r="S200" s="73" t="s">
        <v>2</v>
      </c>
      <c r="T200" s="73">
        <f>IF(R200&gt;0,IF(RIGHT(Ruimtestaat[[#This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0" s="73">
        <f>IF(T200&gt;0,VLOOKUP($J200,Ruimtegroepen[],3,FALSE)*VLOOKUP($L200,Vloersoorten[],3,FALSE)*VLOOKUP($S200,Frequenties[],3,FALSE)*VLOOKUP($A200,Locaties[],3,FALSE),0)</f>
        <v>0</v>
      </c>
      <c r="V200" s="73">
        <f>Ruimtestaat[[#This Row],[Uitvoeringen werkdagen]]*Ruimtestaat[[#This Row],[Oppervlak (netto)]]</f>
        <v>720</v>
      </c>
      <c r="W200" s="108">
        <f>IF(U200&gt;0,Ruimtestaat[[#This Row],[Prest. (m2 /jaar) werkdagen]]/Ruimtestaat[[#This Row],[Norm (m2/uur) werkdagen]],0)</f>
        <v>0</v>
      </c>
      <c r="X200" s="109">
        <f>Ruimtestaat[[#This Row],[uren / jaar werkdagen]]*Tariefsopbouw!$E$35</f>
        <v>0</v>
      </c>
      <c r="Y200" s="73"/>
      <c r="Z200" s="73">
        <f>IF(Ruimtestaat[[#This Row],[Frequentie weekend]]&gt;0,VALUE(LEFT(Y200,1))*R200,0)</f>
        <v>0</v>
      </c>
      <c r="AA200" s="72">
        <f>IF($Z200&gt;0,VLOOKUP($J200,Ruimtegroepen[],3,FALSE)*VLOOKUP($L200,Vloersoorten[],3,FALSE)*VLOOKUP($Y200,Frequenties[],3,FALSE)*VLOOKUP(Ruimtestaat[[#This Row],[Code]],Locaties[],3,FALSE),0)</f>
        <v>0</v>
      </c>
      <c r="AB200" s="72">
        <f>Ruimtestaat[[#This Row],[Uitvoeringen weekend]]*Ruimtestaat[[#This Row],[Oppervlak (netto)]]</f>
        <v>0</v>
      </c>
      <c r="AC200" s="72">
        <f>IF(AA200&gt;0,Ruimtestaat[[#This Row],[Prest. (m2 /jaar) weekend]]/Ruimtestaat[[#This Row],[Norm (m2/uur) weekend]],0)</f>
        <v>0</v>
      </c>
      <c r="AD200" s="109">
        <f>Ruimtestaat[[#This Row],[uren / jaar weekend]]*Tariefsopbouw!$D$40</f>
        <v>0</v>
      </c>
      <c r="AE200" s="108">
        <f>Ruimtestaat[[#This Row],[Prest. (m2 /jaar) weekend]]+Ruimtestaat[[#This Row],[Prest. (m2 /jaar) werkdagen]]</f>
        <v>720</v>
      </c>
      <c r="AF200" s="108">
        <f>Ruimtestaat[[#This Row],[uren / jaar weekend]]+Ruimtestaat[[#This Row],[uren / jaar werkdagen]]</f>
        <v>0</v>
      </c>
      <c r="AG200" s="103">
        <f>Ruimtestaat[[#This Row],[kosten / jaar weekend]]+Ruimtestaat[[#This Row],[kosten / jaar werkdagen]]</f>
        <v>0</v>
      </c>
      <c r="AH200" s="103"/>
      <c r="AI200" s="110" t="str">
        <f>IF(Ruimtestaat[[#This Row],[Frequentie werkdagen]]="","",_xlfn.CONCAT(Ruimtestaat[[#This Row],[Ruimte code]],"-",Ruimtestaat[[#This Row],[Frequentie werkdagen]]," ",Ruimtestaat[[#This Row],[Vloer code]]))</f>
        <v>5-5w S</v>
      </c>
      <c r="AJ200" s="114" t="str">
        <f>_xlfn.IFNA(VLOOKUP($AI200,Programma!$F$3:$G$1101,2,0),"")</f>
        <v>_</v>
      </c>
      <c r="AK200" s="114" t="str">
        <f>_xlfn.IFNA(VLOOKUP($AI200,Programma!$F$3:$H$1101,3,0),"")</f>
        <v>_</v>
      </c>
      <c r="AL200" s="114" t="str">
        <f>_xlfn.IFNA(VLOOKUP($AI200,Programma!$F$3:$I$1101,4,0),"")</f>
        <v>_</v>
      </c>
      <c r="AM200" s="114" t="str">
        <f>_xlfn.IFNA(VLOOKUP($AI200,Programma!$F$3:$J$1101,5,0),"")</f>
        <v>4w</v>
      </c>
      <c r="AN200" s="114" t="str">
        <f>_xlfn.IFNA(VLOOKUP($AI200,Programma!$F$3:$K$1101,6,0),"")</f>
        <v>1w</v>
      </c>
      <c r="AO200" s="114" t="str">
        <f>_xlfn.IFNA(VLOOKUP($AI200,Programma!$F$3:$L$1101,7,0),"")</f>
        <v>_</v>
      </c>
      <c r="AP200" s="114" t="str">
        <f>_xlfn.IFNA(VLOOKUP($AI200,Programma!$F$3:$M$1101,8,0),"")</f>
        <v>_</v>
      </c>
      <c r="AQ200" s="114" t="str">
        <f>_xlfn.IFNA(VLOOKUP($AI200,Programma!$F$3:$N$1101,9,0),"")</f>
        <v>_</v>
      </c>
      <c r="AR200" s="114" t="str">
        <f>_xlfn.IFNA(VLOOKUP($AI200,Programma!$F$3:$O$1101,10,0),"")</f>
        <v>_</v>
      </c>
      <c r="AS200" s="114" t="str">
        <f>_xlfn.IFNA(VLOOKUP($AI200,Programma!$F$3:$P$1101,11,0),"")</f>
        <v>_</v>
      </c>
      <c r="AT200" s="114" t="str">
        <f>_xlfn.IFNA(VLOOKUP($AI200,Programma!$F$3:$Q$1101,12,0),"")</f>
        <v>_</v>
      </c>
      <c r="AU200" s="114" t="str">
        <f>_xlfn.IFNA(VLOOKUP($AI200,Programma!$F$3:$R$1101,13,0),"")</f>
        <v>_</v>
      </c>
      <c r="AV200" s="114" t="str">
        <f>_xlfn.IFNA(VLOOKUP($AI200,Programma!$F$3:$S$1101,14,0),"")</f>
        <v>_</v>
      </c>
      <c r="AW200" s="114" t="str">
        <f>_xlfn.IFNA(VLOOKUP($AI200,Programma!$F$3:$T$1101,15,0),"")</f>
        <v>_</v>
      </c>
      <c r="AX200" s="114" t="str">
        <f>_xlfn.IFNA(VLOOKUP($AI200,Programma!$F$3:$U$1101,16,0),"")</f>
        <v>_</v>
      </c>
      <c r="AY200" s="114" t="str">
        <f>_xlfn.IFNA(VLOOKUP($AI200,Programma!$F$3:$V$1101,17,0),"")</f>
        <v>_</v>
      </c>
      <c r="AZ200" s="114" t="str">
        <f>_xlfn.IFNA(VLOOKUP($AI200,Programma!$F$3:$W$1101,18,0),"")</f>
        <v>4w</v>
      </c>
      <c r="BA200" s="114" t="str">
        <f>_xlfn.IFNA(VLOOKUP($AI200,Programma!$F$3:$X$1101,19,0),"")</f>
        <v>1w</v>
      </c>
      <c r="BB200" s="114" t="str">
        <f>_xlfn.IFNA(VLOOKUP($AI200,Programma!$F$3:$Y$1101,20,0),"")</f>
        <v>_</v>
      </c>
      <c r="BC200" s="111"/>
      <c r="BD200" s="110" t="str">
        <f>IF(Ruimtestaat[[#This Row],[Frequentie weekend]]="","",_xlfn.CONCAT(Ruimtestaat[[#This Row],[Ruimte code]],"-",Ruimtestaat[[#This Row],[Frequentie weekend]]," ",Ruimtestaat[[#This Row],[Vloer code]]))</f>
        <v/>
      </c>
      <c r="BE200" s="114" t="str">
        <f>_xlfn.IFNA(VLOOKUP($BD200,Programma!$F$3:$G$1101,2,0),"")</f>
        <v/>
      </c>
      <c r="BF200" s="114" t="str">
        <f>_xlfn.IFNA(VLOOKUP($BD200,Programma!$F$3:$H$1101,3,0),"")</f>
        <v/>
      </c>
      <c r="BG200" s="114" t="str">
        <f>_xlfn.IFNA(VLOOKUP($BD200,Programma!$F$3:$I$1101,4,0),"")</f>
        <v/>
      </c>
      <c r="BH200" s="114" t="str">
        <f>_xlfn.IFNA(VLOOKUP($BD200,Programma!$F$3:$J$1101,5,0),"")</f>
        <v/>
      </c>
      <c r="BI200" s="114" t="str">
        <f>_xlfn.IFNA(VLOOKUP($BD200,Programma!$F$3:$K$1101,6,0),"")</f>
        <v/>
      </c>
      <c r="BJ200" s="114" t="str">
        <f>_xlfn.IFNA(VLOOKUP($BD200,Programma!$F$3:$L$1101,7,0),"")</f>
        <v/>
      </c>
      <c r="BK200" s="114" t="str">
        <f>_xlfn.IFNA(VLOOKUP($BD200,Programma!$F$3:$M$1101,8,0),"")</f>
        <v/>
      </c>
      <c r="BL200" s="114" t="str">
        <f>_xlfn.IFNA(VLOOKUP($BD200,Programma!$F$3:$N$1101,9,0),"")</f>
        <v/>
      </c>
      <c r="BM200" s="114" t="str">
        <f>_xlfn.IFNA(VLOOKUP($BD200,Programma!$F$3:$O$1101,10,0),"")</f>
        <v/>
      </c>
      <c r="BN200" s="114" t="str">
        <f>_xlfn.IFNA(VLOOKUP($BD200,Programma!$F$3:$P$1101,11,0),"")</f>
        <v/>
      </c>
      <c r="BO200" s="114" t="str">
        <f>_xlfn.IFNA(VLOOKUP($BD200,Programma!$F$3:$Q$1101,12,0),"")</f>
        <v/>
      </c>
      <c r="BP200" s="114" t="str">
        <f>_xlfn.IFNA(VLOOKUP($BD200,Programma!$F$3:$R$1101,13,0),"")</f>
        <v/>
      </c>
      <c r="BQ200" s="114" t="str">
        <f>_xlfn.IFNA(VLOOKUP($BD200,Programma!$F$3:$S$1101,14,0),"")</f>
        <v/>
      </c>
      <c r="BR200" s="114" t="str">
        <f>_xlfn.IFNA(VLOOKUP($BD200,Programma!$F$3:$T$1101,15,0),"")</f>
        <v/>
      </c>
      <c r="BS200" s="114" t="str">
        <f>_xlfn.IFNA(VLOOKUP($BD200,Programma!$F$3:$U$1101,16,0),"")</f>
        <v/>
      </c>
      <c r="BT200" s="114" t="str">
        <f>_xlfn.IFNA(VLOOKUP($BD200,Programma!$F$3:$V$1101,17,0),"")</f>
        <v/>
      </c>
      <c r="BU200" s="114" t="str">
        <f>_xlfn.IFNA(VLOOKUP($BD200,Programma!$F$3:$W$1101,18,0),"")</f>
        <v/>
      </c>
      <c r="BV200" s="114" t="str">
        <f>_xlfn.IFNA(VLOOKUP($BD200,Programma!$F$3:$X$1101,19,0),"")</f>
        <v/>
      </c>
      <c r="BW200" s="114" t="str">
        <f>_xlfn.IFNA(VLOOKUP($BD200,Programma!$F$3:$Y$1101,20,0),"")</f>
        <v/>
      </c>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c r="DB200" s="28"/>
      <c r="DC200" s="28"/>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c r="EA200" s="28"/>
      <c r="EB200" s="28"/>
      <c r="EC200" s="28"/>
      <c r="ED200" s="28"/>
      <c r="EE200" s="28"/>
      <c r="EF200" s="28"/>
      <c r="EG200" s="28"/>
      <c r="EH200" s="28"/>
      <c r="EI200" s="28"/>
      <c r="EJ200" s="28"/>
      <c r="EK200" s="28"/>
      <c r="EL200" s="28"/>
      <c r="EM200" s="28"/>
      <c r="EN200" s="28"/>
      <c r="EO200" s="28"/>
      <c r="EP200" s="28"/>
      <c r="EQ200" s="28"/>
      <c r="ER200" s="28"/>
      <c r="ES200" s="28"/>
      <c r="ET200" s="28"/>
      <c r="EU200" s="28"/>
      <c r="EV200" s="28"/>
      <c r="EW200" s="28"/>
      <c r="EX200" s="28"/>
      <c r="EY200" s="28"/>
      <c r="EZ200" s="28"/>
      <c r="FA200" s="28"/>
      <c r="FB200" s="28"/>
      <c r="FC200" s="28"/>
      <c r="FD200" s="28"/>
      <c r="FE200" s="28"/>
      <c r="FF200" s="28"/>
      <c r="FG200" s="28"/>
      <c r="FH200" s="28"/>
      <c r="FI200" s="28"/>
      <c r="FJ200" s="28"/>
      <c r="FK200" s="28"/>
      <c r="FL200" s="28"/>
      <c r="FM200" s="28"/>
      <c r="FN200" s="28"/>
      <c r="FO200" s="28"/>
      <c r="FP200" s="28"/>
      <c r="FQ200" s="28"/>
      <c r="FR200" s="28"/>
      <c r="FS200" s="28"/>
      <c r="FT200" s="28"/>
      <c r="FU200" s="28"/>
      <c r="FV200" s="28"/>
      <c r="FW200" s="28"/>
      <c r="FX200" s="28"/>
      <c r="FY200" s="28"/>
      <c r="FZ200" s="28"/>
      <c r="GA200" s="28"/>
      <c r="GB200" s="28"/>
      <c r="GC200" s="28"/>
      <c r="GD200" s="28"/>
      <c r="GE200" s="28"/>
      <c r="GF200" s="28"/>
      <c r="GG200" s="28"/>
      <c r="GH200" s="28"/>
      <c r="GI200" s="28"/>
      <c r="GJ200" s="28"/>
      <c r="GK200" s="28"/>
      <c r="GL200" s="28"/>
      <c r="GM200" s="28"/>
      <c r="GN200" s="28"/>
      <c r="GO200" s="28"/>
      <c r="GP200" s="28"/>
      <c r="GQ200" s="28"/>
      <c r="GR200" s="28"/>
      <c r="GS200" s="28"/>
      <c r="GT200" s="28"/>
      <c r="GU200" s="28"/>
      <c r="GV200" s="28"/>
      <c r="GW200" s="28"/>
      <c r="GX200" s="28"/>
      <c r="GY200" s="28"/>
      <c r="GZ200" s="28"/>
      <c r="HA200" s="28"/>
      <c r="HB200" s="28"/>
      <c r="HC200" s="28"/>
      <c r="HD200" s="28"/>
      <c r="HE200" s="28"/>
      <c r="HF200" s="28"/>
      <c r="HG200" s="28"/>
      <c r="HH200" s="28"/>
      <c r="HI200" s="28"/>
      <c r="HJ200" s="28"/>
      <c r="HK200" s="28"/>
      <c r="HL200" s="28"/>
    </row>
    <row r="201" spans="1:220" ht="15" customHeight="1">
      <c r="A201" s="31">
        <v>5</v>
      </c>
      <c r="B201" s="105" t="str">
        <f>VLOOKUP(Ruimtestaat[[#This Row],[Code]],Locaties[[Code]:[Locatie]],2,FALSE)</f>
        <v>IKC Remigius</v>
      </c>
      <c r="C201" s="105" t="str">
        <f>VLOOKUP(Ruimtestaat[[#This Row],[Code]],Locaties[[#All],[Code]:[Adres]],4,FALSE)</f>
        <v>Liemersplein 1</v>
      </c>
      <c r="D201" s="105" t="str">
        <f>VLOOKUP(Ruimtestaat[[#This Row],[Code]],Locaties[[#All],[Code]:[Postcode]],5,FALSE)</f>
        <v xml:space="preserve">6921 HN </v>
      </c>
      <c r="E201" s="105" t="str">
        <f>VLOOKUP(Ruimtestaat[[#This Row],[Code]],Locaties[#All],6,FALSE)</f>
        <v>Duiven</v>
      </c>
      <c r="F201" s="73"/>
      <c r="G201" s="73" t="s">
        <v>1645</v>
      </c>
      <c r="H201" s="31" t="s">
        <v>1696</v>
      </c>
      <c r="I201" s="113" t="s">
        <v>38</v>
      </c>
      <c r="J201" s="73">
        <v>7</v>
      </c>
      <c r="K201" s="113" t="str">
        <f>VLOOKUP(Ruimtestaat[[#This Row],[Ruimte code]],Ruimtegroepen[[#All],[Code]:[Ruimte omschrijving]],2,FALSE)</f>
        <v>Entree</v>
      </c>
      <c r="L201" s="73" t="s">
        <v>102</v>
      </c>
      <c r="M201" s="273" t="s">
        <v>120</v>
      </c>
      <c r="N201" s="106">
        <v>7.4</v>
      </c>
      <c r="O201" s="112"/>
      <c r="P201" s="73"/>
      <c r="Q201" s="107" t="str">
        <f>VLOOKUP(Ruimtestaat[[#This Row],[Ruimte code]],Ruimtegroepen[],4,FALSE)</f>
        <v>Ve</v>
      </c>
      <c r="R201" s="73">
        <v>40</v>
      </c>
      <c r="S201" s="73" t="s">
        <v>2</v>
      </c>
      <c r="T201" s="73">
        <f>IF(R201&gt;0,IF(RIGHT(Ruimtestaat[[#This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1" s="73">
        <f>IF(T201&gt;0,VLOOKUP($J201,Ruimtegroepen[],3,FALSE)*VLOOKUP($L201,Vloersoorten[],3,FALSE)*VLOOKUP($S201,Frequenties[],3,FALSE)*VLOOKUP($A201,Locaties[],3,FALSE),0)</f>
        <v>0</v>
      </c>
      <c r="V201" s="73">
        <f>Ruimtestaat[[#This Row],[Uitvoeringen werkdagen]]*Ruimtestaat[[#This Row],[Oppervlak (netto)]]</f>
        <v>1480</v>
      </c>
      <c r="W201" s="108">
        <f>IF(U201&gt;0,Ruimtestaat[[#This Row],[Prest. (m2 /jaar) werkdagen]]/Ruimtestaat[[#This Row],[Norm (m2/uur) werkdagen]],0)</f>
        <v>0</v>
      </c>
      <c r="X201" s="109">
        <f>Ruimtestaat[[#This Row],[uren / jaar werkdagen]]*Tariefsopbouw!$E$35</f>
        <v>0</v>
      </c>
      <c r="Y201" s="73"/>
      <c r="Z201" s="73">
        <f>IF(Ruimtestaat[[#This Row],[Frequentie weekend]]&gt;0,VALUE(LEFT(Y201,1))*R201,0)</f>
        <v>0</v>
      </c>
      <c r="AA201" s="72">
        <f>IF($Z201&gt;0,VLOOKUP($J201,Ruimtegroepen[],3,FALSE)*VLOOKUP($L201,Vloersoorten[],3,FALSE)*VLOOKUP($Y201,Frequenties[],3,FALSE)*VLOOKUP(Ruimtestaat[[#This Row],[Code]],Locaties[],3,FALSE),0)</f>
        <v>0</v>
      </c>
      <c r="AB201" s="72">
        <f>Ruimtestaat[[#This Row],[Uitvoeringen weekend]]*Ruimtestaat[[#This Row],[Oppervlak (netto)]]</f>
        <v>0</v>
      </c>
      <c r="AC201" s="72">
        <f>IF(AA201&gt;0,Ruimtestaat[[#This Row],[Prest. (m2 /jaar) weekend]]/Ruimtestaat[[#This Row],[Norm (m2/uur) weekend]],0)</f>
        <v>0</v>
      </c>
      <c r="AD201" s="109">
        <f>Ruimtestaat[[#This Row],[uren / jaar weekend]]*Tariefsopbouw!$D$40</f>
        <v>0</v>
      </c>
      <c r="AE201" s="108">
        <f>Ruimtestaat[[#This Row],[Prest. (m2 /jaar) weekend]]+Ruimtestaat[[#This Row],[Prest. (m2 /jaar) werkdagen]]</f>
        <v>1480</v>
      </c>
      <c r="AF201" s="108">
        <f>Ruimtestaat[[#This Row],[uren / jaar weekend]]+Ruimtestaat[[#This Row],[uren / jaar werkdagen]]</f>
        <v>0</v>
      </c>
      <c r="AG201" s="103">
        <f>Ruimtestaat[[#This Row],[kosten / jaar weekend]]+Ruimtestaat[[#This Row],[kosten / jaar werkdagen]]</f>
        <v>0</v>
      </c>
      <c r="AH201" s="103"/>
      <c r="AI201" s="110" t="str">
        <f>IF(Ruimtestaat[[#This Row],[Frequentie werkdagen]]="","",_xlfn.CONCAT(Ruimtestaat[[#This Row],[Ruimte code]],"-",Ruimtestaat[[#This Row],[Frequentie werkdagen]]," ",Ruimtestaat[[#This Row],[Vloer code]]))</f>
        <v>7-5w P</v>
      </c>
      <c r="AJ201" s="114" t="str">
        <f>_xlfn.IFNA(VLOOKUP($AI201,Programma!$F$3:$G$1101,2,0),"")</f>
        <v>_</v>
      </c>
      <c r="AK201" s="114" t="str">
        <f>_xlfn.IFNA(VLOOKUP($AI201,Programma!$F$3:$H$1101,3,0),"")</f>
        <v>_</v>
      </c>
      <c r="AL201" s="114" t="str">
        <f>_xlfn.IFNA(VLOOKUP($AI201,Programma!$F$3:$I$1101,4,0),"")</f>
        <v>5w</v>
      </c>
      <c r="AM201" s="114" t="str">
        <f>_xlfn.IFNA(VLOOKUP($AI201,Programma!$F$3:$J$1101,5,0),"")</f>
        <v>_</v>
      </c>
      <c r="AN201" s="114" t="str">
        <f>_xlfn.IFNA(VLOOKUP($AI201,Programma!$F$3:$K$1101,6,0),"")</f>
        <v>5w</v>
      </c>
      <c r="AO201" s="114" t="str">
        <f>_xlfn.IFNA(VLOOKUP($AI201,Programma!$F$3:$L$1101,7,0),"")</f>
        <v>_</v>
      </c>
      <c r="AP201" s="114" t="str">
        <f>_xlfn.IFNA(VLOOKUP($AI201,Programma!$F$3:$M$1101,8,0),"")</f>
        <v>_</v>
      </c>
      <c r="AQ201" s="114" t="str">
        <f>_xlfn.IFNA(VLOOKUP($AI201,Programma!$F$3:$N$1101,9,0),"")</f>
        <v>_</v>
      </c>
      <c r="AR201" s="114" t="str">
        <f>_xlfn.IFNA(VLOOKUP($AI201,Programma!$F$3:$O$1101,10,0),"")</f>
        <v>5w</v>
      </c>
      <c r="AS201" s="114" t="str">
        <f>_xlfn.IFNA(VLOOKUP($AI201,Programma!$F$3:$P$1101,11,0),"")</f>
        <v>5w</v>
      </c>
      <c r="AT201" s="114" t="str">
        <f>_xlfn.IFNA(VLOOKUP($AI201,Programma!$F$3:$Q$1101,12,0),"")</f>
        <v>1w</v>
      </c>
      <c r="AU201" s="114" t="str">
        <f>_xlfn.IFNA(VLOOKUP($AI201,Programma!$F$3:$R$1101,13,0),"")</f>
        <v>1w</v>
      </c>
      <c r="AV201" s="114" t="str">
        <f>_xlfn.IFNA(VLOOKUP($AI201,Programma!$F$3:$S$1101,14,0),"")</f>
        <v>1m</v>
      </c>
      <c r="AW201" s="114" t="str">
        <f>_xlfn.IFNA(VLOOKUP($AI201,Programma!$F$3:$T$1101,15,0),"")</f>
        <v>2j</v>
      </c>
      <c r="AX201" s="114" t="str">
        <f>_xlfn.IFNA(VLOOKUP($AI201,Programma!$F$3:$U$1101,16,0),"")</f>
        <v>1j</v>
      </c>
      <c r="AY201" s="114" t="str">
        <f>_xlfn.IFNA(VLOOKUP($AI201,Programma!$F$3:$V$1101,17,0),"")</f>
        <v>_</v>
      </c>
      <c r="AZ201" s="114" t="str">
        <f>_xlfn.IFNA(VLOOKUP($AI201,Programma!$F$3:$W$1101,18,0),"")</f>
        <v>_</v>
      </c>
      <c r="BA201" s="114" t="str">
        <f>_xlfn.IFNA(VLOOKUP($AI201,Programma!$F$3:$X$1101,19,0),"")</f>
        <v>_</v>
      </c>
      <c r="BB201" s="114" t="str">
        <f>_xlfn.IFNA(VLOOKUP($AI201,Programma!$F$3:$Y$1101,20,0),"")</f>
        <v>_</v>
      </c>
      <c r="BC201" s="111"/>
      <c r="BD201" s="110" t="str">
        <f>IF(Ruimtestaat[[#This Row],[Frequentie weekend]]="","",_xlfn.CONCAT(Ruimtestaat[[#This Row],[Ruimte code]],"-",Ruimtestaat[[#This Row],[Frequentie weekend]]," ",Ruimtestaat[[#This Row],[Vloer code]]))</f>
        <v/>
      </c>
      <c r="BE201" s="114" t="str">
        <f>_xlfn.IFNA(VLOOKUP($BD201,Programma!$F$3:$G$1101,2,0),"")</f>
        <v/>
      </c>
      <c r="BF201" s="114" t="str">
        <f>_xlfn.IFNA(VLOOKUP($BD201,Programma!$F$3:$H$1101,3,0),"")</f>
        <v/>
      </c>
      <c r="BG201" s="114" t="str">
        <f>_xlfn.IFNA(VLOOKUP($BD201,Programma!$F$3:$I$1101,4,0),"")</f>
        <v/>
      </c>
      <c r="BH201" s="114" t="str">
        <f>_xlfn.IFNA(VLOOKUP($BD201,Programma!$F$3:$J$1101,5,0),"")</f>
        <v/>
      </c>
      <c r="BI201" s="114" t="str">
        <f>_xlfn.IFNA(VLOOKUP($BD201,Programma!$F$3:$K$1101,6,0),"")</f>
        <v/>
      </c>
      <c r="BJ201" s="114" t="str">
        <f>_xlfn.IFNA(VLOOKUP($BD201,Programma!$F$3:$L$1101,7,0),"")</f>
        <v/>
      </c>
      <c r="BK201" s="114" t="str">
        <f>_xlfn.IFNA(VLOOKUP($BD201,Programma!$F$3:$M$1101,8,0),"")</f>
        <v/>
      </c>
      <c r="BL201" s="114" t="str">
        <f>_xlfn.IFNA(VLOOKUP($BD201,Programma!$F$3:$N$1101,9,0),"")</f>
        <v/>
      </c>
      <c r="BM201" s="114" t="str">
        <f>_xlfn.IFNA(VLOOKUP($BD201,Programma!$F$3:$O$1101,10,0),"")</f>
        <v/>
      </c>
      <c r="BN201" s="114" t="str">
        <f>_xlfn.IFNA(VLOOKUP($BD201,Programma!$F$3:$P$1101,11,0),"")</f>
        <v/>
      </c>
      <c r="BO201" s="114" t="str">
        <f>_xlfn.IFNA(VLOOKUP($BD201,Programma!$F$3:$Q$1101,12,0),"")</f>
        <v/>
      </c>
      <c r="BP201" s="114" t="str">
        <f>_xlfn.IFNA(VLOOKUP($BD201,Programma!$F$3:$R$1101,13,0),"")</f>
        <v/>
      </c>
      <c r="BQ201" s="114" t="str">
        <f>_xlfn.IFNA(VLOOKUP($BD201,Programma!$F$3:$S$1101,14,0),"")</f>
        <v/>
      </c>
      <c r="BR201" s="114" t="str">
        <f>_xlfn.IFNA(VLOOKUP($BD201,Programma!$F$3:$T$1101,15,0),"")</f>
        <v/>
      </c>
      <c r="BS201" s="114" t="str">
        <f>_xlfn.IFNA(VLOOKUP($BD201,Programma!$F$3:$U$1101,16,0),"")</f>
        <v/>
      </c>
      <c r="BT201" s="114" t="str">
        <f>_xlfn.IFNA(VLOOKUP($BD201,Programma!$F$3:$V$1101,17,0),"")</f>
        <v/>
      </c>
      <c r="BU201" s="114" t="str">
        <f>_xlfn.IFNA(VLOOKUP($BD201,Programma!$F$3:$W$1101,18,0),"")</f>
        <v/>
      </c>
      <c r="BV201" s="114" t="str">
        <f>_xlfn.IFNA(VLOOKUP($BD201,Programma!$F$3:$X$1101,19,0),"")</f>
        <v/>
      </c>
      <c r="BW201" s="114" t="str">
        <f>_xlfn.IFNA(VLOOKUP($BD201,Programma!$F$3:$Y$1101,20,0),"")</f>
        <v/>
      </c>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c r="EA201" s="28"/>
      <c r="EB201" s="28"/>
      <c r="EC201" s="28"/>
      <c r="ED201" s="28"/>
      <c r="EE201" s="28"/>
      <c r="EF201" s="28"/>
      <c r="EG201" s="28"/>
      <c r="EH201" s="28"/>
      <c r="EI201" s="28"/>
      <c r="EJ201" s="28"/>
      <c r="EK201" s="28"/>
      <c r="EL201" s="28"/>
      <c r="EM201" s="28"/>
      <c r="EN201" s="28"/>
      <c r="EO201" s="28"/>
      <c r="EP201" s="28"/>
      <c r="EQ201" s="28"/>
      <c r="ER201" s="28"/>
      <c r="ES201" s="28"/>
      <c r="ET201" s="28"/>
      <c r="EU201" s="28"/>
      <c r="EV201" s="28"/>
      <c r="EW201" s="28"/>
      <c r="EX201" s="28"/>
      <c r="EY201" s="28"/>
      <c r="EZ201" s="28"/>
      <c r="FA201" s="28"/>
      <c r="FB201" s="28"/>
      <c r="FC201" s="28"/>
      <c r="FD201" s="28"/>
      <c r="FE201" s="28"/>
      <c r="FF201" s="28"/>
      <c r="FG201" s="28"/>
      <c r="FH201" s="28"/>
      <c r="FI201" s="28"/>
      <c r="FJ201" s="28"/>
      <c r="FK201" s="28"/>
      <c r="FL201" s="28"/>
      <c r="FM201" s="28"/>
      <c r="FN201" s="28"/>
      <c r="FO201" s="28"/>
      <c r="FP201" s="28"/>
      <c r="FQ201" s="28"/>
      <c r="FR201" s="28"/>
      <c r="FS201" s="28"/>
      <c r="FT201" s="28"/>
      <c r="FU201" s="28"/>
      <c r="FV201" s="28"/>
      <c r="FW201" s="28"/>
      <c r="FX201" s="28"/>
      <c r="FY201" s="28"/>
      <c r="FZ201" s="28"/>
      <c r="GA201" s="28"/>
      <c r="GB201" s="28"/>
      <c r="GC201" s="28"/>
      <c r="GD201" s="28"/>
      <c r="GE201" s="28"/>
      <c r="GF201" s="28"/>
      <c r="GG201" s="28"/>
      <c r="GH201" s="28"/>
      <c r="GI201" s="28"/>
      <c r="GJ201" s="28"/>
      <c r="GK201" s="28"/>
      <c r="GL201" s="28"/>
      <c r="GM201" s="28"/>
      <c r="GN201" s="28"/>
      <c r="GO201" s="28"/>
      <c r="GP201" s="28"/>
      <c r="GQ201" s="28"/>
      <c r="GR201" s="28"/>
      <c r="GS201" s="28"/>
      <c r="GT201" s="28"/>
      <c r="GU201" s="28"/>
      <c r="GV201" s="28"/>
      <c r="GW201" s="28"/>
      <c r="GX201" s="28"/>
      <c r="GY201" s="28"/>
      <c r="GZ201" s="28"/>
      <c r="HA201" s="28"/>
      <c r="HB201" s="28"/>
      <c r="HC201" s="28"/>
      <c r="HD201" s="28"/>
      <c r="HE201" s="28"/>
      <c r="HF201" s="28"/>
      <c r="HG201" s="28"/>
      <c r="HH201" s="28"/>
      <c r="HI201" s="28"/>
      <c r="HJ201" s="28"/>
      <c r="HK201" s="28"/>
      <c r="HL201" s="28"/>
    </row>
    <row r="202" spans="1:220" ht="15" customHeight="1">
      <c r="A202" s="31">
        <v>5</v>
      </c>
      <c r="B202" s="105" t="str">
        <f>VLOOKUP(Ruimtestaat[[#This Row],[Code]],Locaties[[Code]:[Locatie]],2,FALSE)</f>
        <v>IKC Remigius</v>
      </c>
      <c r="C202" s="105" t="str">
        <f>VLOOKUP(Ruimtestaat[[#This Row],[Code]],Locaties[[#All],[Code]:[Adres]],4,FALSE)</f>
        <v>Liemersplein 1</v>
      </c>
      <c r="D202" s="105" t="str">
        <f>VLOOKUP(Ruimtestaat[[#This Row],[Code]],Locaties[[#All],[Code]:[Postcode]],5,FALSE)</f>
        <v xml:space="preserve">6921 HN </v>
      </c>
      <c r="E202" s="105" t="str">
        <f>VLOOKUP(Ruimtestaat[[#This Row],[Code]],Locaties[#All],6,FALSE)</f>
        <v>Duiven</v>
      </c>
      <c r="F202" s="73"/>
      <c r="G202" s="73" t="s">
        <v>1645</v>
      </c>
      <c r="H202" s="31" t="s">
        <v>1697</v>
      </c>
      <c r="I202" s="113" t="s">
        <v>38</v>
      </c>
      <c r="J202" s="31">
        <v>7</v>
      </c>
      <c r="K202" s="113" t="str">
        <f>VLOOKUP(Ruimtestaat[[#This Row],[Ruimte code]],Ruimtegroepen[[#All],[Code]:[Ruimte omschrijving]],2,FALSE)</f>
        <v>Entree</v>
      </c>
      <c r="L202" s="73" t="s">
        <v>102</v>
      </c>
      <c r="M202" s="273" t="s">
        <v>120</v>
      </c>
      <c r="N202" s="106">
        <v>5.7</v>
      </c>
      <c r="O202" s="112"/>
      <c r="P202" s="112"/>
      <c r="Q202" s="107" t="str">
        <f>VLOOKUP(Ruimtestaat[[#This Row],[Ruimte code]],Ruimtegroepen[],4,FALSE)</f>
        <v>Ve</v>
      </c>
      <c r="R202" s="73">
        <v>40</v>
      </c>
      <c r="S202" s="73" t="s">
        <v>2</v>
      </c>
      <c r="T202" s="73">
        <f>IF(R202&gt;0,IF(RIGHT(Ruimtestaat[[#This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2" s="73">
        <f>IF(T202&gt;0,VLOOKUP($J202,Ruimtegroepen[],3,FALSE)*VLOOKUP($L202,Vloersoorten[],3,FALSE)*VLOOKUP($S202,Frequenties[],3,FALSE)*VLOOKUP($A202,Locaties[],3,FALSE),0)</f>
        <v>0</v>
      </c>
      <c r="V202" s="73">
        <f>Ruimtestaat[[#This Row],[Uitvoeringen werkdagen]]*Ruimtestaat[[#This Row],[Oppervlak (netto)]]</f>
        <v>1140</v>
      </c>
      <c r="W202" s="108">
        <f>IF(U202&gt;0,Ruimtestaat[[#This Row],[Prest. (m2 /jaar) werkdagen]]/Ruimtestaat[[#This Row],[Norm (m2/uur) werkdagen]],0)</f>
        <v>0</v>
      </c>
      <c r="X202" s="109">
        <f>Ruimtestaat[[#This Row],[uren / jaar werkdagen]]*Tariefsopbouw!$E$35</f>
        <v>0</v>
      </c>
      <c r="Y202" s="73"/>
      <c r="Z202" s="73">
        <f>IF(Ruimtestaat[[#This Row],[Frequentie weekend]]&gt;0,VALUE(LEFT(Y202,1))*R202,0)</f>
        <v>0</v>
      </c>
      <c r="AA202" s="72">
        <f>IF($Z202&gt;0,VLOOKUP($J202,Ruimtegroepen[],3,FALSE)*VLOOKUP($L202,Vloersoorten[],3,FALSE)*VLOOKUP($Y202,Frequenties[],3,FALSE)*VLOOKUP(Ruimtestaat[[#This Row],[Code]],Locaties[],3,FALSE),0)</f>
        <v>0</v>
      </c>
      <c r="AB202" s="72">
        <f>Ruimtestaat[[#This Row],[Uitvoeringen weekend]]*Ruimtestaat[[#This Row],[Oppervlak (netto)]]</f>
        <v>0</v>
      </c>
      <c r="AC202" s="72">
        <f>IF(AA202&gt;0,Ruimtestaat[[#This Row],[Prest. (m2 /jaar) weekend]]/Ruimtestaat[[#This Row],[Norm (m2/uur) weekend]],0)</f>
        <v>0</v>
      </c>
      <c r="AD202" s="109">
        <f>Ruimtestaat[[#This Row],[uren / jaar weekend]]*Tariefsopbouw!$D$40</f>
        <v>0</v>
      </c>
      <c r="AE202" s="108">
        <f>Ruimtestaat[[#This Row],[Prest. (m2 /jaar) weekend]]+Ruimtestaat[[#This Row],[Prest. (m2 /jaar) werkdagen]]</f>
        <v>1140</v>
      </c>
      <c r="AF202" s="108">
        <f>Ruimtestaat[[#This Row],[uren / jaar weekend]]+Ruimtestaat[[#This Row],[uren / jaar werkdagen]]</f>
        <v>0</v>
      </c>
      <c r="AG202" s="103">
        <f>Ruimtestaat[[#This Row],[kosten / jaar weekend]]+Ruimtestaat[[#This Row],[kosten / jaar werkdagen]]</f>
        <v>0</v>
      </c>
      <c r="AH202" s="103"/>
      <c r="AI202" s="110" t="str">
        <f>IF(Ruimtestaat[[#This Row],[Frequentie werkdagen]]="","",_xlfn.CONCAT(Ruimtestaat[[#This Row],[Ruimte code]],"-",Ruimtestaat[[#This Row],[Frequentie werkdagen]]," ",Ruimtestaat[[#This Row],[Vloer code]]))</f>
        <v>7-5w P</v>
      </c>
      <c r="AJ202" s="114" t="str">
        <f>_xlfn.IFNA(VLOOKUP($AI202,Programma!$F$3:$G$1101,2,0),"")</f>
        <v>_</v>
      </c>
      <c r="AK202" s="114" t="str">
        <f>_xlfn.IFNA(VLOOKUP($AI202,Programma!$F$3:$H$1101,3,0),"")</f>
        <v>_</v>
      </c>
      <c r="AL202" s="114" t="str">
        <f>_xlfn.IFNA(VLOOKUP($AI202,Programma!$F$3:$I$1101,4,0),"")</f>
        <v>5w</v>
      </c>
      <c r="AM202" s="114" t="str">
        <f>_xlfn.IFNA(VLOOKUP($AI202,Programma!$F$3:$J$1101,5,0),"")</f>
        <v>_</v>
      </c>
      <c r="AN202" s="114" t="str">
        <f>_xlfn.IFNA(VLOOKUP($AI202,Programma!$F$3:$K$1101,6,0),"")</f>
        <v>5w</v>
      </c>
      <c r="AO202" s="114" t="str">
        <f>_xlfn.IFNA(VLOOKUP($AI202,Programma!$F$3:$L$1101,7,0),"")</f>
        <v>_</v>
      </c>
      <c r="AP202" s="114" t="str">
        <f>_xlfn.IFNA(VLOOKUP($AI202,Programma!$F$3:$M$1101,8,0),"")</f>
        <v>_</v>
      </c>
      <c r="AQ202" s="114" t="str">
        <f>_xlfn.IFNA(VLOOKUP($AI202,Programma!$F$3:$N$1101,9,0),"")</f>
        <v>_</v>
      </c>
      <c r="AR202" s="114" t="str">
        <f>_xlfn.IFNA(VLOOKUP($AI202,Programma!$F$3:$O$1101,10,0),"")</f>
        <v>5w</v>
      </c>
      <c r="AS202" s="114" t="str">
        <f>_xlfn.IFNA(VLOOKUP($AI202,Programma!$F$3:$P$1101,11,0),"")</f>
        <v>5w</v>
      </c>
      <c r="AT202" s="114" t="str">
        <f>_xlfn.IFNA(VLOOKUP($AI202,Programma!$F$3:$Q$1101,12,0),"")</f>
        <v>1w</v>
      </c>
      <c r="AU202" s="114" t="str">
        <f>_xlfn.IFNA(VLOOKUP($AI202,Programma!$F$3:$R$1101,13,0),"")</f>
        <v>1w</v>
      </c>
      <c r="AV202" s="114" t="str">
        <f>_xlfn.IFNA(VLOOKUP($AI202,Programma!$F$3:$S$1101,14,0),"")</f>
        <v>1m</v>
      </c>
      <c r="AW202" s="114" t="str">
        <f>_xlfn.IFNA(VLOOKUP($AI202,Programma!$F$3:$T$1101,15,0),"")</f>
        <v>2j</v>
      </c>
      <c r="AX202" s="114" t="str">
        <f>_xlfn.IFNA(VLOOKUP($AI202,Programma!$F$3:$U$1101,16,0),"")</f>
        <v>1j</v>
      </c>
      <c r="AY202" s="114" t="str">
        <f>_xlfn.IFNA(VLOOKUP($AI202,Programma!$F$3:$V$1101,17,0),"")</f>
        <v>_</v>
      </c>
      <c r="AZ202" s="114" t="str">
        <f>_xlfn.IFNA(VLOOKUP($AI202,Programma!$F$3:$W$1101,18,0),"")</f>
        <v>_</v>
      </c>
      <c r="BA202" s="114" t="str">
        <f>_xlfn.IFNA(VLOOKUP($AI202,Programma!$F$3:$X$1101,19,0),"")</f>
        <v>_</v>
      </c>
      <c r="BB202" s="114" t="str">
        <f>_xlfn.IFNA(VLOOKUP($AI202,Programma!$F$3:$Y$1101,20,0),"")</f>
        <v>_</v>
      </c>
      <c r="BC202" s="111"/>
      <c r="BD202" s="110" t="str">
        <f>IF(Ruimtestaat[[#This Row],[Frequentie weekend]]="","",_xlfn.CONCAT(Ruimtestaat[[#This Row],[Ruimte code]],"-",Ruimtestaat[[#This Row],[Frequentie weekend]]," ",Ruimtestaat[[#This Row],[Vloer code]]))</f>
        <v/>
      </c>
      <c r="BE202" s="114" t="str">
        <f>_xlfn.IFNA(VLOOKUP($BD202,Programma!$F$3:$G$1101,2,0),"")</f>
        <v/>
      </c>
      <c r="BF202" s="114" t="str">
        <f>_xlfn.IFNA(VLOOKUP($BD202,Programma!$F$3:$H$1101,3,0),"")</f>
        <v/>
      </c>
      <c r="BG202" s="114" t="str">
        <f>_xlfn.IFNA(VLOOKUP($BD202,Programma!$F$3:$I$1101,4,0),"")</f>
        <v/>
      </c>
      <c r="BH202" s="114" t="str">
        <f>_xlfn.IFNA(VLOOKUP($BD202,Programma!$F$3:$J$1101,5,0),"")</f>
        <v/>
      </c>
      <c r="BI202" s="114" t="str">
        <f>_xlfn.IFNA(VLOOKUP($BD202,Programma!$F$3:$K$1101,6,0),"")</f>
        <v/>
      </c>
      <c r="BJ202" s="114" t="str">
        <f>_xlfn.IFNA(VLOOKUP($BD202,Programma!$F$3:$L$1101,7,0),"")</f>
        <v/>
      </c>
      <c r="BK202" s="114" t="str">
        <f>_xlfn.IFNA(VLOOKUP($BD202,Programma!$F$3:$M$1101,8,0),"")</f>
        <v/>
      </c>
      <c r="BL202" s="114" t="str">
        <f>_xlfn.IFNA(VLOOKUP($BD202,Programma!$F$3:$N$1101,9,0),"")</f>
        <v/>
      </c>
      <c r="BM202" s="114" t="str">
        <f>_xlfn.IFNA(VLOOKUP($BD202,Programma!$F$3:$O$1101,10,0),"")</f>
        <v/>
      </c>
      <c r="BN202" s="114" t="str">
        <f>_xlfn.IFNA(VLOOKUP($BD202,Programma!$F$3:$P$1101,11,0),"")</f>
        <v/>
      </c>
      <c r="BO202" s="114" t="str">
        <f>_xlfn.IFNA(VLOOKUP($BD202,Programma!$F$3:$Q$1101,12,0),"")</f>
        <v/>
      </c>
      <c r="BP202" s="114" t="str">
        <f>_xlfn.IFNA(VLOOKUP($BD202,Programma!$F$3:$R$1101,13,0),"")</f>
        <v/>
      </c>
      <c r="BQ202" s="114" t="str">
        <f>_xlfn.IFNA(VLOOKUP($BD202,Programma!$F$3:$S$1101,14,0),"")</f>
        <v/>
      </c>
      <c r="BR202" s="114" t="str">
        <f>_xlfn.IFNA(VLOOKUP($BD202,Programma!$F$3:$T$1101,15,0),"")</f>
        <v/>
      </c>
      <c r="BS202" s="114" t="str">
        <f>_xlfn.IFNA(VLOOKUP($BD202,Programma!$F$3:$U$1101,16,0),"")</f>
        <v/>
      </c>
      <c r="BT202" s="114" t="str">
        <f>_xlfn.IFNA(VLOOKUP($BD202,Programma!$F$3:$V$1101,17,0),"")</f>
        <v/>
      </c>
      <c r="BU202" s="114" t="str">
        <f>_xlfn.IFNA(VLOOKUP($BD202,Programma!$F$3:$W$1101,18,0),"")</f>
        <v/>
      </c>
      <c r="BV202" s="114" t="str">
        <f>_xlfn.IFNA(VLOOKUP($BD202,Programma!$F$3:$X$1101,19,0),"")</f>
        <v/>
      </c>
      <c r="BW202" s="114" t="str">
        <f>_xlfn.IFNA(VLOOKUP($BD202,Programma!$F$3:$Y$1101,20,0),"")</f>
        <v/>
      </c>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c r="EA202" s="28"/>
      <c r="EB202" s="28"/>
      <c r="EC202" s="28"/>
      <c r="ED202" s="28"/>
      <c r="EE202" s="28"/>
      <c r="EF202" s="28"/>
      <c r="EG202" s="28"/>
      <c r="EH202" s="28"/>
      <c r="EI202" s="28"/>
      <c r="EJ202" s="28"/>
      <c r="EK202" s="28"/>
      <c r="EL202" s="28"/>
      <c r="EM202" s="28"/>
      <c r="EN202" s="28"/>
      <c r="EO202" s="28"/>
      <c r="EP202" s="28"/>
      <c r="EQ202" s="28"/>
      <c r="ER202" s="28"/>
      <c r="ES202" s="28"/>
      <c r="ET202" s="28"/>
      <c r="EU202" s="28"/>
      <c r="EV202" s="28"/>
      <c r="EW202" s="28"/>
      <c r="EX202" s="28"/>
      <c r="EY202" s="28"/>
      <c r="EZ202" s="28"/>
      <c r="FA202" s="28"/>
      <c r="FB202" s="28"/>
      <c r="FC202" s="28"/>
      <c r="FD202" s="28"/>
      <c r="FE202" s="28"/>
      <c r="FF202" s="28"/>
      <c r="FG202" s="28"/>
      <c r="FH202" s="28"/>
      <c r="FI202" s="28"/>
      <c r="FJ202" s="28"/>
      <c r="FK202" s="28"/>
      <c r="FL202" s="28"/>
      <c r="FM202" s="28"/>
      <c r="FN202" s="28"/>
      <c r="FO202" s="28"/>
      <c r="FP202" s="28"/>
      <c r="FQ202" s="28"/>
      <c r="FR202" s="28"/>
      <c r="FS202" s="28"/>
      <c r="FT202" s="28"/>
      <c r="FU202" s="28"/>
      <c r="FV202" s="28"/>
      <c r="FW202" s="28"/>
      <c r="FX202" s="28"/>
      <c r="FY202" s="28"/>
      <c r="FZ202" s="28"/>
      <c r="GA202" s="28"/>
      <c r="GB202" s="28"/>
      <c r="GC202" s="28"/>
      <c r="GD202" s="28"/>
      <c r="GE202" s="28"/>
      <c r="GF202" s="28"/>
      <c r="GG202" s="28"/>
      <c r="GH202" s="28"/>
      <c r="GI202" s="28"/>
      <c r="GJ202" s="28"/>
      <c r="GK202" s="28"/>
      <c r="GL202" s="28"/>
      <c r="GM202" s="28"/>
      <c r="GN202" s="28"/>
      <c r="GO202" s="28"/>
      <c r="GP202" s="28"/>
      <c r="GQ202" s="28"/>
      <c r="GR202" s="28"/>
      <c r="GS202" s="28"/>
      <c r="GT202" s="28"/>
      <c r="GU202" s="28"/>
      <c r="GV202" s="28"/>
      <c r="GW202" s="28"/>
      <c r="GX202" s="28"/>
      <c r="GY202" s="28"/>
      <c r="GZ202" s="28"/>
      <c r="HA202" s="28"/>
      <c r="HB202" s="28"/>
      <c r="HC202" s="28"/>
      <c r="HD202" s="28"/>
      <c r="HE202" s="28"/>
      <c r="HF202" s="28"/>
      <c r="HG202" s="28"/>
      <c r="HH202" s="28"/>
      <c r="HI202" s="28"/>
      <c r="HJ202" s="28"/>
      <c r="HK202" s="28"/>
      <c r="HL202" s="28"/>
    </row>
    <row r="203" spans="1:220" ht="15" customHeight="1">
      <c r="A203" s="31">
        <v>5</v>
      </c>
      <c r="B203" s="105" t="str">
        <f>VLOOKUP(Ruimtestaat[[#This Row],[Code]],Locaties[[Code]:[Locatie]],2,FALSE)</f>
        <v>IKC Remigius</v>
      </c>
      <c r="C203" s="105" t="str">
        <f>VLOOKUP(Ruimtestaat[[#This Row],[Code]],Locaties[[#All],[Code]:[Adres]],4,FALSE)</f>
        <v>Liemersplein 1</v>
      </c>
      <c r="D203" s="105" t="str">
        <f>VLOOKUP(Ruimtestaat[[#This Row],[Code]],Locaties[[#All],[Code]:[Postcode]],5,FALSE)</f>
        <v xml:space="preserve">6921 HN </v>
      </c>
      <c r="E203" s="105" t="str">
        <f>VLOOKUP(Ruimtestaat[[#This Row],[Code]],Locaties[#All],6,FALSE)</f>
        <v>Duiven</v>
      </c>
      <c r="F203" s="73"/>
      <c r="G203" s="73" t="s">
        <v>1645</v>
      </c>
      <c r="H203" s="31" t="s">
        <v>1698</v>
      </c>
      <c r="I203" s="113" t="s">
        <v>1659</v>
      </c>
      <c r="J203" s="31">
        <v>6</v>
      </c>
      <c r="K203" s="113" t="str">
        <f>VLOOKUP(Ruimtestaat[[#This Row],[Ruimte code]],Ruimtegroepen[[#All],[Code]:[Ruimte omschrijving]],2,FALSE)</f>
        <v>Gangen/hallen</v>
      </c>
      <c r="L203" s="73" t="s">
        <v>102</v>
      </c>
      <c r="M203" s="273" t="s">
        <v>120</v>
      </c>
      <c r="N203" s="106">
        <v>9.6999999999999993</v>
      </c>
      <c r="O203" s="112"/>
      <c r="P203" s="112"/>
      <c r="Q203" s="107" t="str">
        <f>VLOOKUP(Ruimtestaat[[#This Row],[Ruimte code]],Ruimtegroepen[],4,FALSE)</f>
        <v>Ve</v>
      </c>
      <c r="R203" s="73">
        <v>40</v>
      </c>
      <c r="S203" s="73" t="s">
        <v>2</v>
      </c>
      <c r="T203" s="73">
        <f>IF(R203&gt;0,IF(RIGHT(Ruimtestaat[[#This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3" s="73">
        <f>IF(T203&gt;0,VLOOKUP($J203,Ruimtegroepen[],3,FALSE)*VLOOKUP($L203,Vloersoorten[],3,FALSE)*VLOOKUP($S203,Frequenties[],3,FALSE)*VLOOKUP($A203,Locaties[],3,FALSE),0)</f>
        <v>0</v>
      </c>
      <c r="V203" s="73">
        <f>Ruimtestaat[[#This Row],[Uitvoeringen werkdagen]]*Ruimtestaat[[#This Row],[Oppervlak (netto)]]</f>
        <v>1939.9999999999998</v>
      </c>
      <c r="W203" s="108">
        <f>IF(U203&gt;0,Ruimtestaat[[#This Row],[Prest. (m2 /jaar) werkdagen]]/Ruimtestaat[[#This Row],[Norm (m2/uur) werkdagen]],0)</f>
        <v>0</v>
      </c>
      <c r="X203" s="109">
        <f>Ruimtestaat[[#This Row],[uren / jaar werkdagen]]*Tariefsopbouw!$E$35</f>
        <v>0</v>
      </c>
      <c r="Y203" s="73"/>
      <c r="Z203" s="73">
        <f>IF(Ruimtestaat[[#This Row],[Frequentie weekend]]&gt;0,VALUE(LEFT(Y203,1))*R203,0)</f>
        <v>0</v>
      </c>
      <c r="AA203" s="72">
        <f>IF($Z203&gt;0,VLOOKUP($J203,Ruimtegroepen[],3,FALSE)*VLOOKUP($L203,Vloersoorten[],3,FALSE)*VLOOKUP($Y203,Frequenties[],3,FALSE)*VLOOKUP(Ruimtestaat[[#This Row],[Code]],Locaties[],3,FALSE),0)</f>
        <v>0</v>
      </c>
      <c r="AB203" s="72">
        <f>Ruimtestaat[[#This Row],[Uitvoeringen weekend]]*Ruimtestaat[[#This Row],[Oppervlak (netto)]]</f>
        <v>0</v>
      </c>
      <c r="AC203" s="72">
        <f>IF(AA203&gt;0,Ruimtestaat[[#This Row],[Prest. (m2 /jaar) weekend]]/Ruimtestaat[[#This Row],[Norm (m2/uur) weekend]],0)</f>
        <v>0</v>
      </c>
      <c r="AD203" s="109">
        <f>Ruimtestaat[[#This Row],[uren / jaar weekend]]*Tariefsopbouw!$D$40</f>
        <v>0</v>
      </c>
      <c r="AE203" s="108">
        <f>Ruimtestaat[[#This Row],[Prest. (m2 /jaar) weekend]]+Ruimtestaat[[#This Row],[Prest. (m2 /jaar) werkdagen]]</f>
        <v>1939.9999999999998</v>
      </c>
      <c r="AF203" s="108">
        <f>Ruimtestaat[[#This Row],[uren / jaar weekend]]+Ruimtestaat[[#This Row],[uren / jaar werkdagen]]</f>
        <v>0</v>
      </c>
      <c r="AG203" s="103">
        <f>Ruimtestaat[[#This Row],[kosten / jaar weekend]]+Ruimtestaat[[#This Row],[kosten / jaar werkdagen]]</f>
        <v>0</v>
      </c>
      <c r="AH203" s="103"/>
      <c r="AI203" s="110" t="str">
        <f>IF(Ruimtestaat[[#This Row],[Frequentie werkdagen]]="","",_xlfn.CONCAT(Ruimtestaat[[#This Row],[Ruimte code]],"-",Ruimtestaat[[#This Row],[Frequentie werkdagen]]," ",Ruimtestaat[[#This Row],[Vloer code]]))</f>
        <v>6-5w P</v>
      </c>
      <c r="AJ203" s="114" t="str">
        <f>_xlfn.IFNA(VLOOKUP($AI203,Programma!$F$3:$G$1101,2,0),"")</f>
        <v>_</v>
      </c>
      <c r="AK203" s="114" t="str">
        <f>_xlfn.IFNA(VLOOKUP($AI203,Programma!$F$3:$H$1101,3,0),"")</f>
        <v>_</v>
      </c>
      <c r="AL203" s="114" t="str">
        <f>_xlfn.IFNA(VLOOKUP($AI203,Programma!$F$3:$I$1101,4,0),"")</f>
        <v>5w</v>
      </c>
      <c r="AM203" s="114" t="str">
        <f>_xlfn.IFNA(VLOOKUP($AI203,Programma!$F$3:$J$1101,5,0),"")</f>
        <v>_</v>
      </c>
      <c r="AN203" s="114" t="str">
        <f>_xlfn.IFNA(VLOOKUP($AI203,Programma!$F$3:$K$1101,6,0),"")</f>
        <v>5w</v>
      </c>
      <c r="AO203" s="114" t="str">
        <f>_xlfn.IFNA(VLOOKUP($AI203,Programma!$F$3:$L$1101,7,0),"")</f>
        <v>_</v>
      </c>
      <c r="AP203" s="114" t="str">
        <f>_xlfn.IFNA(VLOOKUP($AI203,Programma!$F$3:$M$1101,8,0),"")</f>
        <v>_</v>
      </c>
      <c r="AQ203" s="114" t="str">
        <f>_xlfn.IFNA(VLOOKUP($AI203,Programma!$F$3:$N$1101,9,0),"")</f>
        <v>_</v>
      </c>
      <c r="AR203" s="114" t="str">
        <f>_xlfn.IFNA(VLOOKUP($AI203,Programma!$F$3:$O$1101,10,0),"")</f>
        <v>5w</v>
      </c>
      <c r="AS203" s="114" t="str">
        <f>_xlfn.IFNA(VLOOKUP($AI203,Programma!$F$3:$P$1101,11,0),"")</f>
        <v>5w</v>
      </c>
      <c r="AT203" s="114" t="str">
        <f>_xlfn.IFNA(VLOOKUP($AI203,Programma!$F$3:$Q$1101,12,0),"")</f>
        <v>1w</v>
      </c>
      <c r="AU203" s="114" t="str">
        <f>_xlfn.IFNA(VLOOKUP($AI203,Programma!$F$3:$R$1101,13,0),"")</f>
        <v>1w</v>
      </c>
      <c r="AV203" s="114" t="str">
        <f>_xlfn.IFNA(VLOOKUP($AI203,Programma!$F$3:$S$1101,14,0),"")</f>
        <v>1m</v>
      </c>
      <c r="AW203" s="114" t="str">
        <f>_xlfn.IFNA(VLOOKUP($AI203,Programma!$F$3:$T$1101,15,0),"")</f>
        <v>2j</v>
      </c>
      <c r="AX203" s="114" t="str">
        <f>_xlfn.IFNA(VLOOKUP($AI203,Programma!$F$3:$U$1101,16,0),"")</f>
        <v>1j</v>
      </c>
      <c r="AY203" s="114" t="str">
        <f>_xlfn.IFNA(VLOOKUP($AI203,Programma!$F$3:$V$1101,17,0),"")</f>
        <v>_</v>
      </c>
      <c r="AZ203" s="114" t="str">
        <f>_xlfn.IFNA(VLOOKUP($AI203,Programma!$F$3:$W$1101,18,0),"")</f>
        <v>_</v>
      </c>
      <c r="BA203" s="114" t="str">
        <f>_xlfn.IFNA(VLOOKUP($AI203,Programma!$F$3:$X$1101,19,0),"")</f>
        <v>_</v>
      </c>
      <c r="BB203" s="114" t="str">
        <f>_xlfn.IFNA(VLOOKUP($AI203,Programma!$F$3:$Y$1101,20,0),"")</f>
        <v>_</v>
      </c>
      <c r="BC203" s="111"/>
      <c r="BD203" s="110" t="str">
        <f>IF(Ruimtestaat[[#This Row],[Frequentie weekend]]="","",_xlfn.CONCAT(Ruimtestaat[[#This Row],[Ruimte code]],"-",Ruimtestaat[[#This Row],[Frequentie weekend]]," ",Ruimtestaat[[#This Row],[Vloer code]]))</f>
        <v/>
      </c>
      <c r="BE203" s="114" t="str">
        <f>_xlfn.IFNA(VLOOKUP($BD203,Programma!$F$3:$G$1101,2,0),"")</f>
        <v/>
      </c>
      <c r="BF203" s="114" t="str">
        <f>_xlfn.IFNA(VLOOKUP($BD203,Programma!$F$3:$H$1101,3,0),"")</f>
        <v/>
      </c>
      <c r="BG203" s="114" t="str">
        <f>_xlfn.IFNA(VLOOKUP($BD203,Programma!$F$3:$I$1101,4,0),"")</f>
        <v/>
      </c>
      <c r="BH203" s="114" t="str">
        <f>_xlfn.IFNA(VLOOKUP($BD203,Programma!$F$3:$J$1101,5,0),"")</f>
        <v/>
      </c>
      <c r="BI203" s="114" t="str">
        <f>_xlfn.IFNA(VLOOKUP($BD203,Programma!$F$3:$K$1101,6,0),"")</f>
        <v/>
      </c>
      <c r="BJ203" s="114" t="str">
        <f>_xlfn.IFNA(VLOOKUP($BD203,Programma!$F$3:$L$1101,7,0),"")</f>
        <v/>
      </c>
      <c r="BK203" s="114" t="str">
        <f>_xlfn.IFNA(VLOOKUP($BD203,Programma!$F$3:$M$1101,8,0),"")</f>
        <v/>
      </c>
      <c r="BL203" s="114" t="str">
        <f>_xlfn.IFNA(VLOOKUP($BD203,Programma!$F$3:$N$1101,9,0),"")</f>
        <v/>
      </c>
      <c r="BM203" s="114" t="str">
        <f>_xlfn.IFNA(VLOOKUP($BD203,Programma!$F$3:$O$1101,10,0),"")</f>
        <v/>
      </c>
      <c r="BN203" s="114" t="str">
        <f>_xlfn.IFNA(VLOOKUP($BD203,Programma!$F$3:$P$1101,11,0),"")</f>
        <v/>
      </c>
      <c r="BO203" s="114" t="str">
        <f>_xlfn.IFNA(VLOOKUP($BD203,Programma!$F$3:$Q$1101,12,0),"")</f>
        <v/>
      </c>
      <c r="BP203" s="114" t="str">
        <f>_xlfn.IFNA(VLOOKUP($BD203,Programma!$F$3:$R$1101,13,0),"")</f>
        <v/>
      </c>
      <c r="BQ203" s="114" t="str">
        <f>_xlfn.IFNA(VLOOKUP($BD203,Programma!$F$3:$S$1101,14,0),"")</f>
        <v/>
      </c>
      <c r="BR203" s="114" t="str">
        <f>_xlfn.IFNA(VLOOKUP($BD203,Programma!$F$3:$T$1101,15,0),"")</f>
        <v/>
      </c>
      <c r="BS203" s="114" t="str">
        <f>_xlfn.IFNA(VLOOKUP($BD203,Programma!$F$3:$U$1101,16,0),"")</f>
        <v/>
      </c>
      <c r="BT203" s="114" t="str">
        <f>_xlfn.IFNA(VLOOKUP($BD203,Programma!$F$3:$V$1101,17,0),"")</f>
        <v/>
      </c>
      <c r="BU203" s="114" t="str">
        <f>_xlfn.IFNA(VLOOKUP($BD203,Programma!$F$3:$W$1101,18,0),"")</f>
        <v/>
      </c>
      <c r="BV203" s="114" t="str">
        <f>_xlfn.IFNA(VLOOKUP($BD203,Programma!$F$3:$X$1101,19,0),"")</f>
        <v/>
      </c>
      <c r="BW203" s="114" t="str">
        <f>_xlfn.IFNA(VLOOKUP($BD203,Programma!$F$3:$Y$1101,20,0),"")</f>
        <v/>
      </c>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c r="EA203" s="28"/>
      <c r="EB203" s="28"/>
      <c r="EC203" s="28"/>
      <c r="ED203" s="28"/>
      <c r="EE203" s="28"/>
      <c r="EF203" s="28"/>
      <c r="EG203" s="28"/>
      <c r="EH203" s="28"/>
      <c r="EI203" s="28"/>
      <c r="EJ203" s="28"/>
      <c r="EK203" s="28"/>
      <c r="EL203" s="28"/>
      <c r="EM203" s="28"/>
      <c r="EN203" s="28"/>
      <c r="EO203" s="28"/>
      <c r="EP203" s="28"/>
      <c r="EQ203" s="28"/>
      <c r="ER203" s="28"/>
      <c r="ES203" s="28"/>
      <c r="ET203" s="28"/>
      <c r="EU203" s="28"/>
      <c r="EV203" s="28"/>
      <c r="EW203" s="28"/>
      <c r="EX203" s="28"/>
      <c r="EY203" s="28"/>
      <c r="EZ203" s="28"/>
      <c r="FA203" s="28"/>
      <c r="FB203" s="28"/>
      <c r="FC203" s="28"/>
      <c r="FD203" s="28"/>
      <c r="FE203" s="28"/>
      <c r="FF203" s="28"/>
      <c r="FG203" s="28"/>
      <c r="FH203" s="28"/>
      <c r="FI203" s="28"/>
      <c r="FJ203" s="28"/>
      <c r="FK203" s="28"/>
      <c r="FL203" s="28"/>
      <c r="FM203" s="28"/>
      <c r="FN203" s="28"/>
      <c r="FO203" s="28"/>
      <c r="FP203" s="28"/>
      <c r="FQ203" s="28"/>
      <c r="FR203" s="28"/>
      <c r="FS203" s="28"/>
      <c r="FT203" s="28"/>
      <c r="FU203" s="28"/>
      <c r="FV203" s="28"/>
      <c r="FW203" s="28"/>
      <c r="FX203" s="28"/>
      <c r="FY203" s="28"/>
      <c r="FZ203" s="28"/>
      <c r="GA203" s="28"/>
      <c r="GB203" s="28"/>
      <c r="GC203" s="28"/>
      <c r="GD203" s="28"/>
      <c r="GE203" s="28"/>
      <c r="GF203" s="28"/>
      <c r="GG203" s="28"/>
      <c r="GH203" s="28"/>
      <c r="GI203" s="28"/>
      <c r="GJ203" s="28"/>
      <c r="GK203" s="28"/>
      <c r="GL203" s="28"/>
      <c r="GM203" s="28"/>
      <c r="GN203" s="28"/>
      <c r="GO203" s="28"/>
      <c r="GP203" s="28"/>
      <c r="GQ203" s="28"/>
      <c r="GR203" s="28"/>
      <c r="GS203" s="28"/>
      <c r="GT203" s="28"/>
      <c r="GU203" s="28"/>
      <c r="GV203" s="28"/>
      <c r="GW203" s="28"/>
      <c r="GX203" s="28"/>
      <c r="GY203" s="28"/>
      <c r="GZ203" s="28"/>
      <c r="HA203" s="28"/>
      <c r="HB203" s="28"/>
      <c r="HC203" s="28"/>
      <c r="HD203" s="28"/>
      <c r="HE203" s="28"/>
      <c r="HF203" s="28"/>
      <c r="HG203" s="28"/>
      <c r="HH203" s="28"/>
      <c r="HI203" s="28"/>
      <c r="HJ203" s="28"/>
      <c r="HK203" s="28"/>
      <c r="HL203" s="28"/>
    </row>
    <row r="204" spans="1:220" ht="15" customHeight="1">
      <c r="A204" s="31">
        <v>5</v>
      </c>
      <c r="B204" s="105" t="str">
        <f>VLOOKUP(Ruimtestaat[[#This Row],[Code]],Locaties[[Code]:[Locatie]],2,FALSE)</f>
        <v>IKC Remigius</v>
      </c>
      <c r="C204" s="105" t="str">
        <f>VLOOKUP(Ruimtestaat[[#This Row],[Code]],Locaties[[#All],[Code]:[Adres]],4,FALSE)</f>
        <v>Liemersplein 1</v>
      </c>
      <c r="D204" s="105" t="str">
        <f>VLOOKUP(Ruimtestaat[[#This Row],[Code]],Locaties[[#All],[Code]:[Postcode]],5,FALSE)</f>
        <v xml:space="preserve">6921 HN </v>
      </c>
      <c r="E204" s="105" t="str">
        <f>VLOOKUP(Ruimtestaat[[#This Row],[Code]],Locaties[#All],6,FALSE)</f>
        <v>Duiven</v>
      </c>
      <c r="F204" s="73"/>
      <c r="G204" s="73" t="s">
        <v>1645</v>
      </c>
      <c r="H204" s="31" t="s">
        <v>1699</v>
      </c>
      <c r="I204" s="113" t="s">
        <v>1659</v>
      </c>
      <c r="J204" s="31">
        <v>6</v>
      </c>
      <c r="K204" s="113" t="str">
        <f>VLOOKUP(Ruimtestaat[[#This Row],[Ruimte code]],Ruimtegroepen[[#All],[Code]:[Ruimte omschrijving]],2,FALSE)</f>
        <v>Gangen/hallen</v>
      </c>
      <c r="L204" s="73" t="s">
        <v>102</v>
      </c>
      <c r="M204" s="273" t="s">
        <v>120</v>
      </c>
      <c r="N204" s="106">
        <v>7</v>
      </c>
      <c r="O204" s="112"/>
      <c r="P204" s="73"/>
      <c r="Q204" s="107" t="str">
        <f>VLOOKUP(Ruimtestaat[[#This Row],[Ruimte code]],Ruimtegroepen[],4,FALSE)</f>
        <v>Ve</v>
      </c>
      <c r="R204" s="73">
        <v>40</v>
      </c>
      <c r="S204" s="73" t="s">
        <v>2</v>
      </c>
      <c r="T204" s="73">
        <f>IF(R204&gt;0,IF(RIGHT(Ruimtestaat[[#This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4" s="73">
        <f>IF(T204&gt;0,VLOOKUP($J204,Ruimtegroepen[],3,FALSE)*VLOOKUP($L204,Vloersoorten[],3,FALSE)*VLOOKUP($S204,Frequenties[],3,FALSE)*VLOOKUP($A204,Locaties[],3,FALSE),0)</f>
        <v>0</v>
      </c>
      <c r="V204" s="73">
        <f>Ruimtestaat[[#This Row],[Uitvoeringen werkdagen]]*Ruimtestaat[[#This Row],[Oppervlak (netto)]]</f>
        <v>1400</v>
      </c>
      <c r="W204" s="108">
        <f>IF(U204&gt;0,Ruimtestaat[[#This Row],[Prest. (m2 /jaar) werkdagen]]/Ruimtestaat[[#This Row],[Norm (m2/uur) werkdagen]],0)</f>
        <v>0</v>
      </c>
      <c r="X204" s="109">
        <f>Ruimtestaat[[#This Row],[uren / jaar werkdagen]]*Tariefsopbouw!$E$35</f>
        <v>0</v>
      </c>
      <c r="Y204" s="73"/>
      <c r="Z204" s="73">
        <f>IF(Ruimtestaat[[#This Row],[Frequentie weekend]]&gt;0,VALUE(LEFT(Y204,1))*R204,0)</f>
        <v>0</v>
      </c>
      <c r="AA204" s="72">
        <f>IF($Z204&gt;0,VLOOKUP($J204,Ruimtegroepen[],3,FALSE)*VLOOKUP($L204,Vloersoorten[],3,FALSE)*VLOOKUP($Y204,Frequenties[],3,FALSE)*VLOOKUP(Ruimtestaat[[#This Row],[Code]],Locaties[],3,FALSE),0)</f>
        <v>0</v>
      </c>
      <c r="AB204" s="72">
        <f>Ruimtestaat[[#This Row],[Uitvoeringen weekend]]*Ruimtestaat[[#This Row],[Oppervlak (netto)]]</f>
        <v>0</v>
      </c>
      <c r="AC204" s="72">
        <f>IF(AA204&gt;0,Ruimtestaat[[#This Row],[Prest. (m2 /jaar) weekend]]/Ruimtestaat[[#This Row],[Norm (m2/uur) weekend]],0)</f>
        <v>0</v>
      </c>
      <c r="AD204" s="109">
        <f>Ruimtestaat[[#This Row],[uren / jaar weekend]]*Tariefsopbouw!$D$40</f>
        <v>0</v>
      </c>
      <c r="AE204" s="108">
        <f>Ruimtestaat[[#This Row],[Prest. (m2 /jaar) weekend]]+Ruimtestaat[[#This Row],[Prest. (m2 /jaar) werkdagen]]</f>
        <v>1400</v>
      </c>
      <c r="AF204" s="108">
        <f>Ruimtestaat[[#This Row],[uren / jaar weekend]]+Ruimtestaat[[#This Row],[uren / jaar werkdagen]]</f>
        <v>0</v>
      </c>
      <c r="AG204" s="103">
        <f>Ruimtestaat[[#This Row],[kosten / jaar weekend]]+Ruimtestaat[[#This Row],[kosten / jaar werkdagen]]</f>
        <v>0</v>
      </c>
      <c r="AH204" s="103"/>
      <c r="AI204" s="110" t="str">
        <f>IF(Ruimtestaat[[#This Row],[Frequentie werkdagen]]="","",_xlfn.CONCAT(Ruimtestaat[[#This Row],[Ruimte code]],"-",Ruimtestaat[[#This Row],[Frequentie werkdagen]]," ",Ruimtestaat[[#This Row],[Vloer code]]))</f>
        <v>6-5w P</v>
      </c>
      <c r="AJ204" s="114" t="str">
        <f>_xlfn.IFNA(VLOOKUP($AI204,Programma!$F$3:$G$1101,2,0),"")</f>
        <v>_</v>
      </c>
      <c r="AK204" s="114" t="str">
        <f>_xlfn.IFNA(VLOOKUP($AI204,Programma!$F$3:$H$1101,3,0),"")</f>
        <v>_</v>
      </c>
      <c r="AL204" s="114" t="str">
        <f>_xlfn.IFNA(VLOOKUP($AI204,Programma!$F$3:$I$1101,4,0),"")</f>
        <v>5w</v>
      </c>
      <c r="AM204" s="114" t="str">
        <f>_xlfn.IFNA(VLOOKUP($AI204,Programma!$F$3:$J$1101,5,0),"")</f>
        <v>_</v>
      </c>
      <c r="AN204" s="114" t="str">
        <f>_xlfn.IFNA(VLOOKUP($AI204,Programma!$F$3:$K$1101,6,0),"")</f>
        <v>5w</v>
      </c>
      <c r="AO204" s="114" t="str">
        <f>_xlfn.IFNA(VLOOKUP($AI204,Programma!$F$3:$L$1101,7,0),"")</f>
        <v>_</v>
      </c>
      <c r="AP204" s="114" t="str">
        <f>_xlfn.IFNA(VLOOKUP($AI204,Programma!$F$3:$M$1101,8,0),"")</f>
        <v>_</v>
      </c>
      <c r="AQ204" s="114" t="str">
        <f>_xlfn.IFNA(VLOOKUP($AI204,Programma!$F$3:$N$1101,9,0),"")</f>
        <v>_</v>
      </c>
      <c r="AR204" s="114" t="str">
        <f>_xlfn.IFNA(VLOOKUP($AI204,Programma!$F$3:$O$1101,10,0),"")</f>
        <v>5w</v>
      </c>
      <c r="AS204" s="114" t="str">
        <f>_xlfn.IFNA(VLOOKUP($AI204,Programma!$F$3:$P$1101,11,0),"")</f>
        <v>5w</v>
      </c>
      <c r="AT204" s="114" t="str">
        <f>_xlfn.IFNA(VLOOKUP($AI204,Programma!$F$3:$Q$1101,12,0),"")</f>
        <v>1w</v>
      </c>
      <c r="AU204" s="114" t="str">
        <f>_xlfn.IFNA(VLOOKUP($AI204,Programma!$F$3:$R$1101,13,0),"")</f>
        <v>1w</v>
      </c>
      <c r="AV204" s="114" t="str">
        <f>_xlfn.IFNA(VLOOKUP($AI204,Programma!$F$3:$S$1101,14,0),"")</f>
        <v>1m</v>
      </c>
      <c r="AW204" s="114" t="str">
        <f>_xlfn.IFNA(VLOOKUP($AI204,Programma!$F$3:$T$1101,15,0),"")</f>
        <v>2j</v>
      </c>
      <c r="AX204" s="114" t="str">
        <f>_xlfn.IFNA(VLOOKUP($AI204,Programma!$F$3:$U$1101,16,0),"")</f>
        <v>1j</v>
      </c>
      <c r="AY204" s="114" t="str">
        <f>_xlfn.IFNA(VLOOKUP($AI204,Programma!$F$3:$V$1101,17,0),"")</f>
        <v>_</v>
      </c>
      <c r="AZ204" s="114" t="str">
        <f>_xlfn.IFNA(VLOOKUP($AI204,Programma!$F$3:$W$1101,18,0),"")</f>
        <v>_</v>
      </c>
      <c r="BA204" s="114" t="str">
        <f>_xlfn.IFNA(VLOOKUP($AI204,Programma!$F$3:$X$1101,19,0),"")</f>
        <v>_</v>
      </c>
      <c r="BB204" s="114" t="str">
        <f>_xlfn.IFNA(VLOOKUP($AI204,Programma!$F$3:$Y$1101,20,0),"")</f>
        <v>_</v>
      </c>
      <c r="BC204" s="111"/>
      <c r="BD204" s="110" t="str">
        <f>IF(Ruimtestaat[[#This Row],[Frequentie weekend]]="","",_xlfn.CONCAT(Ruimtestaat[[#This Row],[Ruimte code]],"-",Ruimtestaat[[#This Row],[Frequentie weekend]]," ",Ruimtestaat[[#This Row],[Vloer code]]))</f>
        <v/>
      </c>
      <c r="BE204" s="114" t="str">
        <f>_xlfn.IFNA(VLOOKUP($BD204,Programma!$F$3:$G$1101,2,0),"")</f>
        <v/>
      </c>
      <c r="BF204" s="114" t="str">
        <f>_xlfn.IFNA(VLOOKUP($BD204,Programma!$F$3:$H$1101,3,0),"")</f>
        <v/>
      </c>
      <c r="BG204" s="114" t="str">
        <f>_xlfn.IFNA(VLOOKUP($BD204,Programma!$F$3:$I$1101,4,0),"")</f>
        <v/>
      </c>
      <c r="BH204" s="114" t="str">
        <f>_xlfn.IFNA(VLOOKUP($BD204,Programma!$F$3:$J$1101,5,0),"")</f>
        <v/>
      </c>
      <c r="BI204" s="114" t="str">
        <f>_xlfn.IFNA(VLOOKUP($BD204,Programma!$F$3:$K$1101,6,0),"")</f>
        <v/>
      </c>
      <c r="BJ204" s="114" t="str">
        <f>_xlfn.IFNA(VLOOKUP($BD204,Programma!$F$3:$L$1101,7,0),"")</f>
        <v/>
      </c>
      <c r="BK204" s="114" t="str">
        <f>_xlfn.IFNA(VLOOKUP($BD204,Programma!$F$3:$M$1101,8,0),"")</f>
        <v/>
      </c>
      <c r="BL204" s="114" t="str">
        <f>_xlfn.IFNA(VLOOKUP($BD204,Programma!$F$3:$N$1101,9,0),"")</f>
        <v/>
      </c>
      <c r="BM204" s="114" t="str">
        <f>_xlfn.IFNA(VLOOKUP($BD204,Programma!$F$3:$O$1101,10,0),"")</f>
        <v/>
      </c>
      <c r="BN204" s="114" t="str">
        <f>_xlfn.IFNA(VLOOKUP($BD204,Programma!$F$3:$P$1101,11,0),"")</f>
        <v/>
      </c>
      <c r="BO204" s="114" t="str">
        <f>_xlfn.IFNA(VLOOKUP($BD204,Programma!$F$3:$Q$1101,12,0),"")</f>
        <v/>
      </c>
      <c r="BP204" s="114" t="str">
        <f>_xlfn.IFNA(VLOOKUP($BD204,Programma!$F$3:$R$1101,13,0),"")</f>
        <v/>
      </c>
      <c r="BQ204" s="114" t="str">
        <f>_xlfn.IFNA(VLOOKUP($BD204,Programma!$F$3:$S$1101,14,0),"")</f>
        <v/>
      </c>
      <c r="BR204" s="114" t="str">
        <f>_xlfn.IFNA(VLOOKUP($BD204,Programma!$F$3:$T$1101,15,0),"")</f>
        <v/>
      </c>
      <c r="BS204" s="114" t="str">
        <f>_xlfn.IFNA(VLOOKUP($BD204,Programma!$F$3:$U$1101,16,0),"")</f>
        <v/>
      </c>
      <c r="BT204" s="114" t="str">
        <f>_xlfn.IFNA(VLOOKUP($BD204,Programma!$F$3:$V$1101,17,0),"")</f>
        <v/>
      </c>
      <c r="BU204" s="114" t="str">
        <f>_xlfn.IFNA(VLOOKUP($BD204,Programma!$F$3:$W$1101,18,0),"")</f>
        <v/>
      </c>
      <c r="BV204" s="114" t="str">
        <f>_xlfn.IFNA(VLOOKUP($BD204,Programma!$F$3:$X$1101,19,0),"")</f>
        <v/>
      </c>
      <c r="BW204" s="114" t="str">
        <f>_xlfn.IFNA(VLOOKUP($BD204,Programma!$F$3:$Y$1101,20,0),"")</f>
        <v/>
      </c>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c r="EA204" s="28"/>
      <c r="EB204" s="28"/>
      <c r="EC204" s="28"/>
      <c r="ED204" s="28"/>
      <c r="EE204" s="28"/>
      <c r="EF204" s="28"/>
      <c r="EG204" s="28"/>
      <c r="EH204" s="28"/>
      <c r="EI204" s="28"/>
      <c r="EJ204" s="28"/>
      <c r="EK204" s="28"/>
      <c r="EL204" s="28"/>
      <c r="EM204" s="28"/>
      <c r="EN204" s="28"/>
      <c r="EO204" s="28"/>
      <c r="EP204" s="28"/>
      <c r="EQ204" s="28"/>
      <c r="ER204" s="28"/>
      <c r="ES204" s="28"/>
      <c r="ET204" s="28"/>
      <c r="EU204" s="28"/>
      <c r="EV204" s="28"/>
      <c r="EW204" s="28"/>
      <c r="EX204" s="28"/>
      <c r="EY204" s="28"/>
      <c r="EZ204" s="28"/>
      <c r="FA204" s="28"/>
      <c r="FB204" s="28"/>
      <c r="FC204" s="28"/>
      <c r="FD204" s="28"/>
      <c r="FE204" s="28"/>
      <c r="FF204" s="28"/>
      <c r="FG204" s="28"/>
      <c r="FH204" s="28"/>
      <c r="FI204" s="28"/>
      <c r="FJ204" s="28"/>
      <c r="FK204" s="28"/>
      <c r="FL204" s="28"/>
      <c r="FM204" s="28"/>
      <c r="FN204" s="28"/>
      <c r="FO204" s="28"/>
      <c r="FP204" s="28"/>
      <c r="FQ204" s="28"/>
      <c r="FR204" s="28"/>
      <c r="FS204" s="28"/>
      <c r="FT204" s="28"/>
      <c r="FU204" s="28"/>
      <c r="FV204" s="28"/>
      <c r="FW204" s="28"/>
      <c r="FX204" s="28"/>
      <c r="FY204" s="28"/>
      <c r="FZ204" s="28"/>
      <c r="GA204" s="28"/>
      <c r="GB204" s="28"/>
      <c r="GC204" s="28"/>
      <c r="GD204" s="28"/>
      <c r="GE204" s="28"/>
      <c r="GF204" s="28"/>
      <c r="GG204" s="28"/>
      <c r="GH204" s="28"/>
      <c r="GI204" s="28"/>
      <c r="GJ204" s="28"/>
      <c r="GK204" s="28"/>
      <c r="GL204" s="28"/>
      <c r="GM204" s="28"/>
      <c r="GN204" s="28"/>
      <c r="GO204" s="28"/>
      <c r="GP204" s="28"/>
      <c r="GQ204" s="28"/>
      <c r="GR204" s="28"/>
      <c r="GS204" s="28"/>
      <c r="GT204" s="28"/>
      <c r="GU204" s="28"/>
      <c r="GV204" s="28"/>
      <c r="GW204" s="28"/>
      <c r="GX204" s="28"/>
      <c r="GY204" s="28"/>
      <c r="GZ204" s="28"/>
      <c r="HA204" s="28"/>
      <c r="HB204" s="28"/>
      <c r="HC204" s="28"/>
      <c r="HD204" s="28"/>
      <c r="HE204" s="28"/>
      <c r="HF204" s="28"/>
      <c r="HG204" s="28"/>
      <c r="HH204" s="28"/>
      <c r="HI204" s="28"/>
      <c r="HJ204" s="28"/>
      <c r="HK204" s="28"/>
      <c r="HL204" s="28"/>
    </row>
    <row r="205" spans="1:220" ht="15" customHeight="1">
      <c r="A205" s="31">
        <v>5</v>
      </c>
      <c r="B205" s="105" t="str">
        <f>VLOOKUP(Ruimtestaat[[#This Row],[Code]],Locaties[[Code]:[Locatie]],2,FALSE)</f>
        <v>IKC Remigius</v>
      </c>
      <c r="C205" s="105" t="str">
        <f>VLOOKUP(Ruimtestaat[[#This Row],[Code]],Locaties[[#All],[Code]:[Adres]],4,FALSE)</f>
        <v>Liemersplein 1</v>
      </c>
      <c r="D205" s="105" t="str">
        <f>VLOOKUP(Ruimtestaat[[#This Row],[Code]],Locaties[[#All],[Code]:[Postcode]],5,FALSE)</f>
        <v xml:space="preserve">6921 HN </v>
      </c>
      <c r="E205" s="105" t="str">
        <f>VLOOKUP(Ruimtestaat[[#This Row],[Code]],Locaties[#All],6,FALSE)</f>
        <v>Duiven</v>
      </c>
      <c r="F205" s="73"/>
      <c r="G205" s="73" t="s">
        <v>1645</v>
      </c>
      <c r="H205" s="31" t="s">
        <v>1700</v>
      </c>
      <c r="I205" s="113" t="s">
        <v>1822</v>
      </c>
      <c r="J205" s="31">
        <v>6</v>
      </c>
      <c r="K205" s="113" t="str">
        <f>VLOOKUP(Ruimtestaat[[#This Row],[Ruimte code]],Ruimtegroepen[[#All],[Code]:[Ruimte omschrijving]],2,FALSE)</f>
        <v>Gangen/hallen</v>
      </c>
      <c r="L205" s="73" t="s">
        <v>102</v>
      </c>
      <c r="M205" s="273" t="s">
        <v>120</v>
      </c>
      <c r="N205" s="106">
        <v>55.8</v>
      </c>
      <c r="O205" s="112"/>
      <c r="P205" s="112"/>
      <c r="Q205" s="107" t="str">
        <f>VLOOKUP(Ruimtestaat[[#This Row],[Ruimte code]],Ruimtegroepen[],4,FALSE)</f>
        <v>Ve</v>
      </c>
      <c r="R205" s="73">
        <v>40</v>
      </c>
      <c r="S205" s="73" t="s">
        <v>2</v>
      </c>
      <c r="T205" s="73">
        <f>IF(R205&gt;0,IF(RIGHT(Ruimtestaat[[#This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5" s="73">
        <f>IF(T205&gt;0,VLOOKUP($J205,Ruimtegroepen[],3,FALSE)*VLOOKUP($L205,Vloersoorten[],3,FALSE)*VLOOKUP($S205,Frequenties[],3,FALSE)*VLOOKUP($A205,Locaties[],3,FALSE),0)</f>
        <v>0</v>
      </c>
      <c r="V205" s="73">
        <f>Ruimtestaat[[#This Row],[Uitvoeringen werkdagen]]*Ruimtestaat[[#This Row],[Oppervlak (netto)]]</f>
        <v>11160</v>
      </c>
      <c r="W205" s="108">
        <f>IF(U205&gt;0,Ruimtestaat[[#This Row],[Prest. (m2 /jaar) werkdagen]]/Ruimtestaat[[#This Row],[Norm (m2/uur) werkdagen]],0)</f>
        <v>0</v>
      </c>
      <c r="X205" s="109">
        <f>Ruimtestaat[[#This Row],[uren / jaar werkdagen]]*Tariefsopbouw!$E$35</f>
        <v>0</v>
      </c>
      <c r="Y205" s="73"/>
      <c r="Z205" s="73">
        <f>IF(Ruimtestaat[[#This Row],[Frequentie weekend]]&gt;0,VALUE(LEFT(Y205,1))*R205,0)</f>
        <v>0</v>
      </c>
      <c r="AA205" s="72">
        <f>IF($Z205&gt;0,VLOOKUP($J205,Ruimtegroepen[],3,FALSE)*VLOOKUP($L205,Vloersoorten[],3,FALSE)*VLOOKUP($Y205,Frequenties[],3,FALSE)*VLOOKUP(Ruimtestaat[[#This Row],[Code]],Locaties[],3,FALSE),0)</f>
        <v>0</v>
      </c>
      <c r="AB205" s="72">
        <f>Ruimtestaat[[#This Row],[Uitvoeringen weekend]]*Ruimtestaat[[#This Row],[Oppervlak (netto)]]</f>
        <v>0</v>
      </c>
      <c r="AC205" s="72">
        <f>IF(AA205&gt;0,Ruimtestaat[[#This Row],[Prest. (m2 /jaar) weekend]]/Ruimtestaat[[#This Row],[Norm (m2/uur) weekend]],0)</f>
        <v>0</v>
      </c>
      <c r="AD205" s="109">
        <f>Ruimtestaat[[#This Row],[uren / jaar weekend]]*Tariefsopbouw!$D$40</f>
        <v>0</v>
      </c>
      <c r="AE205" s="108">
        <f>Ruimtestaat[[#This Row],[Prest. (m2 /jaar) weekend]]+Ruimtestaat[[#This Row],[Prest. (m2 /jaar) werkdagen]]</f>
        <v>11160</v>
      </c>
      <c r="AF205" s="108">
        <f>Ruimtestaat[[#This Row],[uren / jaar weekend]]+Ruimtestaat[[#This Row],[uren / jaar werkdagen]]</f>
        <v>0</v>
      </c>
      <c r="AG205" s="103">
        <f>Ruimtestaat[[#This Row],[kosten / jaar weekend]]+Ruimtestaat[[#This Row],[kosten / jaar werkdagen]]</f>
        <v>0</v>
      </c>
      <c r="AH205" s="103"/>
      <c r="AI205" s="110" t="str">
        <f>IF(Ruimtestaat[[#This Row],[Frequentie werkdagen]]="","",_xlfn.CONCAT(Ruimtestaat[[#This Row],[Ruimte code]],"-",Ruimtestaat[[#This Row],[Frequentie werkdagen]]," ",Ruimtestaat[[#This Row],[Vloer code]]))</f>
        <v>6-5w P</v>
      </c>
      <c r="AJ205" s="114" t="str">
        <f>_xlfn.IFNA(VLOOKUP($AI205,Programma!$F$3:$G$1101,2,0),"")</f>
        <v>_</v>
      </c>
      <c r="AK205" s="114" t="str">
        <f>_xlfn.IFNA(VLOOKUP($AI205,Programma!$F$3:$H$1101,3,0),"")</f>
        <v>_</v>
      </c>
      <c r="AL205" s="114" t="str">
        <f>_xlfn.IFNA(VLOOKUP($AI205,Programma!$F$3:$I$1101,4,0),"")</f>
        <v>5w</v>
      </c>
      <c r="AM205" s="114" t="str">
        <f>_xlfn.IFNA(VLOOKUP($AI205,Programma!$F$3:$J$1101,5,0),"")</f>
        <v>_</v>
      </c>
      <c r="AN205" s="114" t="str">
        <f>_xlfn.IFNA(VLOOKUP($AI205,Programma!$F$3:$K$1101,6,0),"")</f>
        <v>5w</v>
      </c>
      <c r="AO205" s="114" t="str">
        <f>_xlfn.IFNA(VLOOKUP($AI205,Programma!$F$3:$L$1101,7,0),"")</f>
        <v>_</v>
      </c>
      <c r="AP205" s="114" t="str">
        <f>_xlfn.IFNA(VLOOKUP($AI205,Programma!$F$3:$M$1101,8,0),"")</f>
        <v>_</v>
      </c>
      <c r="AQ205" s="114" t="str">
        <f>_xlfn.IFNA(VLOOKUP($AI205,Programma!$F$3:$N$1101,9,0),"")</f>
        <v>_</v>
      </c>
      <c r="AR205" s="114" t="str">
        <f>_xlfn.IFNA(VLOOKUP($AI205,Programma!$F$3:$O$1101,10,0),"")</f>
        <v>5w</v>
      </c>
      <c r="AS205" s="114" t="str">
        <f>_xlfn.IFNA(VLOOKUP($AI205,Programma!$F$3:$P$1101,11,0),"")</f>
        <v>5w</v>
      </c>
      <c r="AT205" s="114" t="str">
        <f>_xlfn.IFNA(VLOOKUP($AI205,Programma!$F$3:$Q$1101,12,0),"")</f>
        <v>1w</v>
      </c>
      <c r="AU205" s="114" t="str">
        <f>_xlfn.IFNA(VLOOKUP($AI205,Programma!$F$3:$R$1101,13,0),"")</f>
        <v>1w</v>
      </c>
      <c r="AV205" s="114" t="str">
        <f>_xlfn.IFNA(VLOOKUP($AI205,Programma!$F$3:$S$1101,14,0),"")</f>
        <v>1m</v>
      </c>
      <c r="AW205" s="114" t="str">
        <f>_xlfn.IFNA(VLOOKUP($AI205,Programma!$F$3:$T$1101,15,0),"")</f>
        <v>2j</v>
      </c>
      <c r="AX205" s="114" t="str">
        <f>_xlfn.IFNA(VLOOKUP($AI205,Programma!$F$3:$U$1101,16,0),"")</f>
        <v>1j</v>
      </c>
      <c r="AY205" s="114" t="str">
        <f>_xlfn.IFNA(VLOOKUP($AI205,Programma!$F$3:$V$1101,17,0),"")</f>
        <v>_</v>
      </c>
      <c r="AZ205" s="114" t="str">
        <f>_xlfn.IFNA(VLOOKUP($AI205,Programma!$F$3:$W$1101,18,0),"")</f>
        <v>_</v>
      </c>
      <c r="BA205" s="114" t="str">
        <f>_xlfn.IFNA(VLOOKUP($AI205,Programma!$F$3:$X$1101,19,0),"")</f>
        <v>_</v>
      </c>
      <c r="BB205" s="114" t="str">
        <f>_xlfn.IFNA(VLOOKUP($AI205,Programma!$F$3:$Y$1101,20,0),"")</f>
        <v>_</v>
      </c>
      <c r="BC205" s="111"/>
      <c r="BD205" s="110" t="str">
        <f>IF(Ruimtestaat[[#This Row],[Frequentie weekend]]="","",_xlfn.CONCAT(Ruimtestaat[[#This Row],[Ruimte code]],"-",Ruimtestaat[[#This Row],[Frequentie weekend]]," ",Ruimtestaat[[#This Row],[Vloer code]]))</f>
        <v/>
      </c>
      <c r="BE205" s="114" t="str">
        <f>_xlfn.IFNA(VLOOKUP($BD205,Programma!$F$3:$G$1101,2,0),"")</f>
        <v/>
      </c>
      <c r="BF205" s="114" t="str">
        <f>_xlfn.IFNA(VLOOKUP($BD205,Programma!$F$3:$H$1101,3,0),"")</f>
        <v/>
      </c>
      <c r="BG205" s="114" t="str">
        <f>_xlfn.IFNA(VLOOKUP($BD205,Programma!$F$3:$I$1101,4,0),"")</f>
        <v/>
      </c>
      <c r="BH205" s="114" t="str">
        <f>_xlfn.IFNA(VLOOKUP($BD205,Programma!$F$3:$J$1101,5,0),"")</f>
        <v/>
      </c>
      <c r="BI205" s="114" t="str">
        <f>_xlfn.IFNA(VLOOKUP($BD205,Programma!$F$3:$K$1101,6,0),"")</f>
        <v/>
      </c>
      <c r="BJ205" s="114" t="str">
        <f>_xlfn.IFNA(VLOOKUP($BD205,Programma!$F$3:$L$1101,7,0),"")</f>
        <v/>
      </c>
      <c r="BK205" s="114" t="str">
        <f>_xlfn.IFNA(VLOOKUP($BD205,Programma!$F$3:$M$1101,8,0),"")</f>
        <v/>
      </c>
      <c r="BL205" s="114" t="str">
        <f>_xlfn.IFNA(VLOOKUP($BD205,Programma!$F$3:$N$1101,9,0),"")</f>
        <v/>
      </c>
      <c r="BM205" s="114" t="str">
        <f>_xlfn.IFNA(VLOOKUP($BD205,Programma!$F$3:$O$1101,10,0),"")</f>
        <v/>
      </c>
      <c r="BN205" s="114" t="str">
        <f>_xlfn.IFNA(VLOOKUP($BD205,Programma!$F$3:$P$1101,11,0),"")</f>
        <v/>
      </c>
      <c r="BO205" s="114" t="str">
        <f>_xlfn.IFNA(VLOOKUP($BD205,Programma!$F$3:$Q$1101,12,0),"")</f>
        <v/>
      </c>
      <c r="BP205" s="114" t="str">
        <f>_xlfn.IFNA(VLOOKUP($BD205,Programma!$F$3:$R$1101,13,0),"")</f>
        <v/>
      </c>
      <c r="BQ205" s="114" t="str">
        <f>_xlfn.IFNA(VLOOKUP($BD205,Programma!$F$3:$S$1101,14,0),"")</f>
        <v/>
      </c>
      <c r="BR205" s="114" t="str">
        <f>_xlfn.IFNA(VLOOKUP($BD205,Programma!$F$3:$T$1101,15,0),"")</f>
        <v/>
      </c>
      <c r="BS205" s="114" t="str">
        <f>_xlfn.IFNA(VLOOKUP($BD205,Programma!$F$3:$U$1101,16,0),"")</f>
        <v/>
      </c>
      <c r="BT205" s="114" t="str">
        <f>_xlfn.IFNA(VLOOKUP($BD205,Programma!$F$3:$V$1101,17,0),"")</f>
        <v/>
      </c>
      <c r="BU205" s="114" t="str">
        <f>_xlfn.IFNA(VLOOKUP($BD205,Programma!$F$3:$W$1101,18,0),"")</f>
        <v/>
      </c>
      <c r="BV205" s="114" t="str">
        <f>_xlfn.IFNA(VLOOKUP($BD205,Programma!$F$3:$X$1101,19,0),"")</f>
        <v/>
      </c>
      <c r="BW205" s="114" t="str">
        <f>_xlfn.IFNA(VLOOKUP($BD205,Programma!$F$3:$Y$1101,20,0),"")</f>
        <v/>
      </c>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c r="EA205" s="28"/>
      <c r="EB205" s="28"/>
      <c r="EC205" s="28"/>
      <c r="ED205" s="28"/>
      <c r="EE205" s="28"/>
      <c r="EF205" s="28"/>
      <c r="EG205" s="28"/>
      <c r="EH205" s="28"/>
      <c r="EI205" s="28"/>
      <c r="EJ205" s="28"/>
      <c r="EK205" s="28"/>
      <c r="EL205" s="28"/>
      <c r="EM205" s="28"/>
      <c r="EN205" s="28"/>
      <c r="EO205" s="28"/>
      <c r="EP205" s="28"/>
      <c r="EQ205" s="28"/>
      <c r="ER205" s="28"/>
      <c r="ES205" s="28"/>
      <c r="ET205" s="28"/>
      <c r="EU205" s="28"/>
      <c r="EV205" s="28"/>
      <c r="EW205" s="28"/>
      <c r="EX205" s="28"/>
      <c r="EY205" s="28"/>
      <c r="EZ205" s="28"/>
      <c r="FA205" s="28"/>
      <c r="FB205" s="28"/>
      <c r="FC205" s="28"/>
      <c r="FD205" s="28"/>
      <c r="FE205" s="28"/>
      <c r="FF205" s="28"/>
      <c r="FG205" s="28"/>
      <c r="FH205" s="28"/>
      <c r="FI205" s="28"/>
      <c r="FJ205" s="28"/>
      <c r="FK205" s="28"/>
      <c r="FL205" s="28"/>
      <c r="FM205" s="28"/>
      <c r="FN205" s="28"/>
      <c r="FO205" s="28"/>
      <c r="FP205" s="28"/>
      <c r="FQ205" s="28"/>
      <c r="FR205" s="28"/>
      <c r="FS205" s="28"/>
      <c r="FT205" s="28"/>
      <c r="FU205" s="28"/>
      <c r="FV205" s="28"/>
      <c r="FW205" s="28"/>
      <c r="FX205" s="28"/>
      <c r="FY205" s="28"/>
      <c r="FZ205" s="28"/>
      <c r="GA205" s="28"/>
      <c r="GB205" s="28"/>
      <c r="GC205" s="28"/>
      <c r="GD205" s="28"/>
      <c r="GE205" s="28"/>
      <c r="GF205" s="28"/>
      <c r="GG205" s="28"/>
      <c r="GH205" s="28"/>
      <c r="GI205" s="28"/>
      <c r="GJ205" s="28"/>
      <c r="GK205" s="28"/>
      <c r="GL205" s="28"/>
      <c r="GM205" s="28"/>
      <c r="GN205" s="28"/>
      <c r="GO205" s="28"/>
      <c r="GP205" s="28"/>
      <c r="GQ205" s="28"/>
      <c r="GR205" s="28"/>
      <c r="GS205" s="28"/>
      <c r="GT205" s="28"/>
      <c r="GU205" s="28"/>
      <c r="GV205" s="28"/>
      <c r="GW205" s="28"/>
      <c r="GX205" s="28"/>
      <c r="GY205" s="28"/>
      <c r="GZ205" s="28"/>
      <c r="HA205" s="28"/>
      <c r="HB205" s="28"/>
      <c r="HC205" s="28"/>
      <c r="HD205" s="28"/>
      <c r="HE205" s="28"/>
      <c r="HF205" s="28"/>
      <c r="HG205" s="28"/>
      <c r="HH205" s="28"/>
      <c r="HI205" s="28"/>
      <c r="HJ205" s="28"/>
      <c r="HK205" s="28"/>
      <c r="HL205" s="28"/>
    </row>
    <row r="206" spans="1:220" ht="15" customHeight="1">
      <c r="A206" s="31">
        <v>5</v>
      </c>
      <c r="B206" s="105" t="str">
        <f>VLOOKUP(Ruimtestaat[[#This Row],[Code]],Locaties[[Code]:[Locatie]],2,FALSE)</f>
        <v>IKC Remigius</v>
      </c>
      <c r="C206" s="105" t="str">
        <f>VLOOKUP(Ruimtestaat[[#This Row],[Code]],Locaties[[#All],[Code]:[Adres]],4,FALSE)</f>
        <v>Liemersplein 1</v>
      </c>
      <c r="D206" s="105" t="str">
        <f>VLOOKUP(Ruimtestaat[[#This Row],[Code]],Locaties[[#All],[Code]:[Postcode]],5,FALSE)</f>
        <v xml:space="preserve">6921 HN </v>
      </c>
      <c r="E206" s="105" t="str">
        <f>VLOOKUP(Ruimtestaat[[#This Row],[Code]],Locaties[#All],6,FALSE)</f>
        <v>Duiven</v>
      </c>
      <c r="F206" s="73"/>
      <c r="G206" s="73" t="s">
        <v>1645</v>
      </c>
      <c r="H206" s="31" t="s">
        <v>1701</v>
      </c>
      <c r="I206" s="113" t="s">
        <v>1812</v>
      </c>
      <c r="J206" s="31">
        <v>20</v>
      </c>
      <c r="K206" s="113" t="str">
        <f>VLOOKUP(Ruimtestaat[[#This Row],[Ruimte code]],Ruimtegroepen[[#All],[Code]:[Ruimte omschrijving]],2,FALSE)</f>
        <v>Niet in Onderhoud</v>
      </c>
      <c r="L206" s="73"/>
      <c r="M206" s="273"/>
      <c r="N206" s="106"/>
      <c r="O206" s="112">
        <v>33</v>
      </c>
      <c r="P206" s="112"/>
      <c r="Q206" s="107">
        <f>VLOOKUP(Ruimtestaat[[#This Row],[Ruimte code]],Ruimtegroepen[],4,FALSE)</f>
        <v>0</v>
      </c>
      <c r="R206" s="73"/>
      <c r="S206" s="73"/>
      <c r="T206" s="73">
        <f>IF(R206&gt;0,IF(RIGHT(Ruimtestaat[[#This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6" s="73">
        <f>IF(T206&gt;0,VLOOKUP($J206,Ruimtegroepen[],3,FALSE)*VLOOKUP($L206,Vloersoorten[],3,FALSE)*VLOOKUP($S206,Frequenties[],3,FALSE)*VLOOKUP($A206,Locaties[],3,FALSE),0)</f>
        <v>0</v>
      </c>
      <c r="V206" s="73">
        <f>Ruimtestaat[[#This Row],[Uitvoeringen werkdagen]]*Ruimtestaat[[#This Row],[Oppervlak (netto)]]</f>
        <v>0</v>
      </c>
      <c r="W206" s="108">
        <f>IF(U206&gt;0,Ruimtestaat[[#This Row],[Prest. (m2 /jaar) werkdagen]]/Ruimtestaat[[#This Row],[Norm (m2/uur) werkdagen]],0)</f>
        <v>0</v>
      </c>
      <c r="X206" s="109">
        <f>Ruimtestaat[[#This Row],[uren / jaar werkdagen]]*Tariefsopbouw!$E$35</f>
        <v>0</v>
      </c>
      <c r="Y206" s="73"/>
      <c r="Z206" s="73">
        <f>IF(Ruimtestaat[[#This Row],[Frequentie weekend]]&gt;0,VALUE(LEFT(Y206,1))*R206,0)</f>
        <v>0</v>
      </c>
      <c r="AA206" s="72">
        <f>IF($Z206&gt;0,VLOOKUP($J206,Ruimtegroepen[],3,FALSE)*VLOOKUP($L206,Vloersoorten[],3,FALSE)*VLOOKUP($Y206,Frequenties[],3,FALSE)*VLOOKUP(Ruimtestaat[[#This Row],[Code]],Locaties[],3,FALSE),0)</f>
        <v>0</v>
      </c>
      <c r="AB206" s="72">
        <f>Ruimtestaat[[#This Row],[Uitvoeringen weekend]]*Ruimtestaat[[#This Row],[Oppervlak (netto)]]</f>
        <v>0</v>
      </c>
      <c r="AC206" s="72">
        <f>IF(AA206&gt;0,Ruimtestaat[[#This Row],[Prest. (m2 /jaar) weekend]]/Ruimtestaat[[#This Row],[Norm (m2/uur) weekend]],0)</f>
        <v>0</v>
      </c>
      <c r="AD206" s="109">
        <f>Ruimtestaat[[#This Row],[uren / jaar weekend]]*Tariefsopbouw!$D$40</f>
        <v>0</v>
      </c>
      <c r="AE206" s="108">
        <f>Ruimtestaat[[#This Row],[Prest. (m2 /jaar) weekend]]+Ruimtestaat[[#This Row],[Prest. (m2 /jaar) werkdagen]]</f>
        <v>0</v>
      </c>
      <c r="AF206" s="108">
        <f>Ruimtestaat[[#This Row],[uren / jaar weekend]]+Ruimtestaat[[#This Row],[uren / jaar werkdagen]]</f>
        <v>0</v>
      </c>
      <c r="AG206" s="103">
        <f>Ruimtestaat[[#This Row],[kosten / jaar weekend]]+Ruimtestaat[[#This Row],[kosten / jaar werkdagen]]</f>
        <v>0</v>
      </c>
      <c r="AH206" s="103"/>
      <c r="AI206" s="110" t="str">
        <f>IF(Ruimtestaat[[#This Row],[Frequentie werkdagen]]="","",_xlfn.CONCAT(Ruimtestaat[[#This Row],[Ruimte code]],"-",Ruimtestaat[[#This Row],[Frequentie werkdagen]]," ",Ruimtestaat[[#This Row],[Vloer code]]))</f>
        <v/>
      </c>
      <c r="AJ206" s="114" t="str">
        <f>_xlfn.IFNA(VLOOKUP($AI206,Programma!$F$3:$G$1101,2,0),"")</f>
        <v/>
      </c>
      <c r="AK206" s="114" t="str">
        <f>_xlfn.IFNA(VLOOKUP($AI206,Programma!$F$3:$H$1101,3,0),"")</f>
        <v/>
      </c>
      <c r="AL206" s="114" t="str">
        <f>_xlfn.IFNA(VLOOKUP($AI206,Programma!$F$3:$I$1101,4,0),"")</f>
        <v/>
      </c>
      <c r="AM206" s="114" t="str">
        <f>_xlfn.IFNA(VLOOKUP($AI206,Programma!$F$3:$J$1101,5,0),"")</f>
        <v/>
      </c>
      <c r="AN206" s="114" t="str">
        <f>_xlfn.IFNA(VLOOKUP($AI206,Programma!$F$3:$K$1101,6,0),"")</f>
        <v/>
      </c>
      <c r="AO206" s="114" t="str">
        <f>_xlfn.IFNA(VLOOKUP($AI206,Programma!$F$3:$L$1101,7,0),"")</f>
        <v/>
      </c>
      <c r="AP206" s="114" t="str">
        <f>_xlfn.IFNA(VLOOKUP($AI206,Programma!$F$3:$M$1101,8,0),"")</f>
        <v/>
      </c>
      <c r="AQ206" s="114" t="str">
        <f>_xlfn.IFNA(VLOOKUP($AI206,Programma!$F$3:$N$1101,9,0),"")</f>
        <v/>
      </c>
      <c r="AR206" s="114" t="str">
        <f>_xlfn.IFNA(VLOOKUP($AI206,Programma!$F$3:$O$1101,10,0),"")</f>
        <v/>
      </c>
      <c r="AS206" s="114" t="str">
        <f>_xlfn.IFNA(VLOOKUP($AI206,Programma!$F$3:$P$1101,11,0),"")</f>
        <v/>
      </c>
      <c r="AT206" s="114" t="str">
        <f>_xlfn.IFNA(VLOOKUP($AI206,Programma!$F$3:$Q$1101,12,0),"")</f>
        <v/>
      </c>
      <c r="AU206" s="114" t="str">
        <f>_xlfn.IFNA(VLOOKUP($AI206,Programma!$F$3:$R$1101,13,0),"")</f>
        <v/>
      </c>
      <c r="AV206" s="114" t="str">
        <f>_xlfn.IFNA(VLOOKUP($AI206,Programma!$F$3:$S$1101,14,0),"")</f>
        <v/>
      </c>
      <c r="AW206" s="114" t="str">
        <f>_xlfn.IFNA(VLOOKUP($AI206,Programma!$F$3:$T$1101,15,0),"")</f>
        <v/>
      </c>
      <c r="AX206" s="114" t="str">
        <f>_xlfn.IFNA(VLOOKUP($AI206,Programma!$F$3:$U$1101,16,0),"")</f>
        <v/>
      </c>
      <c r="AY206" s="114" t="str">
        <f>_xlfn.IFNA(VLOOKUP($AI206,Programma!$F$3:$V$1101,17,0),"")</f>
        <v/>
      </c>
      <c r="AZ206" s="114" t="str">
        <f>_xlfn.IFNA(VLOOKUP($AI206,Programma!$F$3:$W$1101,18,0),"")</f>
        <v/>
      </c>
      <c r="BA206" s="114" t="str">
        <f>_xlfn.IFNA(VLOOKUP($AI206,Programma!$F$3:$X$1101,19,0),"")</f>
        <v/>
      </c>
      <c r="BB206" s="114" t="str">
        <f>_xlfn.IFNA(VLOOKUP($AI206,Programma!$F$3:$Y$1101,20,0),"")</f>
        <v/>
      </c>
      <c r="BC206" s="111"/>
      <c r="BD206" s="110" t="str">
        <f>IF(Ruimtestaat[[#This Row],[Frequentie weekend]]="","",_xlfn.CONCAT(Ruimtestaat[[#This Row],[Ruimte code]],"-",Ruimtestaat[[#This Row],[Frequentie weekend]]," ",Ruimtestaat[[#This Row],[Vloer code]]))</f>
        <v/>
      </c>
      <c r="BE206" s="114" t="str">
        <f>_xlfn.IFNA(VLOOKUP($BD206,Programma!$F$3:$G$1101,2,0),"")</f>
        <v/>
      </c>
      <c r="BF206" s="114" t="str">
        <f>_xlfn.IFNA(VLOOKUP($BD206,Programma!$F$3:$H$1101,3,0),"")</f>
        <v/>
      </c>
      <c r="BG206" s="114" t="str">
        <f>_xlfn.IFNA(VLOOKUP($BD206,Programma!$F$3:$I$1101,4,0),"")</f>
        <v/>
      </c>
      <c r="BH206" s="114" t="str">
        <f>_xlfn.IFNA(VLOOKUP($BD206,Programma!$F$3:$J$1101,5,0),"")</f>
        <v/>
      </c>
      <c r="BI206" s="114" t="str">
        <f>_xlfn.IFNA(VLOOKUP($BD206,Programma!$F$3:$K$1101,6,0),"")</f>
        <v/>
      </c>
      <c r="BJ206" s="114" t="str">
        <f>_xlfn.IFNA(VLOOKUP($BD206,Programma!$F$3:$L$1101,7,0),"")</f>
        <v/>
      </c>
      <c r="BK206" s="114" t="str">
        <f>_xlfn.IFNA(VLOOKUP($BD206,Programma!$F$3:$M$1101,8,0),"")</f>
        <v/>
      </c>
      <c r="BL206" s="114" t="str">
        <f>_xlfn.IFNA(VLOOKUP($BD206,Programma!$F$3:$N$1101,9,0),"")</f>
        <v/>
      </c>
      <c r="BM206" s="114" t="str">
        <f>_xlfn.IFNA(VLOOKUP($BD206,Programma!$F$3:$O$1101,10,0),"")</f>
        <v/>
      </c>
      <c r="BN206" s="114" t="str">
        <f>_xlfn.IFNA(VLOOKUP($BD206,Programma!$F$3:$P$1101,11,0),"")</f>
        <v/>
      </c>
      <c r="BO206" s="114" t="str">
        <f>_xlfn.IFNA(VLOOKUP($BD206,Programma!$F$3:$Q$1101,12,0),"")</f>
        <v/>
      </c>
      <c r="BP206" s="114" t="str">
        <f>_xlfn.IFNA(VLOOKUP($BD206,Programma!$F$3:$R$1101,13,0),"")</f>
        <v/>
      </c>
      <c r="BQ206" s="114" t="str">
        <f>_xlfn.IFNA(VLOOKUP($BD206,Programma!$F$3:$S$1101,14,0),"")</f>
        <v/>
      </c>
      <c r="BR206" s="114" t="str">
        <f>_xlfn.IFNA(VLOOKUP($BD206,Programma!$F$3:$T$1101,15,0),"")</f>
        <v/>
      </c>
      <c r="BS206" s="114" t="str">
        <f>_xlfn.IFNA(VLOOKUP($BD206,Programma!$F$3:$U$1101,16,0),"")</f>
        <v/>
      </c>
      <c r="BT206" s="114" t="str">
        <f>_xlfn.IFNA(VLOOKUP($BD206,Programma!$F$3:$V$1101,17,0),"")</f>
        <v/>
      </c>
      <c r="BU206" s="114" t="str">
        <f>_xlfn.IFNA(VLOOKUP($BD206,Programma!$F$3:$W$1101,18,0),"")</f>
        <v/>
      </c>
      <c r="BV206" s="114" t="str">
        <f>_xlfn.IFNA(VLOOKUP($BD206,Programma!$F$3:$X$1101,19,0),"")</f>
        <v/>
      </c>
      <c r="BW206" s="114" t="str">
        <f>_xlfn.IFNA(VLOOKUP($BD206,Programma!$F$3:$Y$1101,20,0),"")</f>
        <v/>
      </c>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8"/>
      <c r="FJ206" s="28"/>
      <c r="FK206" s="28"/>
      <c r="FL206" s="28"/>
      <c r="FM206" s="28"/>
      <c r="FN206" s="28"/>
      <c r="FO206" s="28"/>
      <c r="FP206" s="28"/>
      <c r="FQ206" s="28"/>
      <c r="FR206" s="28"/>
      <c r="FS206" s="28"/>
      <c r="FT206" s="28"/>
      <c r="FU206" s="28"/>
      <c r="FV206" s="28"/>
      <c r="FW206" s="28"/>
      <c r="FX206" s="28"/>
      <c r="FY206" s="28"/>
      <c r="FZ206" s="28"/>
      <c r="GA206" s="28"/>
      <c r="GB206" s="28"/>
      <c r="GC206" s="28"/>
      <c r="GD206" s="28"/>
      <c r="GE206" s="28"/>
      <c r="GF206" s="28"/>
      <c r="GG206" s="28"/>
      <c r="GH206" s="28"/>
      <c r="GI206" s="28"/>
      <c r="GJ206" s="28"/>
      <c r="GK206" s="28"/>
      <c r="GL206" s="28"/>
      <c r="GM206" s="28"/>
      <c r="GN206" s="28"/>
      <c r="GO206" s="28"/>
      <c r="GP206" s="28"/>
      <c r="GQ206" s="28"/>
      <c r="GR206" s="28"/>
      <c r="GS206" s="28"/>
      <c r="GT206" s="28"/>
      <c r="GU206" s="28"/>
      <c r="GV206" s="28"/>
      <c r="GW206" s="28"/>
      <c r="GX206" s="28"/>
      <c r="GY206" s="28"/>
      <c r="GZ206" s="28"/>
      <c r="HA206" s="28"/>
      <c r="HB206" s="28"/>
      <c r="HC206" s="28"/>
      <c r="HD206" s="28"/>
      <c r="HE206" s="28"/>
      <c r="HF206" s="28"/>
      <c r="HG206" s="28"/>
      <c r="HH206" s="28"/>
      <c r="HI206" s="28"/>
      <c r="HJ206" s="28"/>
      <c r="HK206" s="28"/>
      <c r="HL206" s="28"/>
    </row>
    <row r="207" spans="1:220" ht="15" customHeight="1">
      <c r="A207" s="31">
        <v>5</v>
      </c>
      <c r="B207" s="105" t="str">
        <f>VLOOKUP(Ruimtestaat[[#This Row],[Code]],Locaties[[Code]:[Locatie]],2,FALSE)</f>
        <v>IKC Remigius</v>
      </c>
      <c r="C207" s="105" t="str">
        <f>VLOOKUP(Ruimtestaat[[#This Row],[Code]],Locaties[[#All],[Code]:[Adres]],4,FALSE)</f>
        <v>Liemersplein 1</v>
      </c>
      <c r="D207" s="105" t="str">
        <f>VLOOKUP(Ruimtestaat[[#This Row],[Code]],Locaties[[#All],[Code]:[Postcode]],5,FALSE)</f>
        <v xml:space="preserve">6921 HN </v>
      </c>
      <c r="E207" s="105" t="str">
        <f>VLOOKUP(Ruimtestaat[[#This Row],[Code]],Locaties[#All],6,FALSE)</f>
        <v>Duiven</v>
      </c>
      <c r="F207" s="73"/>
      <c r="G207" s="73" t="s">
        <v>1645</v>
      </c>
      <c r="H207" s="31" t="s">
        <v>1702</v>
      </c>
      <c r="I207" s="113" t="s">
        <v>1732</v>
      </c>
      <c r="J207" s="31">
        <v>1</v>
      </c>
      <c r="K207" s="113" t="str">
        <f>VLOOKUP(Ruimtestaat[[#This Row],[Ruimte code]],Ruimtegroepen[[#All],[Code]:[Ruimte omschrijving]],2,FALSE)</f>
        <v>Magazijnen/bergingen</v>
      </c>
      <c r="L207" s="73" t="s">
        <v>102</v>
      </c>
      <c r="M207" s="273" t="s">
        <v>120</v>
      </c>
      <c r="N207" s="106">
        <v>3</v>
      </c>
      <c r="O207" s="112"/>
      <c r="P207" s="73"/>
      <c r="Q207" s="107" t="str">
        <f>VLOOKUP(Ruimtestaat[[#This Row],[Ruimte code]],Ruimtegroepen[],4,FALSE)</f>
        <v>Ve</v>
      </c>
      <c r="R207" s="73">
        <v>40</v>
      </c>
      <c r="S207" s="73" t="s">
        <v>16</v>
      </c>
      <c r="T207" s="73">
        <f>IF(R207&gt;0,IF(RIGHT(Ruimtestaat[[#This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07" s="73">
        <f>IF(T207&gt;0,VLOOKUP($J207,Ruimtegroepen[],3,FALSE)*VLOOKUP($L207,Vloersoorten[],3,FALSE)*VLOOKUP($S207,Frequenties[],3,FALSE)*VLOOKUP($A207,Locaties[],3,FALSE),0)</f>
        <v>0</v>
      </c>
      <c r="V207" s="73">
        <f>Ruimtestaat[[#This Row],[Uitvoeringen werkdagen]]*Ruimtestaat[[#This Row],[Oppervlak (netto)]]</f>
        <v>36</v>
      </c>
      <c r="W207" s="108">
        <f>IF(U207&gt;0,Ruimtestaat[[#This Row],[Prest. (m2 /jaar) werkdagen]]/Ruimtestaat[[#This Row],[Norm (m2/uur) werkdagen]],0)</f>
        <v>0</v>
      </c>
      <c r="X207" s="109">
        <f>Ruimtestaat[[#This Row],[uren / jaar werkdagen]]*Tariefsopbouw!$E$35</f>
        <v>0</v>
      </c>
      <c r="Y207" s="73"/>
      <c r="Z207" s="73">
        <f>IF(Ruimtestaat[[#This Row],[Frequentie weekend]]&gt;0,VALUE(LEFT(Y207,1))*R207,0)</f>
        <v>0</v>
      </c>
      <c r="AA207" s="72">
        <f>IF($Z207&gt;0,VLOOKUP($J207,Ruimtegroepen[],3,FALSE)*VLOOKUP($L207,Vloersoorten[],3,FALSE)*VLOOKUP($Y207,Frequenties[],3,FALSE)*VLOOKUP(Ruimtestaat[[#This Row],[Code]],Locaties[],3,FALSE),0)</f>
        <v>0</v>
      </c>
      <c r="AB207" s="72">
        <f>Ruimtestaat[[#This Row],[Uitvoeringen weekend]]*Ruimtestaat[[#This Row],[Oppervlak (netto)]]</f>
        <v>0</v>
      </c>
      <c r="AC207" s="72">
        <f>IF(AA207&gt;0,Ruimtestaat[[#This Row],[Prest. (m2 /jaar) weekend]]/Ruimtestaat[[#This Row],[Norm (m2/uur) weekend]],0)</f>
        <v>0</v>
      </c>
      <c r="AD207" s="109">
        <f>Ruimtestaat[[#This Row],[uren / jaar weekend]]*Tariefsopbouw!$D$40</f>
        <v>0</v>
      </c>
      <c r="AE207" s="108">
        <f>Ruimtestaat[[#This Row],[Prest. (m2 /jaar) weekend]]+Ruimtestaat[[#This Row],[Prest. (m2 /jaar) werkdagen]]</f>
        <v>36</v>
      </c>
      <c r="AF207" s="108">
        <f>Ruimtestaat[[#This Row],[uren / jaar weekend]]+Ruimtestaat[[#This Row],[uren / jaar werkdagen]]</f>
        <v>0</v>
      </c>
      <c r="AG207" s="103">
        <f>Ruimtestaat[[#This Row],[kosten / jaar weekend]]+Ruimtestaat[[#This Row],[kosten / jaar werkdagen]]</f>
        <v>0</v>
      </c>
      <c r="AH207" s="103"/>
      <c r="AI207" s="110" t="str">
        <f>IF(Ruimtestaat[[#This Row],[Frequentie werkdagen]]="","",_xlfn.CONCAT(Ruimtestaat[[#This Row],[Ruimte code]],"-",Ruimtestaat[[#This Row],[Frequentie werkdagen]]," ",Ruimtestaat[[#This Row],[Vloer code]]))</f>
        <v>1-1m P</v>
      </c>
      <c r="AJ207" s="114" t="str">
        <f>_xlfn.IFNA(VLOOKUP($AI207,Programma!$F$3:$G$1101,2,0),"")</f>
        <v>_</v>
      </c>
      <c r="AK207" s="114" t="str">
        <f>_xlfn.IFNA(VLOOKUP($AI207,Programma!$F$3:$H$1101,3,0),"")</f>
        <v>_</v>
      </c>
      <c r="AL207" s="114" t="str">
        <f>_xlfn.IFNA(VLOOKUP($AI207,Programma!$F$3:$I$1101,4,0),"")</f>
        <v>1m</v>
      </c>
      <c r="AM207" s="114" t="str">
        <f>_xlfn.IFNA(VLOOKUP($AI207,Programma!$F$3:$J$1101,5,0),"")</f>
        <v>1m</v>
      </c>
      <c r="AN207" s="114" t="str">
        <f>_xlfn.IFNA(VLOOKUP($AI207,Programma!$F$3:$K$1101,6,0),"")</f>
        <v>1j</v>
      </c>
      <c r="AO207" s="114" t="str">
        <f>_xlfn.IFNA(VLOOKUP($AI207,Programma!$F$3:$L$1101,7,0),"")</f>
        <v>_</v>
      </c>
      <c r="AP207" s="114" t="str">
        <f>_xlfn.IFNA(VLOOKUP($AI207,Programma!$F$3:$M$1101,8,0),"")</f>
        <v>_</v>
      </c>
      <c r="AQ207" s="114" t="str">
        <f>_xlfn.IFNA(VLOOKUP($AI207,Programma!$F$3:$N$1101,9,0),"")</f>
        <v>_</v>
      </c>
      <c r="AR207" s="114" t="str">
        <f>_xlfn.IFNA(VLOOKUP($AI207,Programma!$F$3:$O$1101,10,0),"")</f>
        <v>_</v>
      </c>
      <c r="AS207" s="114" t="str">
        <f>_xlfn.IFNA(VLOOKUP($AI207,Programma!$F$3:$P$1101,11,0),"")</f>
        <v>_</v>
      </c>
      <c r="AT207" s="114" t="str">
        <f>_xlfn.IFNA(VLOOKUP($AI207,Programma!$F$3:$Q$1101,12,0),"")</f>
        <v>_</v>
      </c>
      <c r="AU207" s="114" t="str">
        <f>_xlfn.IFNA(VLOOKUP($AI207,Programma!$F$3:$R$1101,13,0),"")</f>
        <v>_</v>
      </c>
      <c r="AV207" s="114" t="str">
        <f>_xlfn.IFNA(VLOOKUP($AI207,Programma!$F$3:$S$1101,14,0),"")</f>
        <v>1m</v>
      </c>
      <c r="AW207" s="114" t="str">
        <f>_xlfn.IFNA(VLOOKUP($AI207,Programma!$F$3:$T$1101,15,0),"")</f>
        <v>4j</v>
      </c>
      <c r="AX207" s="114" t="str">
        <f>_xlfn.IFNA(VLOOKUP($AI207,Programma!$F$3:$U$1101,16,0),"")</f>
        <v>4j</v>
      </c>
      <c r="AY207" s="114" t="str">
        <f>_xlfn.IFNA(VLOOKUP($AI207,Programma!$F$3:$V$1101,17,0),"")</f>
        <v>_</v>
      </c>
      <c r="AZ207" s="114" t="str">
        <f>_xlfn.IFNA(VLOOKUP($AI207,Programma!$F$3:$W$1101,18,0),"")</f>
        <v>_</v>
      </c>
      <c r="BA207" s="114" t="str">
        <f>_xlfn.IFNA(VLOOKUP($AI207,Programma!$F$3:$X$1101,19,0),"")</f>
        <v>_</v>
      </c>
      <c r="BB207" s="114" t="str">
        <f>_xlfn.IFNA(VLOOKUP($AI207,Programma!$F$3:$Y$1101,20,0),"")</f>
        <v>_</v>
      </c>
      <c r="BC207" s="111"/>
      <c r="BD207" s="110" t="str">
        <f>IF(Ruimtestaat[[#This Row],[Frequentie weekend]]="","",_xlfn.CONCAT(Ruimtestaat[[#This Row],[Ruimte code]],"-",Ruimtestaat[[#This Row],[Frequentie weekend]]," ",Ruimtestaat[[#This Row],[Vloer code]]))</f>
        <v/>
      </c>
      <c r="BE207" s="114" t="str">
        <f>_xlfn.IFNA(VLOOKUP($BD207,Programma!$F$3:$G$1101,2,0),"")</f>
        <v/>
      </c>
      <c r="BF207" s="114" t="str">
        <f>_xlfn.IFNA(VLOOKUP($BD207,Programma!$F$3:$H$1101,3,0),"")</f>
        <v/>
      </c>
      <c r="BG207" s="114" t="str">
        <f>_xlfn.IFNA(VLOOKUP($BD207,Programma!$F$3:$I$1101,4,0),"")</f>
        <v/>
      </c>
      <c r="BH207" s="114" t="str">
        <f>_xlfn.IFNA(VLOOKUP($BD207,Programma!$F$3:$J$1101,5,0),"")</f>
        <v/>
      </c>
      <c r="BI207" s="114" t="str">
        <f>_xlfn.IFNA(VLOOKUP($BD207,Programma!$F$3:$K$1101,6,0),"")</f>
        <v/>
      </c>
      <c r="BJ207" s="114" t="str">
        <f>_xlfn.IFNA(VLOOKUP($BD207,Programma!$F$3:$L$1101,7,0),"")</f>
        <v/>
      </c>
      <c r="BK207" s="114" t="str">
        <f>_xlfn.IFNA(VLOOKUP($BD207,Programma!$F$3:$M$1101,8,0),"")</f>
        <v/>
      </c>
      <c r="BL207" s="114" t="str">
        <f>_xlfn.IFNA(VLOOKUP($BD207,Programma!$F$3:$N$1101,9,0),"")</f>
        <v/>
      </c>
      <c r="BM207" s="114" t="str">
        <f>_xlfn.IFNA(VLOOKUP($BD207,Programma!$F$3:$O$1101,10,0),"")</f>
        <v/>
      </c>
      <c r="BN207" s="114" t="str">
        <f>_xlfn.IFNA(VLOOKUP($BD207,Programma!$F$3:$P$1101,11,0),"")</f>
        <v/>
      </c>
      <c r="BO207" s="114" t="str">
        <f>_xlfn.IFNA(VLOOKUP($BD207,Programma!$F$3:$Q$1101,12,0),"")</f>
        <v/>
      </c>
      <c r="BP207" s="114" t="str">
        <f>_xlfn.IFNA(VLOOKUP($BD207,Programma!$F$3:$R$1101,13,0),"")</f>
        <v/>
      </c>
      <c r="BQ207" s="114" t="str">
        <f>_xlfn.IFNA(VLOOKUP($BD207,Programma!$F$3:$S$1101,14,0),"")</f>
        <v/>
      </c>
      <c r="BR207" s="114" t="str">
        <f>_xlfn.IFNA(VLOOKUP($BD207,Programma!$F$3:$T$1101,15,0),"")</f>
        <v/>
      </c>
      <c r="BS207" s="114" t="str">
        <f>_xlfn.IFNA(VLOOKUP($BD207,Programma!$F$3:$U$1101,16,0),"")</f>
        <v/>
      </c>
      <c r="BT207" s="114" t="str">
        <f>_xlfn.IFNA(VLOOKUP($BD207,Programma!$F$3:$V$1101,17,0),"")</f>
        <v/>
      </c>
      <c r="BU207" s="114" t="str">
        <f>_xlfn.IFNA(VLOOKUP($BD207,Programma!$F$3:$W$1101,18,0),"")</f>
        <v/>
      </c>
      <c r="BV207" s="114" t="str">
        <f>_xlfn.IFNA(VLOOKUP($BD207,Programma!$F$3:$X$1101,19,0),"")</f>
        <v/>
      </c>
      <c r="BW207" s="114" t="str">
        <f>_xlfn.IFNA(VLOOKUP($BD207,Programma!$F$3:$Y$1101,20,0),"")</f>
        <v/>
      </c>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c r="ET207" s="28"/>
      <c r="EU207" s="28"/>
      <c r="EV207" s="28"/>
      <c r="EW207" s="28"/>
      <c r="EX207" s="28"/>
      <c r="EY207" s="28"/>
      <c r="EZ207" s="28"/>
      <c r="FA207" s="28"/>
      <c r="FB207" s="28"/>
      <c r="FC207" s="28"/>
      <c r="FD207" s="28"/>
      <c r="FE207" s="28"/>
      <c r="FF207" s="28"/>
      <c r="FG207" s="28"/>
      <c r="FH207" s="28"/>
      <c r="FI207" s="28"/>
      <c r="FJ207" s="28"/>
      <c r="FK207" s="28"/>
      <c r="FL207" s="28"/>
      <c r="FM207" s="28"/>
      <c r="FN207" s="28"/>
      <c r="FO207" s="28"/>
      <c r="FP207" s="28"/>
      <c r="FQ207" s="28"/>
      <c r="FR207" s="28"/>
      <c r="FS207" s="28"/>
      <c r="FT207" s="28"/>
      <c r="FU207" s="28"/>
      <c r="FV207" s="28"/>
      <c r="FW207" s="28"/>
      <c r="FX207" s="28"/>
      <c r="FY207" s="28"/>
      <c r="FZ207" s="28"/>
      <c r="GA207" s="28"/>
      <c r="GB207" s="28"/>
      <c r="GC207" s="28"/>
      <c r="GD207" s="28"/>
      <c r="GE207" s="28"/>
      <c r="GF207" s="28"/>
      <c r="GG207" s="28"/>
      <c r="GH207" s="28"/>
      <c r="GI207" s="28"/>
      <c r="GJ207" s="28"/>
      <c r="GK207" s="28"/>
      <c r="GL207" s="28"/>
      <c r="GM207" s="28"/>
      <c r="GN207" s="28"/>
      <c r="GO207" s="28"/>
      <c r="GP207" s="28"/>
      <c r="GQ207" s="28"/>
      <c r="GR207" s="28"/>
      <c r="GS207" s="28"/>
      <c r="GT207" s="28"/>
      <c r="GU207" s="28"/>
      <c r="GV207" s="28"/>
      <c r="GW207" s="28"/>
      <c r="GX207" s="28"/>
      <c r="GY207" s="28"/>
      <c r="GZ207" s="28"/>
      <c r="HA207" s="28"/>
      <c r="HB207" s="28"/>
      <c r="HC207" s="28"/>
      <c r="HD207" s="28"/>
      <c r="HE207" s="28"/>
      <c r="HF207" s="28"/>
      <c r="HG207" s="28"/>
      <c r="HH207" s="28"/>
      <c r="HI207" s="28"/>
      <c r="HJ207" s="28"/>
      <c r="HK207" s="28"/>
      <c r="HL207" s="28"/>
    </row>
    <row r="208" spans="1:220" ht="15" customHeight="1">
      <c r="A208" s="31">
        <v>5</v>
      </c>
      <c r="B208" s="105" t="str">
        <f>VLOOKUP(Ruimtestaat[[#This Row],[Code]],Locaties[[Code]:[Locatie]],2,FALSE)</f>
        <v>IKC Remigius</v>
      </c>
      <c r="C208" s="105" t="str">
        <f>VLOOKUP(Ruimtestaat[[#This Row],[Code]],Locaties[[#All],[Code]:[Adres]],4,FALSE)</f>
        <v>Liemersplein 1</v>
      </c>
      <c r="D208" s="105" t="str">
        <f>VLOOKUP(Ruimtestaat[[#This Row],[Code]],Locaties[[#All],[Code]:[Postcode]],5,FALSE)</f>
        <v xml:space="preserve">6921 HN </v>
      </c>
      <c r="E208" s="105" t="str">
        <f>VLOOKUP(Ruimtestaat[[#This Row],[Code]],Locaties[#All],6,FALSE)</f>
        <v>Duiven</v>
      </c>
      <c r="F208" s="73"/>
      <c r="G208" s="73" t="s">
        <v>1645</v>
      </c>
      <c r="H208" s="31" t="s">
        <v>1703</v>
      </c>
      <c r="I208" s="113" t="s">
        <v>1823</v>
      </c>
      <c r="J208" s="31">
        <v>5</v>
      </c>
      <c r="K208" s="113" t="str">
        <f>VLOOKUP(Ruimtestaat[[#This Row],[Ruimte code]],Ruimtegroepen[[#All],[Code]:[Ruimte omschrijving]],2,FALSE)</f>
        <v>Sanitair</v>
      </c>
      <c r="L208" s="73" t="s">
        <v>102</v>
      </c>
      <c r="M208" s="273" t="s">
        <v>120</v>
      </c>
      <c r="N208" s="106">
        <v>3.9</v>
      </c>
      <c r="O208" s="112"/>
      <c r="P208" s="112"/>
      <c r="Q208" s="107" t="str">
        <f>VLOOKUP(Ruimtestaat[[#This Row],[Ruimte code]],Ruimtegroepen[],4,FALSE)</f>
        <v>Sa</v>
      </c>
      <c r="R208" s="73">
        <v>40</v>
      </c>
      <c r="S208" s="73" t="s">
        <v>2</v>
      </c>
      <c r="T208" s="73">
        <f>IF(R208&gt;0,IF(RIGHT(Ruimtestaat[[#This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8" s="73">
        <f>IF(T208&gt;0,VLOOKUP($J208,Ruimtegroepen[],3,FALSE)*VLOOKUP($L208,Vloersoorten[],3,FALSE)*VLOOKUP($S208,Frequenties[],3,FALSE)*VLOOKUP($A208,Locaties[],3,FALSE),0)</f>
        <v>0</v>
      </c>
      <c r="V208" s="73">
        <f>Ruimtestaat[[#This Row],[Uitvoeringen werkdagen]]*Ruimtestaat[[#This Row],[Oppervlak (netto)]]</f>
        <v>780</v>
      </c>
      <c r="W208" s="108">
        <f>IF(U208&gt;0,Ruimtestaat[[#This Row],[Prest. (m2 /jaar) werkdagen]]/Ruimtestaat[[#This Row],[Norm (m2/uur) werkdagen]],0)</f>
        <v>0</v>
      </c>
      <c r="X208" s="109">
        <f>Ruimtestaat[[#This Row],[uren / jaar werkdagen]]*Tariefsopbouw!$E$35</f>
        <v>0</v>
      </c>
      <c r="Y208" s="73"/>
      <c r="Z208" s="73">
        <f>IF(Ruimtestaat[[#This Row],[Frequentie weekend]]&gt;0,VALUE(LEFT(Y208,1))*R208,0)</f>
        <v>0</v>
      </c>
      <c r="AA208" s="72">
        <f>IF($Z208&gt;0,VLOOKUP($J208,Ruimtegroepen[],3,FALSE)*VLOOKUP($L208,Vloersoorten[],3,FALSE)*VLOOKUP($Y208,Frequenties[],3,FALSE)*VLOOKUP(Ruimtestaat[[#This Row],[Code]],Locaties[],3,FALSE),0)</f>
        <v>0</v>
      </c>
      <c r="AB208" s="72">
        <f>Ruimtestaat[[#This Row],[Uitvoeringen weekend]]*Ruimtestaat[[#This Row],[Oppervlak (netto)]]</f>
        <v>0</v>
      </c>
      <c r="AC208" s="72">
        <f>IF(AA208&gt;0,Ruimtestaat[[#This Row],[Prest. (m2 /jaar) weekend]]/Ruimtestaat[[#This Row],[Norm (m2/uur) weekend]],0)</f>
        <v>0</v>
      </c>
      <c r="AD208" s="109">
        <f>Ruimtestaat[[#This Row],[uren / jaar weekend]]*Tariefsopbouw!$D$40</f>
        <v>0</v>
      </c>
      <c r="AE208" s="108">
        <f>Ruimtestaat[[#This Row],[Prest. (m2 /jaar) weekend]]+Ruimtestaat[[#This Row],[Prest. (m2 /jaar) werkdagen]]</f>
        <v>780</v>
      </c>
      <c r="AF208" s="108">
        <f>Ruimtestaat[[#This Row],[uren / jaar weekend]]+Ruimtestaat[[#This Row],[uren / jaar werkdagen]]</f>
        <v>0</v>
      </c>
      <c r="AG208" s="103">
        <f>Ruimtestaat[[#This Row],[kosten / jaar weekend]]+Ruimtestaat[[#This Row],[kosten / jaar werkdagen]]</f>
        <v>0</v>
      </c>
      <c r="AH208" s="103"/>
      <c r="AI208" s="110" t="str">
        <f>IF(Ruimtestaat[[#This Row],[Frequentie werkdagen]]="","",_xlfn.CONCAT(Ruimtestaat[[#This Row],[Ruimte code]],"-",Ruimtestaat[[#This Row],[Frequentie werkdagen]]," ",Ruimtestaat[[#This Row],[Vloer code]]))</f>
        <v>5-5w P</v>
      </c>
      <c r="AJ208" s="114" t="str">
        <f>_xlfn.IFNA(VLOOKUP($AI208,Programma!$F$3:$G$1101,2,0),"")</f>
        <v>_</v>
      </c>
      <c r="AK208" s="114" t="str">
        <f>_xlfn.IFNA(VLOOKUP($AI208,Programma!$F$3:$H$1101,3,0),"")</f>
        <v>_</v>
      </c>
      <c r="AL208" s="114" t="str">
        <f>_xlfn.IFNA(VLOOKUP($AI208,Programma!$F$3:$I$1101,4,0),"")</f>
        <v>_</v>
      </c>
      <c r="AM208" s="114" t="str">
        <f>_xlfn.IFNA(VLOOKUP($AI208,Programma!$F$3:$J$1101,5,0),"")</f>
        <v>4w</v>
      </c>
      <c r="AN208" s="114" t="str">
        <f>_xlfn.IFNA(VLOOKUP($AI208,Programma!$F$3:$K$1101,6,0),"")</f>
        <v>1w</v>
      </c>
      <c r="AO208" s="114" t="str">
        <f>_xlfn.IFNA(VLOOKUP($AI208,Programma!$F$3:$L$1101,7,0),"")</f>
        <v>_</v>
      </c>
      <c r="AP208" s="114" t="str">
        <f>_xlfn.IFNA(VLOOKUP($AI208,Programma!$F$3:$M$1101,8,0),"")</f>
        <v>_</v>
      </c>
      <c r="AQ208" s="114" t="str">
        <f>_xlfn.IFNA(VLOOKUP($AI208,Programma!$F$3:$N$1101,9,0),"")</f>
        <v>_</v>
      </c>
      <c r="AR208" s="114" t="str">
        <f>_xlfn.IFNA(VLOOKUP($AI208,Programma!$F$3:$O$1101,10,0),"")</f>
        <v>_</v>
      </c>
      <c r="AS208" s="114" t="str">
        <f>_xlfn.IFNA(VLOOKUP($AI208,Programma!$F$3:$P$1101,11,0),"")</f>
        <v>_</v>
      </c>
      <c r="AT208" s="114" t="str">
        <f>_xlfn.IFNA(VLOOKUP($AI208,Programma!$F$3:$Q$1101,12,0),"")</f>
        <v>_</v>
      </c>
      <c r="AU208" s="114" t="str">
        <f>_xlfn.IFNA(VLOOKUP($AI208,Programma!$F$3:$R$1101,13,0),"")</f>
        <v>_</v>
      </c>
      <c r="AV208" s="114" t="str">
        <f>_xlfn.IFNA(VLOOKUP($AI208,Programma!$F$3:$S$1101,14,0),"")</f>
        <v>_</v>
      </c>
      <c r="AW208" s="114" t="str">
        <f>_xlfn.IFNA(VLOOKUP($AI208,Programma!$F$3:$T$1101,15,0),"")</f>
        <v>_</v>
      </c>
      <c r="AX208" s="114" t="str">
        <f>_xlfn.IFNA(VLOOKUP($AI208,Programma!$F$3:$U$1101,16,0),"")</f>
        <v>_</v>
      </c>
      <c r="AY208" s="114" t="str">
        <f>_xlfn.IFNA(VLOOKUP($AI208,Programma!$F$3:$V$1101,17,0),"")</f>
        <v>_</v>
      </c>
      <c r="AZ208" s="114" t="str">
        <f>_xlfn.IFNA(VLOOKUP($AI208,Programma!$F$3:$W$1101,18,0),"")</f>
        <v>4w</v>
      </c>
      <c r="BA208" s="114" t="str">
        <f>_xlfn.IFNA(VLOOKUP($AI208,Programma!$F$3:$X$1101,19,0),"")</f>
        <v>1w</v>
      </c>
      <c r="BB208" s="114" t="str">
        <f>_xlfn.IFNA(VLOOKUP($AI208,Programma!$F$3:$Y$1101,20,0),"")</f>
        <v>_</v>
      </c>
      <c r="BC208" s="111"/>
      <c r="BD208" s="110" t="str">
        <f>IF(Ruimtestaat[[#This Row],[Frequentie weekend]]="","",_xlfn.CONCAT(Ruimtestaat[[#This Row],[Ruimte code]],"-",Ruimtestaat[[#This Row],[Frequentie weekend]]," ",Ruimtestaat[[#This Row],[Vloer code]]))</f>
        <v/>
      </c>
      <c r="BE208" s="114" t="str">
        <f>_xlfn.IFNA(VLOOKUP($BD208,Programma!$F$3:$G$1101,2,0),"")</f>
        <v/>
      </c>
      <c r="BF208" s="114" t="str">
        <f>_xlfn.IFNA(VLOOKUP($BD208,Programma!$F$3:$H$1101,3,0),"")</f>
        <v/>
      </c>
      <c r="BG208" s="114" t="str">
        <f>_xlfn.IFNA(VLOOKUP($BD208,Programma!$F$3:$I$1101,4,0),"")</f>
        <v/>
      </c>
      <c r="BH208" s="114" t="str">
        <f>_xlfn.IFNA(VLOOKUP($BD208,Programma!$F$3:$J$1101,5,0),"")</f>
        <v/>
      </c>
      <c r="BI208" s="114" t="str">
        <f>_xlfn.IFNA(VLOOKUP($BD208,Programma!$F$3:$K$1101,6,0),"")</f>
        <v/>
      </c>
      <c r="BJ208" s="114" t="str">
        <f>_xlfn.IFNA(VLOOKUP($BD208,Programma!$F$3:$L$1101,7,0),"")</f>
        <v/>
      </c>
      <c r="BK208" s="114" t="str">
        <f>_xlfn.IFNA(VLOOKUP($BD208,Programma!$F$3:$M$1101,8,0),"")</f>
        <v/>
      </c>
      <c r="BL208" s="114" t="str">
        <f>_xlfn.IFNA(VLOOKUP($BD208,Programma!$F$3:$N$1101,9,0),"")</f>
        <v/>
      </c>
      <c r="BM208" s="114" t="str">
        <f>_xlfn.IFNA(VLOOKUP($BD208,Programma!$F$3:$O$1101,10,0),"")</f>
        <v/>
      </c>
      <c r="BN208" s="114" t="str">
        <f>_xlfn.IFNA(VLOOKUP($BD208,Programma!$F$3:$P$1101,11,0),"")</f>
        <v/>
      </c>
      <c r="BO208" s="114" t="str">
        <f>_xlfn.IFNA(VLOOKUP($BD208,Programma!$F$3:$Q$1101,12,0),"")</f>
        <v/>
      </c>
      <c r="BP208" s="114" t="str">
        <f>_xlfn.IFNA(VLOOKUP($BD208,Programma!$F$3:$R$1101,13,0),"")</f>
        <v/>
      </c>
      <c r="BQ208" s="114" t="str">
        <f>_xlfn.IFNA(VLOOKUP($BD208,Programma!$F$3:$S$1101,14,0),"")</f>
        <v/>
      </c>
      <c r="BR208" s="114" t="str">
        <f>_xlfn.IFNA(VLOOKUP($BD208,Programma!$F$3:$T$1101,15,0),"")</f>
        <v/>
      </c>
      <c r="BS208" s="114" t="str">
        <f>_xlfn.IFNA(VLOOKUP($BD208,Programma!$F$3:$U$1101,16,0),"")</f>
        <v/>
      </c>
      <c r="BT208" s="114" t="str">
        <f>_xlfn.IFNA(VLOOKUP($BD208,Programma!$F$3:$V$1101,17,0),"")</f>
        <v/>
      </c>
      <c r="BU208" s="114" t="str">
        <f>_xlfn.IFNA(VLOOKUP($BD208,Programma!$F$3:$W$1101,18,0),"")</f>
        <v/>
      </c>
      <c r="BV208" s="114" t="str">
        <f>_xlfn.IFNA(VLOOKUP($BD208,Programma!$F$3:$X$1101,19,0),"")</f>
        <v/>
      </c>
      <c r="BW208" s="114" t="str">
        <f>_xlfn.IFNA(VLOOKUP($BD208,Programma!$F$3:$Y$1101,20,0),"")</f>
        <v/>
      </c>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c r="EO208" s="28"/>
      <c r="EP208" s="28"/>
      <c r="EQ208" s="28"/>
      <c r="ER208" s="28"/>
      <c r="ES208" s="28"/>
      <c r="ET208" s="28"/>
      <c r="EU208" s="28"/>
      <c r="EV208" s="28"/>
      <c r="EW208" s="28"/>
      <c r="EX208" s="28"/>
      <c r="EY208" s="28"/>
      <c r="EZ208" s="28"/>
      <c r="FA208" s="28"/>
      <c r="FB208" s="28"/>
      <c r="FC208" s="28"/>
      <c r="FD208" s="28"/>
      <c r="FE208" s="28"/>
      <c r="FF208" s="28"/>
      <c r="FG208" s="28"/>
      <c r="FH208" s="28"/>
      <c r="FI208" s="28"/>
      <c r="FJ208" s="28"/>
      <c r="FK208" s="28"/>
      <c r="FL208" s="28"/>
      <c r="FM208" s="28"/>
      <c r="FN208" s="28"/>
      <c r="FO208" s="28"/>
      <c r="FP208" s="28"/>
      <c r="FQ208" s="28"/>
      <c r="FR208" s="28"/>
      <c r="FS208" s="28"/>
      <c r="FT208" s="28"/>
      <c r="FU208" s="28"/>
      <c r="FV208" s="28"/>
      <c r="FW208" s="28"/>
      <c r="FX208" s="28"/>
      <c r="FY208" s="28"/>
      <c r="FZ208" s="28"/>
      <c r="GA208" s="28"/>
      <c r="GB208" s="28"/>
      <c r="GC208" s="28"/>
      <c r="GD208" s="28"/>
      <c r="GE208" s="28"/>
      <c r="GF208" s="28"/>
      <c r="GG208" s="28"/>
      <c r="GH208" s="28"/>
      <c r="GI208" s="28"/>
      <c r="GJ208" s="28"/>
      <c r="GK208" s="28"/>
      <c r="GL208" s="28"/>
      <c r="GM208" s="28"/>
      <c r="GN208" s="28"/>
      <c r="GO208" s="28"/>
      <c r="GP208" s="28"/>
      <c r="GQ208" s="28"/>
      <c r="GR208" s="28"/>
      <c r="GS208" s="28"/>
      <c r="GT208" s="28"/>
      <c r="GU208" s="28"/>
      <c r="GV208" s="28"/>
      <c r="GW208" s="28"/>
      <c r="GX208" s="28"/>
      <c r="GY208" s="28"/>
      <c r="GZ208" s="28"/>
      <c r="HA208" s="28"/>
      <c r="HB208" s="28"/>
      <c r="HC208" s="28"/>
      <c r="HD208" s="28"/>
      <c r="HE208" s="28"/>
      <c r="HF208" s="28"/>
      <c r="HG208" s="28"/>
      <c r="HH208" s="28"/>
      <c r="HI208" s="28"/>
      <c r="HJ208" s="28"/>
      <c r="HK208" s="28"/>
      <c r="HL208" s="28"/>
    </row>
    <row r="209" spans="1:220" ht="15" customHeight="1">
      <c r="A209" s="31">
        <v>5</v>
      </c>
      <c r="B209" s="105" t="str">
        <f>VLOOKUP(Ruimtestaat[[#This Row],[Code]],Locaties[[Code]:[Locatie]],2,FALSE)</f>
        <v>IKC Remigius</v>
      </c>
      <c r="C209" s="105" t="str">
        <f>VLOOKUP(Ruimtestaat[[#This Row],[Code]],Locaties[[#All],[Code]:[Adres]],4,FALSE)</f>
        <v>Liemersplein 1</v>
      </c>
      <c r="D209" s="105" t="str">
        <f>VLOOKUP(Ruimtestaat[[#This Row],[Code]],Locaties[[#All],[Code]:[Postcode]],5,FALSE)</f>
        <v xml:space="preserve">6921 HN </v>
      </c>
      <c r="E209" s="105" t="str">
        <f>VLOOKUP(Ruimtestaat[[#This Row],[Code]],Locaties[#All],6,FALSE)</f>
        <v>Duiven</v>
      </c>
      <c r="F209" s="73"/>
      <c r="G209" s="73" t="s">
        <v>1645</v>
      </c>
      <c r="H209" s="31" t="s">
        <v>1704</v>
      </c>
      <c r="I209" s="113" t="s">
        <v>1724</v>
      </c>
      <c r="J209" s="31">
        <v>16</v>
      </c>
      <c r="K209" s="113" t="str">
        <f>VLOOKUP(Ruimtestaat[[#This Row],[Ruimte code]],Ruimtegroepen[[#All],[Code]:[Ruimte omschrijving]],2,FALSE)</f>
        <v>Leslokalen</v>
      </c>
      <c r="L209" s="73" t="s">
        <v>102</v>
      </c>
      <c r="M209" s="273" t="s">
        <v>120</v>
      </c>
      <c r="N209" s="106">
        <v>49</v>
      </c>
      <c r="O209" s="112"/>
      <c r="P209" s="112"/>
      <c r="Q209" s="107" t="str">
        <f>VLOOKUP(Ruimtestaat[[#This Row],[Ruimte code]],Ruimtegroepen[],4,FALSE)</f>
        <v>Le</v>
      </c>
      <c r="R209" s="73">
        <v>40</v>
      </c>
      <c r="S209" s="73" t="s">
        <v>2</v>
      </c>
      <c r="T209" s="73">
        <f>IF(R209&gt;0,IF(RIGHT(Ruimtestaat[[#This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9" s="73">
        <f>IF(T209&gt;0,VLOOKUP($J209,Ruimtegroepen[],3,FALSE)*VLOOKUP($L209,Vloersoorten[],3,FALSE)*VLOOKUP($S209,Frequenties[],3,FALSE)*VLOOKUP($A209,Locaties[],3,FALSE),0)</f>
        <v>0</v>
      </c>
      <c r="V209" s="73">
        <f>Ruimtestaat[[#This Row],[Uitvoeringen werkdagen]]*Ruimtestaat[[#This Row],[Oppervlak (netto)]]</f>
        <v>9800</v>
      </c>
      <c r="W209" s="108">
        <f>IF(U209&gt;0,Ruimtestaat[[#This Row],[Prest. (m2 /jaar) werkdagen]]/Ruimtestaat[[#This Row],[Norm (m2/uur) werkdagen]],0)</f>
        <v>0</v>
      </c>
      <c r="X209" s="109">
        <f>Ruimtestaat[[#This Row],[uren / jaar werkdagen]]*Tariefsopbouw!$E$35</f>
        <v>0</v>
      </c>
      <c r="Y209" s="73"/>
      <c r="Z209" s="73">
        <f>IF(Ruimtestaat[[#This Row],[Frequentie weekend]]&gt;0,VALUE(LEFT(Y209,1))*R209,0)</f>
        <v>0</v>
      </c>
      <c r="AA209" s="72">
        <f>IF($Z209&gt;0,VLOOKUP($J209,Ruimtegroepen[],3,FALSE)*VLOOKUP($L209,Vloersoorten[],3,FALSE)*VLOOKUP($Y209,Frequenties[],3,FALSE)*VLOOKUP(Ruimtestaat[[#This Row],[Code]],Locaties[],3,FALSE),0)</f>
        <v>0</v>
      </c>
      <c r="AB209" s="72">
        <f>Ruimtestaat[[#This Row],[Uitvoeringen weekend]]*Ruimtestaat[[#This Row],[Oppervlak (netto)]]</f>
        <v>0</v>
      </c>
      <c r="AC209" s="72">
        <f>IF(AA209&gt;0,Ruimtestaat[[#This Row],[Prest. (m2 /jaar) weekend]]/Ruimtestaat[[#This Row],[Norm (m2/uur) weekend]],0)</f>
        <v>0</v>
      </c>
      <c r="AD209" s="109">
        <f>Ruimtestaat[[#This Row],[uren / jaar weekend]]*Tariefsopbouw!$D$40</f>
        <v>0</v>
      </c>
      <c r="AE209" s="108">
        <f>Ruimtestaat[[#This Row],[Prest. (m2 /jaar) weekend]]+Ruimtestaat[[#This Row],[Prest. (m2 /jaar) werkdagen]]</f>
        <v>9800</v>
      </c>
      <c r="AF209" s="108">
        <f>Ruimtestaat[[#This Row],[uren / jaar weekend]]+Ruimtestaat[[#This Row],[uren / jaar werkdagen]]</f>
        <v>0</v>
      </c>
      <c r="AG209" s="103">
        <f>Ruimtestaat[[#This Row],[kosten / jaar weekend]]+Ruimtestaat[[#This Row],[kosten / jaar werkdagen]]</f>
        <v>0</v>
      </c>
      <c r="AH209" s="103"/>
      <c r="AI209" s="110" t="str">
        <f>IF(Ruimtestaat[[#This Row],[Frequentie werkdagen]]="","",_xlfn.CONCAT(Ruimtestaat[[#This Row],[Ruimte code]],"-",Ruimtestaat[[#This Row],[Frequentie werkdagen]]," ",Ruimtestaat[[#This Row],[Vloer code]]))</f>
        <v>16-5w P</v>
      </c>
      <c r="AJ209" s="114" t="str">
        <f>_xlfn.IFNA(VLOOKUP($AI209,Programma!$F$3:$G$1101,2,0),"")</f>
        <v>_</v>
      </c>
      <c r="AK209" s="114" t="str">
        <f>_xlfn.IFNA(VLOOKUP($AI209,Programma!$F$3:$H$1101,3,0),"")</f>
        <v>_</v>
      </c>
      <c r="AL209" s="114" t="str">
        <f>_xlfn.IFNA(VLOOKUP($AI209,Programma!$F$3:$I$1101,4,0),"")</f>
        <v>4w</v>
      </c>
      <c r="AM209" s="114" t="str">
        <f>_xlfn.IFNA(VLOOKUP($AI209,Programma!$F$3:$J$1101,5,0),"")</f>
        <v>1w</v>
      </c>
      <c r="AN209" s="114" t="str">
        <f>_xlfn.IFNA(VLOOKUP($AI209,Programma!$F$3:$K$1101,6,0),"")</f>
        <v>1m</v>
      </c>
      <c r="AO209" s="114" t="str">
        <f>_xlfn.IFNA(VLOOKUP($AI209,Programma!$F$3:$L$1101,7,0),"")</f>
        <v>_</v>
      </c>
      <c r="AP209" s="114" t="str">
        <f>_xlfn.IFNA(VLOOKUP($AI209,Programma!$F$3:$M$1101,8,0),"")</f>
        <v>_</v>
      </c>
      <c r="AQ209" s="114" t="str">
        <f>_xlfn.IFNA(VLOOKUP($AI209,Programma!$F$3:$N$1101,9,0),"")</f>
        <v>_</v>
      </c>
      <c r="AR209" s="114" t="str">
        <f>_xlfn.IFNA(VLOOKUP($AI209,Programma!$F$3:$O$1101,10,0),"")</f>
        <v>5w</v>
      </c>
      <c r="AS209" s="114" t="str">
        <f>_xlfn.IFNA(VLOOKUP($AI209,Programma!$F$3:$P$1101,11,0),"")</f>
        <v>5w</v>
      </c>
      <c r="AT209" s="114" t="str">
        <f>_xlfn.IFNA(VLOOKUP($AI209,Programma!$F$3:$Q$1101,12,0),"")</f>
        <v>1w</v>
      </c>
      <c r="AU209" s="114" t="str">
        <f>_xlfn.IFNA(VLOOKUP($AI209,Programma!$F$3:$R$1101,13,0),"")</f>
        <v>1w</v>
      </c>
      <c r="AV209" s="114" t="str">
        <f>_xlfn.IFNA(VLOOKUP($AI209,Programma!$F$3:$S$1101,14,0),"")</f>
        <v>1m</v>
      </c>
      <c r="AW209" s="114" t="str">
        <f>_xlfn.IFNA(VLOOKUP($AI209,Programma!$F$3:$T$1101,15,0),"")</f>
        <v>2j</v>
      </c>
      <c r="AX209" s="114" t="str">
        <f>_xlfn.IFNA(VLOOKUP($AI209,Programma!$F$3:$U$1101,16,0),"")</f>
        <v>1j</v>
      </c>
      <c r="AY209" s="114" t="str">
        <f>_xlfn.IFNA(VLOOKUP($AI209,Programma!$F$3:$V$1101,17,0),"")</f>
        <v>_</v>
      </c>
      <c r="AZ209" s="114" t="str">
        <f>_xlfn.IFNA(VLOOKUP($AI209,Programma!$F$3:$W$1101,18,0),"")</f>
        <v>_</v>
      </c>
      <c r="BA209" s="114" t="str">
        <f>_xlfn.IFNA(VLOOKUP($AI209,Programma!$F$3:$X$1101,19,0),"")</f>
        <v>_</v>
      </c>
      <c r="BB209" s="114" t="str">
        <f>_xlfn.IFNA(VLOOKUP($AI209,Programma!$F$3:$Y$1101,20,0),"")</f>
        <v>_</v>
      </c>
      <c r="BC209" s="111"/>
      <c r="BD209" s="110" t="str">
        <f>IF(Ruimtestaat[[#This Row],[Frequentie weekend]]="","",_xlfn.CONCAT(Ruimtestaat[[#This Row],[Ruimte code]],"-",Ruimtestaat[[#This Row],[Frequentie weekend]]," ",Ruimtestaat[[#This Row],[Vloer code]]))</f>
        <v/>
      </c>
      <c r="BE209" s="114" t="str">
        <f>_xlfn.IFNA(VLOOKUP($BD209,Programma!$F$3:$G$1101,2,0),"")</f>
        <v/>
      </c>
      <c r="BF209" s="114" t="str">
        <f>_xlfn.IFNA(VLOOKUP($BD209,Programma!$F$3:$H$1101,3,0),"")</f>
        <v/>
      </c>
      <c r="BG209" s="114" t="str">
        <f>_xlfn.IFNA(VLOOKUP($BD209,Programma!$F$3:$I$1101,4,0),"")</f>
        <v/>
      </c>
      <c r="BH209" s="114" t="str">
        <f>_xlfn.IFNA(VLOOKUP($BD209,Programma!$F$3:$J$1101,5,0),"")</f>
        <v/>
      </c>
      <c r="BI209" s="114" t="str">
        <f>_xlfn.IFNA(VLOOKUP($BD209,Programma!$F$3:$K$1101,6,0),"")</f>
        <v/>
      </c>
      <c r="BJ209" s="114" t="str">
        <f>_xlfn.IFNA(VLOOKUP($BD209,Programma!$F$3:$L$1101,7,0),"")</f>
        <v/>
      </c>
      <c r="BK209" s="114" t="str">
        <f>_xlfn.IFNA(VLOOKUP($BD209,Programma!$F$3:$M$1101,8,0),"")</f>
        <v/>
      </c>
      <c r="BL209" s="114" t="str">
        <f>_xlfn.IFNA(VLOOKUP($BD209,Programma!$F$3:$N$1101,9,0),"")</f>
        <v/>
      </c>
      <c r="BM209" s="114" t="str">
        <f>_xlfn.IFNA(VLOOKUP($BD209,Programma!$F$3:$O$1101,10,0),"")</f>
        <v/>
      </c>
      <c r="BN209" s="114" t="str">
        <f>_xlfn.IFNA(VLOOKUP($BD209,Programma!$F$3:$P$1101,11,0),"")</f>
        <v/>
      </c>
      <c r="BO209" s="114" t="str">
        <f>_xlfn.IFNA(VLOOKUP($BD209,Programma!$F$3:$Q$1101,12,0),"")</f>
        <v/>
      </c>
      <c r="BP209" s="114" t="str">
        <f>_xlfn.IFNA(VLOOKUP($BD209,Programma!$F$3:$R$1101,13,0),"")</f>
        <v/>
      </c>
      <c r="BQ209" s="114" t="str">
        <f>_xlfn.IFNA(VLOOKUP($BD209,Programma!$F$3:$S$1101,14,0),"")</f>
        <v/>
      </c>
      <c r="BR209" s="114" t="str">
        <f>_xlfn.IFNA(VLOOKUP($BD209,Programma!$F$3:$T$1101,15,0),"")</f>
        <v/>
      </c>
      <c r="BS209" s="114" t="str">
        <f>_xlfn.IFNA(VLOOKUP($BD209,Programma!$F$3:$U$1101,16,0),"")</f>
        <v/>
      </c>
      <c r="BT209" s="114" t="str">
        <f>_xlfn.IFNA(VLOOKUP($BD209,Programma!$F$3:$V$1101,17,0),"")</f>
        <v/>
      </c>
      <c r="BU209" s="114" t="str">
        <f>_xlfn.IFNA(VLOOKUP($BD209,Programma!$F$3:$W$1101,18,0),"")</f>
        <v/>
      </c>
      <c r="BV209" s="114" t="str">
        <f>_xlfn.IFNA(VLOOKUP($BD209,Programma!$F$3:$X$1101,19,0),"")</f>
        <v/>
      </c>
      <c r="BW209" s="114" t="str">
        <f>_xlfn.IFNA(VLOOKUP($BD209,Programma!$F$3:$Y$1101,20,0),"")</f>
        <v/>
      </c>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c r="EA209" s="28"/>
      <c r="EB209" s="28"/>
      <c r="EC209" s="28"/>
      <c r="ED209" s="28"/>
      <c r="EE209" s="28"/>
      <c r="EF209" s="28"/>
      <c r="EG209" s="28"/>
      <c r="EH209" s="28"/>
      <c r="EI209" s="28"/>
      <c r="EJ209" s="28"/>
      <c r="EK209" s="28"/>
      <c r="EL209" s="28"/>
      <c r="EM209" s="28"/>
      <c r="EN209" s="28"/>
      <c r="EO209" s="28"/>
      <c r="EP209" s="28"/>
      <c r="EQ209" s="28"/>
      <c r="ER209" s="28"/>
      <c r="ES209" s="28"/>
      <c r="ET209" s="28"/>
      <c r="EU209" s="28"/>
      <c r="EV209" s="28"/>
      <c r="EW209" s="28"/>
      <c r="EX209" s="28"/>
      <c r="EY209" s="28"/>
      <c r="EZ209" s="28"/>
      <c r="FA209" s="28"/>
      <c r="FB209" s="28"/>
      <c r="FC209" s="28"/>
      <c r="FD209" s="28"/>
      <c r="FE209" s="28"/>
      <c r="FF209" s="28"/>
      <c r="FG209" s="28"/>
      <c r="FH209" s="28"/>
      <c r="FI209" s="28"/>
      <c r="FJ209" s="28"/>
      <c r="FK209" s="28"/>
      <c r="FL209" s="28"/>
      <c r="FM209" s="28"/>
      <c r="FN209" s="28"/>
      <c r="FO209" s="28"/>
      <c r="FP209" s="28"/>
      <c r="FQ209" s="28"/>
      <c r="FR209" s="28"/>
      <c r="FS209" s="28"/>
      <c r="FT209" s="28"/>
      <c r="FU209" s="28"/>
      <c r="FV209" s="28"/>
      <c r="FW209" s="28"/>
      <c r="FX209" s="28"/>
      <c r="FY209" s="28"/>
      <c r="FZ209" s="28"/>
      <c r="GA209" s="28"/>
      <c r="GB209" s="28"/>
      <c r="GC209" s="28"/>
      <c r="GD209" s="28"/>
      <c r="GE209" s="28"/>
      <c r="GF209" s="28"/>
      <c r="GG209" s="28"/>
      <c r="GH209" s="28"/>
      <c r="GI209" s="28"/>
      <c r="GJ209" s="28"/>
      <c r="GK209" s="28"/>
      <c r="GL209" s="28"/>
      <c r="GM209" s="28"/>
      <c r="GN209" s="28"/>
      <c r="GO209" s="28"/>
      <c r="GP209" s="28"/>
      <c r="GQ209" s="28"/>
      <c r="GR209" s="28"/>
      <c r="GS209" s="28"/>
      <c r="GT209" s="28"/>
      <c r="GU209" s="28"/>
      <c r="GV209" s="28"/>
      <c r="GW209" s="28"/>
      <c r="GX209" s="28"/>
      <c r="GY209" s="28"/>
      <c r="GZ209" s="28"/>
      <c r="HA209" s="28"/>
      <c r="HB209" s="28"/>
      <c r="HC209" s="28"/>
      <c r="HD209" s="28"/>
      <c r="HE209" s="28"/>
      <c r="HF209" s="28"/>
      <c r="HG209" s="28"/>
      <c r="HH209" s="28"/>
      <c r="HI209" s="28"/>
      <c r="HJ209" s="28"/>
      <c r="HK209" s="28"/>
      <c r="HL209" s="28"/>
    </row>
    <row r="210" spans="1:220" ht="15" customHeight="1">
      <c r="A210" s="31">
        <v>5</v>
      </c>
      <c r="B210" s="105" t="str">
        <f>VLOOKUP(Ruimtestaat[[#This Row],[Code]],Locaties[[Code]:[Locatie]],2,FALSE)</f>
        <v>IKC Remigius</v>
      </c>
      <c r="C210" s="105" t="str">
        <f>VLOOKUP(Ruimtestaat[[#This Row],[Code]],Locaties[[#All],[Code]:[Adres]],4,FALSE)</f>
        <v>Liemersplein 1</v>
      </c>
      <c r="D210" s="105" t="str">
        <f>VLOOKUP(Ruimtestaat[[#This Row],[Code]],Locaties[[#All],[Code]:[Postcode]],5,FALSE)</f>
        <v xml:space="preserve">6921 HN </v>
      </c>
      <c r="E210" s="105" t="str">
        <f>VLOOKUP(Ruimtestaat[[#This Row],[Code]],Locaties[#All],6,FALSE)</f>
        <v>Duiven</v>
      </c>
      <c r="F210" s="73"/>
      <c r="G210" s="73" t="s">
        <v>1645</v>
      </c>
      <c r="H210" s="31" t="s">
        <v>1705</v>
      </c>
      <c r="I210" s="113" t="s">
        <v>1724</v>
      </c>
      <c r="J210" s="31">
        <v>16</v>
      </c>
      <c r="K210" s="113" t="str">
        <f>VLOOKUP(Ruimtestaat[[#This Row],[Ruimte code]],Ruimtegroepen[[#All],[Code]:[Ruimte omschrijving]],2,FALSE)</f>
        <v>Leslokalen</v>
      </c>
      <c r="L210" s="73" t="s">
        <v>102</v>
      </c>
      <c r="M210" s="273" t="s">
        <v>120</v>
      </c>
      <c r="N210" s="106">
        <v>48.4</v>
      </c>
      <c r="O210" s="112"/>
      <c r="P210" s="73"/>
      <c r="Q210" s="107" t="str">
        <f>VLOOKUP(Ruimtestaat[[#This Row],[Ruimte code]],Ruimtegroepen[],4,FALSE)</f>
        <v>Le</v>
      </c>
      <c r="R210" s="73">
        <v>40</v>
      </c>
      <c r="S210" s="73" t="s">
        <v>2</v>
      </c>
      <c r="T210" s="73">
        <f>IF(R210&gt;0,IF(RIGHT(Ruimtestaat[[#This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0" s="73">
        <f>IF(T210&gt;0,VLOOKUP($J210,Ruimtegroepen[],3,FALSE)*VLOOKUP($L210,Vloersoorten[],3,FALSE)*VLOOKUP($S210,Frequenties[],3,FALSE)*VLOOKUP($A210,Locaties[],3,FALSE),0)</f>
        <v>0</v>
      </c>
      <c r="V210" s="73">
        <f>Ruimtestaat[[#This Row],[Uitvoeringen werkdagen]]*Ruimtestaat[[#This Row],[Oppervlak (netto)]]</f>
        <v>9680</v>
      </c>
      <c r="W210" s="108">
        <f>IF(U210&gt;0,Ruimtestaat[[#This Row],[Prest. (m2 /jaar) werkdagen]]/Ruimtestaat[[#This Row],[Norm (m2/uur) werkdagen]],0)</f>
        <v>0</v>
      </c>
      <c r="X210" s="109">
        <f>Ruimtestaat[[#This Row],[uren / jaar werkdagen]]*Tariefsopbouw!$E$35</f>
        <v>0</v>
      </c>
      <c r="Y210" s="73"/>
      <c r="Z210" s="73">
        <f>IF(Ruimtestaat[[#This Row],[Frequentie weekend]]&gt;0,VALUE(LEFT(Y210,1))*R210,0)</f>
        <v>0</v>
      </c>
      <c r="AA210" s="72">
        <f>IF($Z210&gt;0,VLOOKUP($J210,Ruimtegroepen[],3,FALSE)*VLOOKUP($L210,Vloersoorten[],3,FALSE)*VLOOKUP($Y210,Frequenties[],3,FALSE)*VLOOKUP(Ruimtestaat[[#This Row],[Code]],Locaties[],3,FALSE),0)</f>
        <v>0</v>
      </c>
      <c r="AB210" s="72">
        <f>Ruimtestaat[[#This Row],[Uitvoeringen weekend]]*Ruimtestaat[[#This Row],[Oppervlak (netto)]]</f>
        <v>0</v>
      </c>
      <c r="AC210" s="72">
        <f>IF(AA210&gt;0,Ruimtestaat[[#This Row],[Prest. (m2 /jaar) weekend]]/Ruimtestaat[[#This Row],[Norm (m2/uur) weekend]],0)</f>
        <v>0</v>
      </c>
      <c r="AD210" s="109">
        <f>Ruimtestaat[[#This Row],[uren / jaar weekend]]*Tariefsopbouw!$D$40</f>
        <v>0</v>
      </c>
      <c r="AE210" s="108">
        <f>Ruimtestaat[[#This Row],[Prest. (m2 /jaar) weekend]]+Ruimtestaat[[#This Row],[Prest. (m2 /jaar) werkdagen]]</f>
        <v>9680</v>
      </c>
      <c r="AF210" s="108">
        <f>Ruimtestaat[[#This Row],[uren / jaar weekend]]+Ruimtestaat[[#This Row],[uren / jaar werkdagen]]</f>
        <v>0</v>
      </c>
      <c r="AG210" s="103">
        <f>Ruimtestaat[[#This Row],[kosten / jaar weekend]]+Ruimtestaat[[#This Row],[kosten / jaar werkdagen]]</f>
        <v>0</v>
      </c>
      <c r="AH210" s="103"/>
      <c r="AI210" s="110" t="str">
        <f>IF(Ruimtestaat[[#This Row],[Frequentie werkdagen]]="","",_xlfn.CONCAT(Ruimtestaat[[#This Row],[Ruimte code]],"-",Ruimtestaat[[#This Row],[Frequentie werkdagen]]," ",Ruimtestaat[[#This Row],[Vloer code]]))</f>
        <v>16-5w P</v>
      </c>
      <c r="AJ210" s="114" t="str">
        <f>_xlfn.IFNA(VLOOKUP($AI210,Programma!$F$3:$G$1101,2,0),"")</f>
        <v>_</v>
      </c>
      <c r="AK210" s="114" t="str">
        <f>_xlfn.IFNA(VLOOKUP($AI210,Programma!$F$3:$H$1101,3,0),"")</f>
        <v>_</v>
      </c>
      <c r="AL210" s="114" t="str">
        <f>_xlfn.IFNA(VLOOKUP($AI210,Programma!$F$3:$I$1101,4,0),"")</f>
        <v>4w</v>
      </c>
      <c r="AM210" s="114" t="str">
        <f>_xlfn.IFNA(VLOOKUP($AI210,Programma!$F$3:$J$1101,5,0),"")</f>
        <v>1w</v>
      </c>
      <c r="AN210" s="114" t="str">
        <f>_xlfn.IFNA(VLOOKUP($AI210,Programma!$F$3:$K$1101,6,0),"")</f>
        <v>1m</v>
      </c>
      <c r="AO210" s="114" t="str">
        <f>_xlfn.IFNA(VLOOKUP($AI210,Programma!$F$3:$L$1101,7,0),"")</f>
        <v>_</v>
      </c>
      <c r="AP210" s="114" t="str">
        <f>_xlfn.IFNA(VLOOKUP($AI210,Programma!$F$3:$M$1101,8,0),"")</f>
        <v>_</v>
      </c>
      <c r="AQ210" s="114" t="str">
        <f>_xlfn.IFNA(VLOOKUP($AI210,Programma!$F$3:$N$1101,9,0),"")</f>
        <v>_</v>
      </c>
      <c r="AR210" s="114" t="str">
        <f>_xlfn.IFNA(VLOOKUP($AI210,Programma!$F$3:$O$1101,10,0),"")</f>
        <v>5w</v>
      </c>
      <c r="AS210" s="114" t="str">
        <f>_xlfn.IFNA(VLOOKUP($AI210,Programma!$F$3:$P$1101,11,0),"")</f>
        <v>5w</v>
      </c>
      <c r="AT210" s="114" t="str">
        <f>_xlfn.IFNA(VLOOKUP($AI210,Programma!$F$3:$Q$1101,12,0),"")</f>
        <v>1w</v>
      </c>
      <c r="AU210" s="114" t="str">
        <f>_xlfn.IFNA(VLOOKUP($AI210,Programma!$F$3:$R$1101,13,0),"")</f>
        <v>1w</v>
      </c>
      <c r="AV210" s="114" t="str">
        <f>_xlfn.IFNA(VLOOKUP($AI210,Programma!$F$3:$S$1101,14,0),"")</f>
        <v>1m</v>
      </c>
      <c r="AW210" s="114" t="str">
        <f>_xlfn.IFNA(VLOOKUP($AI210,Programma!$F$3:$T$1101,15,0),"")</f>
        <v>2j</v>
      </c>
      <c r="AX210" s="114" t="str">
        <f>_xlfn.IFNA(VLOOKUP($AI210,Programma!$F$3:$U$1101,16,0),"")</f>
        <v>1j</v>
      </c>
      <c r="AY210" s="114" t="str">
        <f>_xlfn.IFNA(VLOOKUP($AI210,Programma!$F$3:$V$1101,17,0),"")</f>
        <v>_</v>
      </c>
      <c r="AZ210" s="114" t="str">
        <f>_xlfn.IFNA(VLOOKUP($AI210,Programma!$F$3:$W$1101,18,0),"")</f>
        <v>_</v>
      </c>
      <c r="BA210" s="114" t="str">
        <f>_xlfn.IFNA(VLOOKUP($AI210,Programma!$F$3:$X$1101,19,0),"")</f>
        <v>_</v>
      </c>
      <c r="BB210" s="114" t="str">
        <f>_xlfn.IFNA(VLOOKUP($AI210,Programma!$F$3:$Y$1101,20,0),"")</f>
        <v>_</v>
      </c>
      <c r="BC210" s="111"/>
      <c r="BD210" s="110" t="str">
        <f>IF(Ruimtestaat[[#This Row],[Frequentie weekend]]="","",_xlfn.CONCAT(Ruimtestaat[[#This Row],[Ruimte code]],"-",Ruimtestaat[[#This Row],[Frequentie weekend]]," ",Ruimtestaat[[#This Row],[Vloer code]]))</f>
        <v/>
      </c>
      <c r="BE210" s="114" t="str">
        <f>_xlfn.IFNA(VLOOKUP($BD210,Programma!$F$3:$G$1101,2,0),"")</f>
        <v/>
      </c>
      <c r="BF210" s="114" t="str">
        <f>_xlfn.IFNA(VLOOKUP($BD210,Programma!$F$3:$H$1101,3,0),"")</f>
        <v/>
      </c>
      <c r="BG210" s="114" t="str">
        <f>_xlfn.IFNA(VLOOKUP($BD210,Programma!$F$3:$I$1101,4,0),"")</f>
        <v/>
      </c>
      <c r="BH210" s="114" t="str">
        <f>_xlfn.IFNA(VLOOKUP($BD210,Programma!$F$3:$J$1101,5,0),"")</f>
        <v/>
      </c>
      <c r="BI210" s="114" t="str">
        <f>_xlfn.IFNA(VLOOKUP($BD210,Programma!$F$3:$K$1101,6,0),"")</f>
        <v/>
      </c>
      <c r="BJ210" s="114" t="str">
        <f>_xlfn.IFNA(VLOOKUP($BD210,Programma!$F$3:$L$1101,7,0),"")</f>
        <v/>
      </c>
      <c r="BK210" s="114" t="str">
        <f>_xlfn.IFNA(VLOOKUP($BD210,Programma!$F$3:$M$1101,8,0),"")</f>
        <v/>
      </c>
      <c r="BL210" s="114" t="str">
        <f>_xlfn.IFNA(VLOOKUP($BD210,Programma!$F$3:$N$1101,9,0),"")</f>
        <v/>
      </c>
      <c r="BM210" s="114" t="str">
        <f>_xlfn.IFNA(VLOOKUP($BD210,Programma!$F$3:$O$1101,10,0),"")</f>
        <v/>
      </c>
      <c r="BN210" s="114" t="str">
        <f>_xlfn.IFNA(VLOOKUP($BD210,Programma!$F$3:$P$1101,11,0),"")</f>
        <v/>
      </c>
      <c r="BO210" s="114" t="str">
        <f>_xlfn.IFNA(VLOOKUP($BD210,Programma!$F$3:$Q$1101,12,0),"")</f>
        <v/>
      </c>
      <c r="BP210" s="114" t="str">
        <f>_xlfn.IFNA(VLOOKUP($BD210,Programma!$F$3:$R$1101,13,0),"")</f>
        <v/>
      </c>
      <c r="BQ210" s="114" t="str">
        <f>_xlfn.IFNA(VLOOKUP($BD210,Programma!$F$3:$S$1101,14,0),"")</f>
        <v/>
      </c>
      <c r="BR210" s="114" t="str">
        <f>_xlfn.IFNA(VLOOKUP($BD210,Programma!$F$3:$T$1101,15,0),"")</f>
        <v/>
      </c>
      <c r="BS210" s="114" t="str">
        <f>_xlfn.IFNA(VLOOKUP($BD210,Programma!$F$3:$U$1101,16,0),"")</f>
        <v/>
      </c>
      <c r="BT210" s="114" t="str">
        <f>_xlfn.IFNA(VLOOKUP($BD210,Programma!$F$3:$V$1101,17,0),"")</f>
        <v/>
      </c>
      <c r="BU210" s="114" t="str">
        <f>_xlfn.IFNA(VLOOKUP($BD210,Programma!$F$3:$W$1101,18,0),"")</f>
        <v/>
      </c>
      <c r="BV210" s="114" t="str">
        <f>_xlfn.IFNA(VLOOKUP($BD210,Programma!$F$3:$X$1101,19,0),"")</f>
        <v/>
      </c>
      <c r="BW210" s="114" t="str">
        <f>_xlfn.IFNA(VLOOKUP($BD210,Programma!$F$3:$Y$1101,20,0),"")</f>
        <v/>
      </c>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c r="EA210" s="28"/>
      <c r="EB210" s="28"/>
      <c r="EC210" s="28"/>
      <c r="ED210" s="28"/>
      <c r="EE210" s="28"/>
      <c r="EF210" s="28"/>
      <c r="EG210" s="28"/>
      <c r="EH210" s="28"/>
      <c r="EI210" s="28"/>
      <c r="EJ210" s="28"/>
      <c r="EK210" s="28"/>
      <c r="EL210" s="28"/>
      <c r="EM210" s="28"/>
      <c r="EN210" s="28"/>
      <c r="EO210" s="28"/>
      <c r="EP210" s="28"/>
      <c r="EQ210" s="28"/>
      <c r="ER210" s="28"/>
      <c r="ES210" s="28"/>
      <c r="ET210" s="28"/>
      <c r="EU210" s="28"/>
      <c r="EV210" s="28"/>
      <c r="EW210" s="28"/>
      <c r="EX210" s="28"/>
      <c r="EY210" s="28"/>
      <c r="EZ210" s="28"/>
      <c r="FA210" s="28"/>
      <c r="FB210" s="28"/>
      <c r="FC210" s="28"/>
      <c r="FD210" s="28"/>
      <c r="FE210" s="28"/>
      <c r="FF210" s="28"/>
      <c r="FG210" s="28"/>
      <c r="FH210" s="28"/>
      <c r="FI210" s="28"/>
      <c r="FJ210" s="28"/>
      <c r="FK210" s="28"/>
      <c r="FL210" s="28"/>
      <c r="FM210" s="28"/>
      <c r="FN210" s="28"/>
      <c r="FO210" s="28"/>
      <c r="FP210" s="28"/>
      <c r="FQ210" s="28"/>
      <c r="FR210" s="28"/>
      <c r="FS210" s="28"/>
      <c r="FT210" s="28"/>
      <c r="FU210" s="28"/>
      <c r="FV210" s="28"/>
      <c r="FW210" s="28"/>
      <c r="FX210" s="28"/>
      <c r="FY210" s="28"/>
      <c r="FZ210" s="28"/>
      <c r="GA210" s="28"/>
      <c r="GB210" s="28"/>
      <c r="GC210" s="28"/>
      <c r="GD210" s="28"/>
      <c r="GE210" s="28"/>
      <c r="GF210" s="28"/>
      <c r="GG210" s="28"/>
      <c r="GH210" s="28"/>
      <c r="GI210" s="28"/>
      <c r="GJ210" s="28"/>
      <c r="GK210" s="28"/>
      <c r="GL210" s="28"/>
      <c r="GM210" s="28"/>
      <c r="GN210" s="28"/>
      <c r="GO210" s="28"/>
      <c r="GP210" s="28"/>
      <c r="GQ210" s="28"/>
      <c r="GR210" s="28"/>
      <c r="GS210" s="28"/>
      <c r="GT210" s="28"/>
      <c r="GU210" s="28"/>
      <c r="GV210" s="28"/>
      <c r="GW210" s="28"/>
      <c r="GX210" s="28"/>
      <c r="GY210" s="28"/>
      <c r="GZ210" s="28"/>
      <c r="HA210" s="28"/>
      <c r="HB210" s="28"/>
      <c r="HC210" s="28"/>
      <c r="HD210" s="28"/>
      <c r="HE210" s="28"/>
      <c r="HF210" s="28"/>
      <c r="HG210" s="28"/>
      <c r="HH210" s="28"/>
      <c r="HI210" s="28"/>
      <c r="HJ210" s="28"/>
      <c r="HK210" s="28"/>
      <c r="HL210" s="28"/>
    </row>
    <row r="211" spans="1:220" ht="15" customHeight="1">
      <c r="A211" s="31">
        <v>5</v>
      </c>
      <c r="B211" s="105" t="str">
        <f>VLOOKUP(Ruimtestaat[[#This Row],[Code]],Locaties[[Code]:[Locatie]],2,FALSE)</f>
        <v>IKC Remigius</v>
      </c>
      <c r="C211" s="105" t="str">
        <f>VLOOKUP(Ruimtestaat[[#This Row],[Code]],Locaties[[#All],[Code]:[Adres]],4,FALSE)</f>
        <v>Liemersplein 1</v>
      </c>
      <c r="D211" s="105" t="str">
        <f>VLOOKUP(Ruimtestaat[[#This Row],[Code]],Locaties[[#All],[Code]:[Postcode]],5,FALSE)</f>
        <v xml:space="preserve">6921 HN </v>
      </c>
      <c r="E211" s="105" t="str">
        <f>VLOOKUP(Ruimtestaat[[#This Row],[Code]],Locaties[#All],6,FALSE)</f>
        <v>Duiven</v>
      </c>
      <c r="F211" s="73" t="s">
        <v>1824</v>
      </c>
      <c r="G211" s="73" t="s">
        <v>1645</v>
      </c>
      <c r="H211" s="31" t="s">
        <v>1706</v>
      </c>
      <c r="I211" s="113" t="s">
        <v>1739</v>
      </c>
      <c r="J211" s="73">
        <v>6</v>
      </c>
      <c r="K211" s="113" t="str">
        <f>VLOOKUP(Ruimtestaat[[#This Row],[Ruimte code]],Ruimtegroepen[[#All],[Code]:[Ruimte omschrijving]],2,FALSE)</f>
        <v>Gangen/hallen</v>
      </c>
      <c r="L211" s="73" t="s">
        <v>102</v>
      </c>
      <c r="M211" s="273" t="s">
        <v>120</v>
      </c>
      <c r="N211" s="106">
        <v>8.8000000000000007</v>
      </c>
      <c r="O211" s="112"/>
      <c r="P211" s="112"/>
      <c r="Q211" s="107" t="str">
        <f>VLOOKUP(Ruimtestaat[[#This Row],[Ruimte code]],Ruimtegroepen[],4,FALSE)</f>
        <v>Ve</v>
      </c>
      <c r="R211" s="73">
        <v>40</v>
      </c>
      <c r="S211" s="73" t="s">
        <v>2</v>
      </c>
      <c r="T211" s="73">
        <f>IF(R211&gt;0,IF(RIGHT(Ruimtestaat[[#This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1" s="73">
        <f>IF(T211&gt;0,VLOOKUP($J211,Ruimtegroepen[],3,FALSE)*VLOOKUP($L211,Vloersoorten[],3,FALSE)*VLOOKUP($S211,Frequenties[],3,FALSE)*VLOOKUP($A211,Locaties[],3,FALSE),0)</f>
        <v>0</v>
      </c>
      <c r="V211" s="73">
        <f>Ruimtestaat[[#This Row],[Uitvoeringen werkdagen]]*Ruimtestaat[[#This Row],[Oppervlak (netto)]]</f>
        <v>1760.0000000000002</v>
      </c>
      <c r="W211" s="108">
        <f>IF(U211&gt;0,Ruimtestaat[[#This Row],[Prest. (m2 /jaar) werkdagen]]/Ruimtestaat[[#This Row],[Norm (m2/uur) werkdagen]],0)</f>
        <v>0</v>
      </c>
      <c r="X211" s="109">
        <f>Ruimtestaat[[#This Row],[uren / jaar werkdagen]]*Tariefsopbouw!$E$35</f>
        <v>0</v>
      </c>
      <c r="Y211" s="73"/>
      <c r="Z211" s="73">
        <f>IF(Ruimtestaat[[#This Row],[Frequentie weekend]]&gt;0,VALUE(LEFT(Y211,1))*R211,0)</f>
        <v>0</v>
      </c>
      <c r="AA211" s="72">
        <f>IF($Z211&gt;0,VLOOKUP($J211,Ruimtegroepen[],3,FALSE)*VLOOKUP($L211,Vloersoorten[],3,FALSE)*VLOOKUP($Y211,Frequenties[],3,FALSE)*VLOOKUP(Ruimtestaat[[#This Row],[Code]],Locaties[],3,FALSE),0)</f>
        <v>0</v>
      </c>
      <c r="AB211" s="72">
        <f>Ruimtestaat[[#This Row],[Uitvoeringen weekend]]*Ruimtestaat[[#This Row],[Oppervlak (netto)]]</f>
        <v>0</v>
      </c>
      <c r="AC211" s="72">
        <f>IF(AA211&gt;0,Ruimtestaat[[#This Row],[Prest. (m2 /jaar) weekend]]/Ruimtestaat[[#This Row],[Norm (m2/uur) weekend]],0)</f>
        <v>0</v>
      </c>
      <c r="AD211" s="109">
        <f>Ruimtestaat[[#This Row],[uren / jaar weekend]]*Tariefsopbouw!$D$40</f>
        <v>0</v>
      </c>
      <c r="AE211" s="108">
        <f>Ruimtestaat[[#This Row],[Prest. (m2 /jaar) weekend]]+Ruimtestaat[[#This Row],[Prest. (m2 /jaar) werkdagen]]</f>
        <v>1760.0000000000002</v>
      </c>
      <c r="AF211" s="108">
        <f>Ruimtestaat[[#This Row],[uren / jaar weekend]]+Ruimtestaat[[#This Row],[uren / jaar werkdagen]]</f>
        <v>0</v>
      </c>
      <c r="AG211" s="103">
        <f>Ruimtestaat[[#This Row],[kosten / jaar weekend]]+Ruimtestaat[[#This Row],[kosten / jaar werkdagen]]</f>
        <v>0</v>
      </c>
      <c r="AH211" s="103"/>
      <c r="AI211" s="110" t="str">
        <f>IF(Ruimtestaat[[#This Row],[Frequentie werkdagen]]="","",_xlfn.CONCAT(Ruimtestaat[[#This Row],[Ruimte code]],"-",Ruimtestaat[[#This Row],[Frequentie werkdagen]]," ",Ruimtestaat[[#This Row],[Vloer code]]))</f>
        <v>6-5w P</v>
      </c>
      <c r="AJ211" s="114" t="str">
        <f>_xlfn.IFNA(VLOOKUP($AI211,Programma!$F$3:$G$1101,2,0),"")</f>
        <v>_</v>
      </c>
      <c r="AK211" s="114" t="str">
        <f>_xlfn.IFNA(VLOOKUP($AI211,Programma!$F$3:$H$1101,3,0),"")</f>
        <v>_</v>
      </c>
      <c r="AL211" s="114" t="str">
        <f>_xlfn.IFNA(VLOOKUP($AI211,Programma!$F$3:$I$1101,4,0),"")</f>
        <v>5w</v>
      </c>
      <c r="AM211" s="114" t="str">
        <f>_xlfn.IFNA(VLOOKUP($AI211,Programma!$F$3:$J$1101,5,0),"")</f>
        <v>_</v>
      </c>
      <c r="AN211" s="114" t="str">
        <f>_xlfn.IFNA(VLOOKUP($AI211,Programma!$F$3:$K$1101,6,0),"")</f>
        <v>5w</v>
      </c>
      <c r="AO211" s="114" t="str">
        <f>_xlfn.IFNA(VLOOKUP($AI211,Programma!$F$3:$L$1101,7,0),"")</f>
        <v>_</v>
      </c>
      <c r="AP211" s="114" t="str">
        <f>_xlfn.IFNA(VLOOKUP($AI211,Programma!$F$3:$M$1101,8,0),"")</f>
        <v>_</v>
      </c>
      <c r="AQ211" s="114" t="str">
        <f>_xlfn.IFNA(VLOOKUP($AI211,Programma!$F$3:$N$1101,9,0),"")</f>
        <v>_</v>
      </c>
      <c r="AR211" s="114" t="str">
        <f>_xlfn.IFNA(VLOOKUP($AI211,Programma!$F$3:$O$1101,10,0),"")</f>
        <v>5w</v>
      </c>
      <c r="AS211" s="114" t="str">
        <f>_xlfn.IFNA(VLOOKUP($AI211,Programma!$F$3:$P$1101,11,0),"")</f>
        <v>5w</v>
      </c>
      <c r="AT211" s="114" t="str">
        <f>_xlfn.IFNA(VLOOKUP($AI211,Programma!$F$3:$Q$1101,12,0),"")</f>
        <v>1w</v>
      </c>
      <c r="AU211" s="114" t="str">
        <f>_xlfn.IFNA(VLOOKUP($AI211,Programma!$F$3:$R$1101,13,0),"")</f>
        <v>1w</v>
      </c>
      <c r="AV211" s="114" t="str">
        <f>_xlfn.IFNA(VLOOKUP($AI211,Programma!$F$3:$S$1101,14,0),"")</f>
        <v>1m</v>
      </c>
      <c r="AW211" s="114" t="str">
        <f>_xlfn.IFNA(VLOOKUP($AI211,Programma!$F$3:$T$1101,15,0),"")</f>
        <v>2j</v>
      </c>
      <c r="AX211" s="114" t="str">
        <f>_xlfn.IFNA(VLOOKUP($AI211,Programma!$F$3:$U$1101,16,0),"")</f>
        <v>1j</v>
      </c>
      <c r="AY211" s="114" t="str">
        <f>_xlfn.IFNA(VLOOKUP($AI211,Programma!$F$3:$V$1101,17,0),"")</f>
        <v>_</v>
      </c>
      <c r="AZ211" s="114" t="str">
        <f>_xlfn.IFNA(VLOOKUP($AI211,Programma!$F$3:$W$1101,18,0),"")</f>
        <v>_</v>
      </c>
      <c r="BA211" s="114" t="str">
        <f>_xlfn.IFNA(VLOOKUP($AI211,Programma!$F$3:$X$1101,19,0),"")</f>
        <v>_</v>
      </c>
      <c r="BB211" s="114" t="str">
        <f>_xlfn.IFNA(VLOOKUP($AI211,Programma!$F$3:$Y$1101,20,0),"")</f>
        <v>_</v>
      </c>
      <c r="BC211" s="111"/>
      <c r="BD211" s="110" t="str">
        <f>IF(Ruimtestaat[[#This Row],[Frequentie weekend]]="","",_xlfn.CONCAT(Ruimtestaat[[#This Row],[Ruimte code]],"-",Ruimtestaat[[#This Row],[Frequentie weekend]]," ",Ruimtestaat[[#This Row],[Vloer code]]))</f>
        <v/>
      </c>
      <c r="BE211" s="114" t="str">
        <f>_xlfn.IFNA(VLOOKUP($BD211,Programma!$F$3:$G$1101,2,0),"")</f>
        <v/>
      </c>
      <c r="BF211" s="114" t="str">
        <f>_xlfn.IFNA(VLOOKUP($BD211,Programma!$F$3:$H$1101,3,0),"")</f>
        <v/>
      </c>
      <c r="BG211" s="114" t="str">
        <f>_xlfn.IFNA(VLOOKUP($BD211,Programma!$F$3:$I$1101,4,0),"")</f>
        <v/>
      </c>
      <c r="BH211" s="114" t="str">
        <f>_xlfn.IFNA(VLOOKUP($BD211,Programma!$F$3:$J$1101,5,0),"")</f>
        <v/>
      </c>
      <c r="BI211" s="114" t="str">
        <f>_xlfn.IFNA(VLOOKUP($BD211,Programma!$F$3:$K$1101,6,0),"")</f>
        <v/>
      </c>
      <c r="BJ211" s="114" t="str">
        <f>_xlfn.IFNA(VLOOKUP($BD211,Programma!$F$3:$L$1101,7,0),"")</f>
        <v/>
      </c>
      <c r="BK211" s="114" t="str">
        <f>_xlfn.IFNA(VLOOKUP($BD211,Programma!$F$3:$M$1101,8,0),"")</f>
        <v/>
      </c>
      <c r="BL211" s="114" t="str">
        <f>_xlfn.IFNA(VLOOKUP($BD211,Programma!$F$3:$N$1101,9,0),"")</f>
        <v/>
      </c>
      <c r="BM211" s="114" t="str">
        <f>_xlfn.IFNA(VLOOKUP($BD211,Programma!$F$3:$O$1101,10,0),"")</f>
        <v/>
      </c>
      <c r="BN211" s="114" t="str">
        <f>_xlfn.IFNA(VLOOKUP($BD211,Programma!$F$3:$P$1101,11,0),"")</f>
        <v/>
      </c>
      <c r="BO211" s="114" t="str">
        <f>_xlfn.IFNA(VLOOKUP($BD211,Programma!$F$3:$Q$1101,12,0),"")</f>
        <v/>
      </c>
      <c r="BP211" s="114" t="str">
        <f>_xlfn.IFNA(VLOOKUP($BD211,Programma!$F$3:$R$1101,13,0),"")</f>
        <v/>
      </c>
      <c r="BQ211" s="114" t="str">
        <f>_xlfn.IFNA(VLOOKUP($BD211,Programma!$F$3:$S$1101,14,0),"")</f>
        <v/>
      </c>
      <c r="BR211" s="114" t="str">
        <f>_xlfn.IFNA(VLOOKUP($BD211,Programma!$F$3:$T$1101,15,0),"")</f>
        <v/>
      </c>
      <c r="BS211" s="114" t="str">
        <f>_xlfn.IFNA(VLOOKUP($BD211,Programma!$F$3:$U$1101,16,0),"")</f>
        <v/>
      </c>
      <c r="BT211" s="114" t="str">
        <f>_xlfn.IFNA(VLOOKUP($BD211,Programma!$F$3:$V$1101,17,0),"")</f>
        <v/>
      </c>
      <c r="BU211" s="114" t="str">
        <f>_xlfn.IFNA(VLOOKUP($BD211,Programma!$F$3:$W$1101,18,0),"")</f>
        <v/>
      </c>
      <c r="BV211" s="114" t="str">
        <f>_xlfn.IFNA(VLOOKUP($BD211,Programma!$F$3:$X$1101,19,0),"")</f>
        <v/>
      </c>
      <c r="BW211" s="114" t="str">
        <f>_xlfn.IFNA(VLOOKUP($BD211,Programma!$F$3:$Y$1101,20,0),"")</f>
        <v/>
      </c>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c r="DE211" s="28"/>
      <c r="DF211" s="28"/>
      <c r="DG211" s="28"/>
      <c r="DH211" s="28"/>
      <c r="DI211" s="28"/>
      <c r="DJ211" s="28"/>
      <c r="DK211" s="28"/>
      <c r="DL211" s="28"/>
      <c r="DM211" s="28"/>
      <c r="DN211" s="28"/>
      <c r="DO211" s="28"/>
      <c r="DP211" s="28"/>
      <c r="DQ211" s="28"/>
      <c r="DR211" s="28"/>
      <c r="DS211" s="28"/>
      <c r="DT211" s="28"/>
      <c r="DU211" s="28"/>
      <c r="DV211" s="28"/>
      <c r="DW211" s="28"/>
      <c r="DX211" s="28"/>
      <c r="DY211" s="28"/>
      <c r="DZ211" s="28"/>
      <c r="EA211" s="28"/>
      <c r="EB211" s="28"/>
      <c r="EC211" s="28"/>
      <c r="ED211" s="28"/>
      <c r="EE211" s="28"/>
      <c r="EF211" s="28"/>
      <c r="EG211" s="28"/>
      <c r="EH211" s="28"/>
      <c r="EI211" s="28"/>
      <c r="EJ211" s="28"/>
      <c r="EK211" s="28"/>
      <c r="EL211" s="28"/>
      <c r="EM211" s="28"/>
      <c r="EN211" s="28"/>
      <c r="EO211" s="28"/>
      <c r="EP211" s="28"/>
      <c r="EQ211" s="28"/>
      <c r="ER211" s="28"/>
      <c r="ES211" s="28"/>
      <c r="ET211" s="28"/>
      <c r="EU211" s="28"/>
      <c r="EV211" s="28"/>
      <c r="EW211" s="28"/>
      <c r="EX211" s="28"/>
      <c r="EY211" s="28"/>
      <c r="EZ211" s="28"/>
      <c r="FA211" s="28"/>
      <c r="FB211" s="28"/>
      <c r="FC211" s="28"/>
      <c r="FD211" s="28"/>
      <c r="FE211" s="28"/>
      <c r="FF211" s="28"/>
      <c r="FG211" s="28"/>
      <c r="FH211" s="28"/>
      <c r="FI211" s="28"/>
      <c r="FJ211" s="28"/>
      <c r="FK211" s="28"/>
      <c r="FL211" s="28"/>
      <c r="FM211" s="28"/>
      <c r="FN211" s="28"/>
      <c r="FO211" s="28"/>
      <c r="FP211" s="28"/>
      <c r="FQ211" s="28"/>
      <c r="FR211" s="28"/>
      <c r="FS211" s="28"/>
      <c r="FT211" s="28"/>
      <c r="FU211" s="28"/>
      <c r="FV211" s="28"/>
      <c r="FW211" s="28"/>
      <c r="FX211" s="28"/>
      <c r="FY211" s="28"/>
      <c r="FZ211" s="28"/>
      <c r="GA211" s="28"/>
      <c r="GB211" s="28"/>
      <c r="GC211" s="28"/>
      <c r="GD211" s="28"/>
      <c r="GE211" s="28"/>
      <c r="GF211" s="28"/>
      <c r="GG211" s="28"/>
      <c r="GH211" s="28"/>
      <c r="GI211" s="28"/>
      <c r="GJ211" s="28"/>
      <c r="GK211" s="28"/>
      <c r="GL211" s="28"/>
      <c r="GM211" s="28"/>
      <c r="GN211" s="28"/>
      <c r="GO211" s="28"/>
      <c r="GP211" s="28"/>
      <c r="GQ211" s="28"/>
      <c r="GR211" s="28"/>
      <c r="GS211" s="28"/>
      <c r="GT211" s="28"/>
      <c r="GU211" s="28"/>
      <c r="GV211" s="28"/>
      <c r="GW211" s="28"/>
      <c r="GX211" s="28"/>
      <c r="GY211" s="28"/>
      <c r="GZ211" s="28"/>
      <c r="HA211" s="28"/>
      <c r="HB211" s="28"/>
      <c r="HC211" s="28"/>
      <c r="HD211" s="28"/>
      <c r="HE211" s="28"/>
      <c r="HF211" s="28"/>
      <c r="HG211" s="28"/>
      <c r="HH211" s="28"/>
      <c r="HI211" s="28"/>
      <c r="HJ211" s="28"/>
      <c r="HK211" s="28"/>
      <c r="HL211" s="28"/>
    </row>
    <row r="212" spans="1:220" ht="15" customHeight="1">
      <c r="A212" s="31">
        <v>5</v>
      </c>
      <c r="B212" s="105" t="str">
        <f>VLOOKUP(Ruimtestaat[[#This Row],[Code]],Locaties[[Code]:[Locatie]],2,FALSE)</f>
        <v>IKC Remigius</v>
      </c>
      <c r="C212" s="105" t="str">
        <f>VLOOKUP(Ruimtestaat[[#This Row],[Code]],Locaties[[#All],[Code]:[Adres]],4,FALSE)</f>
        <v>Liemersplein 1</v>
      </c>
      <c r="D212" s="105" t="str">
        <f>VLOOKUP(Ruimtestaat[[#This Row],[Code]],Locaties[[#All],[Code]:[Postcode]],5,FALSE)</f>
        <v xml:space="preserve">6921 HN </v>
      </c>
      <c r="E212" s="105" t="str">
        <f>VLOOKUP(Ruimtestaat[[#This Row],[Code]],Locaties[#All],6,FALSE)</f>
        <v>Duiven</v>
      </c>
      <c r="F212" s="73" t="s">
        <v>1824</v>
      </c>
      <c r="G212" s="73" t="s">
        <v>1645</v>
      </c>
      <c r="H212" s="31" t="s">
        <v>1707</v>
      </c>
      <c r="I212" s="113" t="s">
        <v>1743</v>
      </c>
      <c r="J212" s="31">
        <v>5</v>
      </c>
      <c r="K212" s="113" t="str">
        <f>VLOOKUP(Ruimtestaat[[#This Row],[Ruimte code]],Ruimtegroepen[[#All],[Code]:[Ruimte omschrijving]],2,FALSE)</f>
        <v>Sanitair</v>
      </c>
      <c r="L212" s="73" t="s">
        <v>102</v>
      </c>
      <c r="M212" s="273" t="s">
        <v>120</v>
      </c>
      <c r="N212" s="106">
        <v>11.4</v>
      </c>
      <c r="O212" s="112"/>
      <c r="P212" s="112"/>
      <c r="Q212" s="107" t="str">
        <f>VLOOKUP(Ruimtestaat[[#This Row],[Ruimte code]],Ruimtegroepen[],4,FALSE)</f>
        <v>Sa</v>
      </c>
      <c r="R212" s="73">
        <v>40</v>
      </c>
      <c r="S212" s="73" t="s">
        <v>2</v>
      </c>
      <c r="T212" s="73">
        <f>IF(R212&gt;0,IF(RIGHT(Ruimtestaat[[#This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2" s="73">
        <f>IF(T212&gt;0,VLOOKUP($J212,Ruimtegroepen[],3,FALSE)*VLOOKUP($L212,Vloersoorten[],3,FALSE)*VLOOKUP($S212,Frequenties[],3,FALSE)*VLOOKUP($A212,Locaties[],3,FALSE),0)</f>
        <v>0</v>
      </c>
      <c r="V212" s="73">
        <f>Ruimtestaat[[#This Row],[Uitvoeringen werkdagen]]*Ruimtestaat[[#This Row],[Oppervlak (netto)]]</f>
        <v>2280</v>
      </c>
      <c r="W212" s="108">
        <f>IF(U212&gt;0,Ruimtestaat[[#This Row],[Prest. (m2 /jaar) werkdagen]]/Ruimtestaat[[#This Row],[Norm (m2/uur) werkdagen]],0)</f>
        <v>0</v>
      </c>
      <c r="X212" s="109">
        <f>Ruimtestaat[[#This Row],[uren / jaar werkdagen]]*Tariefsopbouw!$E$35</f>
        <v>0</v>
      </c>
      <c r="Y212" s="73"/>
      <c r="Z212" s="73">
        <f>IF(Ruimtestaat[[#This Row],[Frequentie weekend]]&gt;0,VALUE(LEFT(Y212,1))*R212,0)</f>
        <v>0</v>
      </c>
      <c r="AA212" s="72">
        <f>IF($Z212&gt;0,VLOOKUP($J212,Ruimtegroepen[],3,FALSE)*VLOOKUP($L212,Vloersoorten[],3,FALSE)*VLOOKUP($Y212,Frequenties[],3,FALSE)*VLOOKUP(Ruimtestaat[[#This Row],[Code]],Locaties[],3,FALSE),0)</f>
        <v>0</v>
      </c>
      <c r="AB212" s="72">
        <f>Ruimtestaat[[#This Row],[Uitvoeringen weekend]]*Ruimtestaat[[#This Row],[Oppervlak (netto)]]</f>
        <v>0</v>
      </c>
      <c r="AC212" s="72">
        <f>IF(AA212&gt;0,Ruimtestaat[[#This Row],[Prest. (m2 /jaar) weekend]]/Ruimtestaat[[#This Row],[Norm (m2/uur) weekend]],0)</f>
        <v>0</v>
      </c>
      <c r="AD212" s="109">
        <f>Ruimtestaat[[#This Row],[uren / jaar weekend]]*Tariefsopbouw!$D$40</f>
        <v>0</v>
      </c>
      <c r="AE212" s="108">
        <f>Ruimtestaat[[#This Row],[Prest. (m2 /jaar) weekend]]+Ruimtestaat[[#This Row],[Prest. (m2 /jaar) werkdagen]]</f>
        <v>2280</v>
      </c>
      <c r="AF212" s="108">
        <f>Ruimtestaat[[#This Row],[uren / jaar weekend]]+Ruimtestaat[[#This Row],[uren / jaar werkdagen]]</f>
        <v>0</v>
      </c>
      <c r="AG212" s="103">
        <f>Ruimtestaat[[#This Row],[kosten / jaar weekend]]+Ruimtestaat[[#This Row],[kosten / jaar werkdagen]]</f>
        <v>0</v>
      </c>
      <c r="AH212" s="103"/>
      <c r="AI212" s="110" t="str">
        <f>IF(Ruimtestaat[[#This Row],[Frequentie werkdagen]]="","",_xlfn.CONCAT(Ruimtestaat[[#This Row],[Ruimte code]],"-",Ruimtestaat[[#This Row],[Frequentie werkdagen]]," ",Ruimtestaat[[#This Row],[Vloer code]]))</f>
        <v>5-5w P</v>
      </c>
      <c r="AJ212" s="114" t="str">
        <f>_xlfn.IFNA(VLOOKUP($AI212,Programma!$F$3:$G$1101,2,0),"")</f>
        <v>_</v>
      </c>
      <c r="AK212" s="114" t="str">
        <f>_xlfn.IFNA(VLOOKUP($AI212,Programma!$F$3:$H$1101,3,0),"")</f>
        <v>_</v>
      </c>
      <c r="AL212" s="114" t="str">
        <f>_xlfn.IFNA(VLOOKUP($AI212,Programma!$F$3:$I$1101,4,0),"")</f>
        <v>_</v>
      </c>
      <c r="AM212" s="114" t="str">
        <f>_xlfn.IFNA(VLOOKUP($AI212,Programma!$F$3:$J$1101,5,0),"")</f>
        <v>4w</v>
      </c>
      <c r="AN212" s="114" t="str">
        <f>_xlfn.IFNA(VLOOKUP($AI212,Programma!$F$3:$K$1101,6,0),"")</f>
        <v>1w</v>
      </c>
      <c r="AO212" s="114" t="str">
        <f>_xlfn.IFNA(VLOOKUP($AI212,Programma!$F$3:$L$1101,7,0),"")</f>
        <v>_</v>
      </c>
      <c r="AP212" s="114" t="str">
        <f>_xlfn.IFNA(VLOOKUP($AI212,Programma!$F$3:$M$1101,8,0),"")</f>
        <v>_</v>
      </c>
      <c r="AQ212" s="114" t="str">
        <f>_xlfn.IFNA(VLOOKUP($AI212,Programma!$F$3:$N$1101,9,0),"")</f>
        <v>_</v>
      </c>
      <c r="AR212" s="114" t="str">
        <f>_xlfn.IFNA(VLOOKUP($AI212,Programma!$F$3:$O$1101,10,0),"")</f>
        <v>_</v>
      </c>
      <c r="AS212" s="114" t="str">
        <f>_xlfn.IFNA(VLOOKUP($AI212,Programma!$F$3:$P$1101,11,0),"")</f>
        <v>_</v>
      </c>
      <c r="AT212" s="114" t="str">
        <f>_xlfn.IFNA(VLOOKUP($AI212,Programma!$F$3:$Q$1101,12,0),"")</f>
        <v>_</v>
      </c>
      <c r="AU212" s="114" t="str">
        <f>_xlfn.IFNA(VLOOKUP($AI212,Programma!$F$3:$R$1101,13,0),"")</f>
        <v>_</v>
      </c>
      <c r="AV212" s="114" t="str">
        <f>_xlfn.IFNA(VLOOKUP($AI212,Programma!$F$3:$S$1101,14,0),"")</f>
        <v>_</v>
      </c>
      <c r="AW212" s="114" t="str">
        <f>_xlfn.IFNA(VLOOKUP($AI212,Programma!$F$3:$T$1101,15,0),"")</f>
        <v>_</v>
      </c>
      <c r="AX212" s="114" t="str">
        <f>_xlfn.IFNA(VLOOKUP($AI212,Programma!$F$3:$U$1101,16,0),"")</f>
        <v>_</v>
      </c>
      <c r="AY212" s="114" t="str">
        <f>_xlfn.IFNA(VLOOKUP($AI212,Programma!$F$3:$V$1101,17,0),"")</f>
        <v>_</v>
      </c>
      <c r="AZ212" s="114" t="str">
        <f>_xlfn.IFNA(VLOOKUP($AI212,Programma!$F$3:$W$1101,18,0),"")</f>
        <v>4w</v>
      </c>
      <c r="BA212" s="114" t="str">
        <f>_xlfn.IFNA(VLOOKUP($AI212,Programma!$F$3:$X$1101,19,0),"")</f>
        <v>1w</v>
      </c>
      <c r="BB212" s="114" t="str">
        <f>_xlfn.IFNA(VLOOKUP($AI212,Programma!$F$3:$Y$1101,20,0),"")</f>
        <v>_</v>
      </c>
      <c r="BC212" s="111"/>
      <c r="BD212" s="110" t="str">
        <f>IF(Ruimtestaat[[#This Row],[Frequentie weekend]]="","",_xlfn.CONCAT(Ruimtestaat[[#This Row],[Ruimte code]],"-",Ruimtestaat[[#This Row],[Frequentie weekend]]," ",Ruimtestaat[[#This Row],[Vloer code]]))</f>
        <v/>
      </c>
      <c r="BE212" s="114" t="str">
        <f>_xlfn.IFNA(VLOOKUP($BD212,Programma!$F$3:$G$1101,2,0),"")</f>
        <v/>
      </c>
      <c r="BF212" s="114" t="str">
        <f>_xlfn.IFNA(VLOOKUP($BD212,Programma!$F$3:$H$1101,3,0),"")</f>
        <v/>
      </c>
      <c r="BG212" s="114" t="str">
        <f>_xlfn.IFNA(VLOOKUP($BD212,Programma!$F$3:$I$1101,4,0),"")</f>
        <v/>
      </c>
      <c r="BH212" s="114" t="str">
        <f>_xlfn.IFNA(VLOOKUP($BD212,Programma!$F$3:$J$1101,5,0),"")</f>
        <v/>
      </c>
      <c r="BI212" s="114" t="str">
        <f>_xlfn.IFNA(VLOOKUP($BD212,Programma!$F$3:$K$1101,6,0),"")</f>
        <v/>
      </c>
      <c r="BJ212" s="114" t="str">
        <f>_xlfn.IFNA(VLOOKUP($BD212,Programma!$F$3:$L$1101,7,0),"")</f>
        <v/>
      </c>
      <c r="BK212" s="114" t="str">
        <f>_xlfn.IFNA(VLOOKUP($BD212,Programma!$F$3:$M$1101,8,0),"")</f>
        <v/>
      </c>
      <c r="BL212" s="114" t="str">
        <f>_xlfn.IFNA(VLOOKUP($BD212,Programma!$F$3:$N$1101,9,0),"")</f>
        <v/>
      </c>
      <c r="BM212" s="114" t="str">
        <f>_xlfn.IFNA(VLOOKUP($BD212,Programma!$F$3:$O$1101,10,0),"")</f>
        <v/>
      </c>
      <c r="BN212" s="114" t="str">
        <f>_xlfn.IFNA(VLOOKUP($BD212,Programma!$F$3:$P$1101,11,0),"")</f>
        <v/>
      </c>
      <c r="BO212" s="114" t="str">
        <f>_xlfn.IFNA(VLOOKUP($BD212,Programma!$F$3:$Q$1101,12,0),"")</f>
        <v/>
      </c>
      <c r="BP212" s="114" t="str">
        <f>_xlfn.IFNA(VLOOKUP($BD212,Programma!$F$3:$R$1101,13,0),"")</f>
        <v/>
      </c>
      <c r="BQ212" s="114" t="str">
        <f>_xlfn.IFNA(VLOOKUP($BD212,Programma!$F$3:$S$1101,14,0),"")</f>
        <v/>
      </c>
      <c r="BR212" s="114" t="str">
        <f>_xlfn.IFNA(VLOOKUP($BD212,Programma!$F$3:$T$1101,15,0),"")</f>
        <v/>
      </c>
      <c r="BS212" s="114" t="str">
        <f>_xlfn.IFNA(VLOOKUP($BD212,Programma!$F$3:$U$1101,16,0),"")</f>
        <v/>
      </c>
      <c r="BT212" s="114" t="str">
        <f>_xlfn.IFNA(VLOOKUP($BD212,Programma!$F$3:$V$1101,17,0),"")</f>
        <v/>
      </c>
      <c r="BU212" s="114" t="str">
        <f>_xlfn.IFNA(VLOOKUP($BD212,Programma!$F$3:$W$1101,18,0),"")</f>
        <v/>
      </c>
      <c r="BV212" s="114" t="str">
        <f>_xlfn.IFNA(VLOOKUP($BD212,Programma!$F$3:$X$1101,19,0),"")</f>
        <v/>
      </c>
      <c r="BW212" s="114" t="str">
        <f>_xlfn.IFNA(VLOOKUP($BD212,Programma!$F$3:$Y$1101,20,0),"")</f>
        <v/>
      </c>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c r="EG212" s="28"/>
      <c r="EH212" s="28"/>
      <c r="EI212" s="28"/>
      <c r="EJ212" s="28"/>
      <c r="EK212" s="28"/>
      <c r="EL212" s="28"/>
      <c r="EM212" s="28"/>
      <c r="EN212" s="28"/>
      <c r="EO212" s="28"/>
      <c r="EP212" s="28"/>
      <c r="EQ212" s="28"/>
      <c r="ER212" s="28"/>
      <c r="ES212" s="28"/>
      <c r="ET212" s="28"/>
      <c r="EU212" s="28"/>
      <c r="EV212" s="28"/>
      <c r="EW212" s="28"/>
      <c r="EX212" s="28"/>
      <c r="EY212" s="28"/>
      <c r="EZ212" s="28"/>
      <c r="FA212" s="28"/>
      <c r="FB212" s="28"/>
      <c r="FC212" s="28"/>
      <c r="FD212" s="28"/>
      <c r="FE212" s="28"/>
      <c r="FF212" s="28"/>
      <c r="FG212" s="28"/>
      <c r="FH212" s="28"/>
      <c r="FI212" s="28"/>
      <c r="FJ212" s="28"/>
      <c r="FK212" s="28"/>
      <c r="FL212" s="28"/>
      <c r="FM212" s="28"/>
      <c r="FN212" s="28"/>
      <c r="FO212" s="28"/>
      <c r="FP212" s="28"/>
      <c r="FQ212" s="28"/>
      <c r="FR212" s="28"/>
      <c r="FS212" s="28"/>
      <c r="FT212" s="28"/>
      <c r="FU212" s="28"/>
      <c r="FV212" s="28"/>
      <c r="FW212" s="28"/>
      <c r="FX212" s="28"/>
      <c r="FY212" s="28"/>
      <c r="FZ212" s="28"/>
      <c r="GA212" s="28"/>
      <c r="GB212" s="28"/>
      <c r="GC212" s="28"/>
      <c r="GD212" s="28"/>
      <c r="GE212" s="28"/>
      <c r="GF212" s="28"/>
      <c r="GG212" s="28"/>
      <c r="GH212" s="28"/>
      <c r="GI212" s="28"/>
      <c r="GJ212" s="28"/>
      <c r="GK212" s="28"/>
      <c r="GL212" s="28"/>
      <c r="GM212" s="28"/>
      <c r="GN212" s="28"/>
      <c r="GO212" s="28"/>
      <c r="GP212" s="28"/>
      <c r="GQ212" s="28"/>
      <c r="GR212" s="28"/>
      <c r="GS212" s="28"/>
      <c r="GT212" s="28"/>
      <c r="GU212" s="28"/>
      <c r="GV212" s="28"/>
      <c r="GW212" s="28"/>
      <c r="GX212" s="28"/>
      <c r="GY212" s="28"/>
      <c r="GZ212" s="28"/>
      <c r="HA212" s="28"/>
      <c r="HB212" s="28"/>
      <c r="HC212" s="28"/>
      <c r="HD212" s="28"/>
      <c r="HE212" s="28"/>
      <c r="HF212" s="28"/>
      <c r="HG212" s="28"/>
      <c r="HH212" s="28"/>
      <c r="HI212" s="28"/>
      <c r="HJ212" s="28"/>
      <c r="HK212" s="28"/>
      <c r="HL212" s="28"/>
    </row>
    <row r="213" spans="1:220" ht="15" customHeight="1">
      <c r="A213" s="31">
        <v>5</v>
      </c>
      <c r="B213" s="105" t="str">
        <f>VLOOKUP(Ruimtestaat[[#This Row],[Code]],Locaties[[Code]:[Locatie]],2,FALSE)</f>
        <v>IKC Remigius</v>
      </c>
      <c r="C213" s="105" t="str">
        <f>VLOOKUP(Ruimtestaat[[#This Row],[Code]],Locaties[[#All],[Code]:[Adres]],4,FALSE)</f>
        <v>Liemersplein 1</v>
      </c>
      <c r="D213" s="105" t="str">
        <f>VLOOKUP(Ruimtestaat[[#This Row],[Code]],Locaties[[#All],[Code]:[Postcode]],5,FALSE)</f>
        <v xml:space="preserve">6921 HN </v>
      </c>
      <c r="E213" s="105" t="str">
        <f>VLOOKUP(Ruimtestaat[[#This Row],[Code]],Locaties[#All],6,FALSE)</f>
        <v>Duiven</v>
      </c>
      <c r="F213" s="73" t="s">
        <v>1824</v>
      </c>
      <c r="G213" s="73" t="s">
        <v>1645</v>
      </c>
      <c r="H213" s="31" t="s">
        <v>1708</v>
      </c>
      <c r="I213" s="113" t="s">
        <v>1743</v>
      </c>
      <c r="J213" s="31">
        <v>5</v>
      </c>
      <c r="K213" s="113" t="str">
        <f>VLOOKUP(Ruimtestaat[[#This Row],[Ruimte code]],Ruimtegroepen[[#All],[Code]:[Ruimte omschrijving]],2,FALSE)</f>
        <v>Sanitair</v>
      </c>
      <c r="L213" s="73" t="s">
        <v>102</v>
      </c>
      <c r="M213" s="273" t="s">
        <v>120</v>
      </c>
      <c r="N213" s="106">
        <v>11.5</v>
      </c>
      <c r="O213" s="112"/>
      <c r="P213" s="73"/>
      <c r="Q213" s="107" t="str">
        <f>VLOOKUP(Ruimtestaat[[#This Row],[Ruimte code]],Ruimtegroepen[],4,FALSE)</f>
        <v>Sa</v>
      </c>
      <c r="R213" s="73">
        <v>40</v>
      </c>
      <c r="S213" s="73" t="s">
        <v>2</v>
      </c>
      <c r="T213" s="73">
        <f>IF(R213&gt;0,IF(RIGHT(Ruimtestaat[[#This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3" s="73">
        <f>IF(T213&gt;0,VLOOKUP($J213,Ruimtegroepen[],3,FALSE)*VLOOKUP($L213,Vloersoorten[],3,FALSE)*VLOOKUP($S213,Frequenties[],3,FALSE)*VLOOKUP($A213,Locaties[],3,FALSE),0)</f>
        <v>0</v>
      </c>
      <c r="V213" s="73">
        <f>Ruimtestaat[[#This Row],[Uitvoeringen werkdagen]]*Ruimtestaat[[#This Row],[Oppervlak (netto)]]</f>
        <v>2300</v>
      </c>
      <c r="W213" s="108">
        <f>IF(U213&gt;0,Ruimtestaat[[#This Row],[Prest. (m2 /jaar) werkdagen]]/Ruimtestaat[[#This Row],[Norm (m2/uur) werkdagen]],0)</f>
        <v>0</v>
      </c>
      <c r="X213" s="109">
        <f>Ruimtestaat[[#This Row],[uren / jaar werkdagen]]*Tariefsopbouw!$E$35</f>
        <v>0</v>
      </c>
      <c r="Y213" s="73"/>
      <c r="Z213" s="73">
        <f>IF(Ruimtestaat[[#This Row],[Frequentie weekend]]&gt;0,VALUE(LEFT(Y213,1))*R213,0)</f>
        <v>0</v>
      </c>
      <c r="AA213" s="72">
        <f>IF($Z213&gt;0,VLOOKUP($J213,Ruimtegroepen[],3,FALSE)*VLOOKUP($L213,Vloersoorten[],3,FALSE)*VLOOKUP($Y213,Frequenties[],3,FALSE)*VLOOKUP(Ruimtestaat[[#This Row],[Code]],Locaties[],3,FALSE),0)</f>
        <v>0</v>
      </c>
      <c r="AB213" s="72">
        <f>Ruimtestaat[[#This Row],[Uitvoeringen weekend]]*Ruimtestaat[[#This Row],[Oppervlak (netto)]]</f>
        <v>0</v>
      </c>
      <c r="AC213" s="72">
        <f>IF(AA213&gt;0,Ruimtestaat[[#This Row],[Prest. (m2 /jaar) weekend]]/Ruimtestaat[[#This Row],[Norm (m2/uur) weekend]],0)</f>
        <v>0</v>
      </c>
      <c r="AD213" s="109">
        <f>Ruimtestaat[[#This Row],[uren / jaar weekend]]*Tariefsopbouw!$D$40</f>
        <v>0</v>
      </c>
      <c r="AE213" s="108">
        <f>Ruimtestaat[[#This Row],[Prest. (m2 /jaar) weekend]]+Ruimtestaat[[#This Row],[Prest. (m2 /jaar) werkdagen]]</f>
        <v>2300</v>
      </c>
      <c r="AF213" s="108">
        <f>Ruimtestaat[[#This Row],[uren / jaar weekend]]+Ruimtestaat[[#This Row],[uren / jaar werkdagen]]</f>
        <v>0</v>
      </c>
      <c r="AG213" s="103">
        <f>Ruimtestaat[[#This Row],[kosten / jaar weekend]]+Ruimtestaat[[#This Row],[kosten / jaar werkdagen]]</f>
        <v>0</v>
      </c>
      <c r="AH213" s="103"/>
      <c r="AI213" s="110" t="str">
        <f>IF(Ruimtestaat[[#This Row],[Frequentie werkdagen]]="","",_xlfn.CONCAT(Ruimtestaat[[#This Row],[Ruimte code]],"-",Ruimtestaat[[#This Row],[Frequentie werkdagen]]," ",Ruimtestaat[[#This Row],[Vloer code]]))</f>
        <v>5-5w P</v>
      </c>
      <c r="AJ213" s="114" t="str">
        <f>_xlfn.IFNA(VLOOKUP($AI213,Programma!$F$3:$G$1101,2,0),"")</f>
        <v>_</v>
      </c>
      <c r="AK213" s="114" t="str">
        <f>_xlfn.IFNA(VLOOKUP($AI213,Programma!$F$3:$H$1101,3,0),"")</f>
        <v>_</v>
      </c>
      <c r="AL213" s="114" t="str">
        <f>_xlfn.IFNA(VLOOKUP($AI213,Programma!$F$3:$I$1101,4,0),"")</f>
        <v>_</v>
      </c>
      <c r="AM213" s="114" t="str">
        <f>_xlfn.IFNA(VLOOKUP($AI213,Programma!$F$3:$J$1101,5,0),"")</f>
        <v>4w</v>
      </c>
      <c r="AN213" s="114" t="str">
        <f>_xlfn.IFNA(VLOOKUP($AI213,Programma!$F$3:$K$1101,6,0),"")</f>
        <v>1w</v>
      </c>
      <c r="AO213" s="114" t="str">
        <f>_xlfn.IFNA(VLOOKUP($AI213,Programma!$F$3:$L$1101,7,0),"")</f>
        <v>_</v>
      </c>
      <c r="AP213" s="114" t="str">
        <f>_xlfn.IFNA(VLOOKUP($AI213,Programma!$F$3:$M$1101,8,0),"")</f>
        <v>_</v>
      </c>
      <c r="AQ213" s="114" t="str">
        <f>_xlfn.IFNA(VLOOKUP($AI213,Programma!$F$3:$N$1101,9,0),"")</f>
        <v>_</v>
      </c>
      <c r="AR213" s="114" t="str">
        <f>_xlfn.IFNA(VLOOKUP($AI213,Programma!$F$3:$O$1101,10,0),"")</f>
        <v>_</v>
      </c>
      <c r="AS213" s="114" t="str">
        <f>_xlfn.IFNA(VLOOKUP($AI213,Programma!$F$3:$P$1101,11,0),"")</f>
        <v>_</v>
      </c>
      <c r="AT213" s="114" t="str">
        <f>_xlfn.IFNA(VLOOKUP($AI213,Programma!$F$3:$Q$1101,12,0),"")</f>
        <v>_</v>
      </c>
      <c r="AU213" s="114" t="str">
        <f>_xlfn.IFNA(VLOOKUP($AI213,Programma!$F$3:$R$1101,13,0),"")</f>
        <v>_</v>
      </c>
      <c r="AV213" s="114" t="str">
        <f>_xlfn.IFNA(VLOOKUP($AI213,Programma!$F$3:$S$1101,14,0),"")</f>
        <v>_</v>
      </c>
      <c r="AW213" s="114" t="str">
        <f>_xlfn.IFNA(VLOOKUP($AI213,Programma!$F$3:$T$1101,15,0),"")</f>
        <v>_</v>
      </c>
      <c r="AX213" s="114" t="str">
        <f>_xlfn.IFNA(VLOOKUP($AI213,Programma!$F$3:$U$1101,16,0),"")</f>
        <v>_</v>
      </c>
      <c r="AY213" s="114" t="str">
        <f>_xlfn.IFNA(VLOOKUP($AI213,Programma!$F$3:$V$1101,17,0),"")</f>
        <v>_</v>
      </c>
      <c r="AZ213" s="114" t="str">
        <f>_xlfn.IFNA(VLOOKUP($AI213,Programma!$F$3:$W$1101,18,0),"")</f>
        <v>4w</v>
      </c>
      <c r="BA213" s="114" t="str">
        <f>_xlfn.IFNA(VLOOKUP($AI213,Programma!$F$3:$X$1101,19,0),"")</f>
        <v>1w</v>
      </c>
      <c r="BB213" s="114" t="str">
        <f>_xlfn.IFNA(VLOOKUP($AI213,Programma!$F$3:$Y$1101,20,0),"")</f>
        <v>_</v>
      </c>
      <c r="BC213" s="111"/>
      <c r="BD213" s="110" t="str">
        <f>IF(Ruimtestaat[[#This Row],[Frequentie weekend]]="","",_xlfn.CONCAT(Ruimtestaat[[#This Row],[Ruimte code]],"-",Ruimtestaat[[#This Row],[Frequentie weekend]]," ",Ruimtestaat[[#This Row],[Vloer code]]))</f>
        <v/>
      </c>
      <c r="BE213" s="114" t="str">
        <f>_xlfn.IFNA(VLOOKUP($BD213,Programma!$F$3:$G$1101,2,0),"")</f>
        <v/>
      </c>
      <c r="BF213" s="114" t="str">
        <f>_xlfn.IFNA(VLOOKUP($BD213,Programma!$F$3:$H$1101,3,0),"")</f>
        <v/>
      </c>
      <c r="BG213" s="114" t="str">
        <f>_xlfn.IFNA(VLOOKUP($BD213,Programma!$F$3:$I$1101,4,0),"")</f>
        <v/>
      </c>
      <c r="BH213" s="114" t="str">
        <f>_xlfn.IFNA(VLOOKUP($BD213,Programma!$F$3:$J$1101,5,0),"")</f>
        <v/>
      </c>
      <c r="BI213" s="114" t="str">
        <f>_xlfn.IFNA(VLOOKUP($BD213,Programma!$F$3:$K$1101,6,0),"")</f>
        <v/>
      </c>
      <c r="BJ213" s="114" t="str">
        <f>_xlfn.IFNA(VLOOKUP($BD213,Programma!$F$3:$L$1101,7,0),"")</f>
        <v/>
      </c>
      <c r="BK213" s="114" t="str">
        <f>_xlfn.IFNA(VLOOKUP($BD213,Programma!$F$3:$M$1101,8,0),"")</f>
        <v/>
      </c>
      <c r="BL213" s="114" t="str">
        <f>_xlfn.IFNA(VLOOKUP($BD213,Programma!$F$3:$N$1101,9,0),"")</f>
        <v/>
      </c>
      <c r="BM213" s="114" t="str">
        <f>_xlfn.IFNA(VLOOKUP($BD213,Programma!$F$3:$O$1101,10,0),"")</f>
        <v/>
      </c>
      <c r="BN213" s="114" t="str">
        <f>_xlfn.IFNA(VLOOKUP($BD213,Programma!$F$3:$P$1101,11,0),"")</f>
        <v/>
      </c>
      <c r="BO213" s="114" t="str">
        <f>_xlfn.IFNA(VLOOKUP($BD213,Programma!$F$3:$Q$1101,12,0),"")</f>
        <v/>
      </c>
      <c r="BP213" s="114" t="str">
        <f>_xlfn.IFNA(VLOOKUP($BD213,Programma!$F$3:$R$1101,13,0),"")</f>
        <v/>
      </c>
      <c r="BQ213" s="114" t="str">
        <f>_xlfn.IFNA(VLOOKUP($BD213,Programma!$F$3:$S$1101,14,0),"")</f>
        <v/>
      </c>
      <c r="BR213" s="114" t="str">
        <f>_xlfn.IFNA(VLOOKUP($BD213,Programma!$F$3:$T$1101,15,0),"")</f>
        <v/>
      </c>
      <c r="BS213" s="114" t="str">
        <f>_xlfn.IFNA(VLOOKUP($BD213,Programma!$F$3:$U$1101,16,0),"")</f>
        <v/>
      </c>
      <c r="BT213" s="114" t="str">
        <f>_xlfn.IFNA(VLOOKUP($BD213,Programma!$F$3:$V$1101,17,0),"")</f>
        <v/>
      </c>
      <c r="BU213" s="114" t="str">
        <f>_xlfn.IFNA(VLOOKUP($BD213,Programma!$F$3:$W$1101,18,0),"")</f>
        <v/>
      </c>
      <c r="BV213" s="114" t="str">
        <f>_xlfn.IFNA(VLOOKUP($BD213,Programma!$F$3:$X$1101,19,0),"")</f>
        <v/>
      </c>
      <c r="BW213" s="114" t="str">
        <f>_xlfn.IFNA(VLOOKUP($BD213,Programma!$F$3:$Y$1101,20,0),"")</f>
        <v/>
      </c>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c r="EO213" s="28"/>
      <c r="EP213" s="28"/>
      <c r="EQ213" s="28"/>
      <c r="ER213" s="28"/>
      <c r="ES213" s="28"/>
      <c r="ET213" s="28"/>
      <c r="EU213" s="28"/>
      <c r="EV213" s="28"/>
      <c r="EW213" s="28"/>
      <c r="EX213" s="28"/>
      <c r="EY213" s="28"/>
      <c r="EZ213" s="28"/>
      <c r="FA213" s="28"/>
      <c r="FB213" s="28"/>
      <c r="FC213" s="28"/>
      <c r="FD213" s="28"/>
      <c r="FE213" s="28"/>
      <c r="FF213" s="28"/>
      <c r="FG213" s="28"/>
      <c r="FH213" s="28"/>
      <c r="FI213" s="28"/>
      <c r="FJ213" s="28"/>
      <c r="FK213" s="28"/>
      <c r="FL213" s="28"/>
      <c r="FM213" s="28"/>
      <c r="FN213" s="28"/>
      <c r="FO213" s="28"/>
      <c r="FP213" s="28"/>
      <c r="FQ213" s="28"/>
      <c r="FR213" s="28"/>
      <c r="FS213" s="28"/>
      <c r="FT213" s="28"/>
      <c r="FU213" s="28"/>
      <c r="FV213" s="28"/>
      <c r="FW213" s="28"/>
      <c r="FX213" s="28"/>
      <c r="FY213" s="28"/>
      <c r="FZ213" s="28"/>
      <c r="GA213" s="28"/>
      <c r="GB213" s="28"/>
      <c r="GC213" s="28"/>
      <c r="GD213" s="28"/>
      <c r="GE213" s="28"/>
      <c r="GF213" s="28"/>
      <c r="GG213" s="28"/>
      <c r="GH213" s="28"/>
      <c r="GI213" s="28"/>
      <c r="GJ213" s="28"/>
      <c r="GK213" s="28"/>
      <c r="GL213" s="28"/>
      <c r="GM213" s="28"/>
      <c r="GN213" s="28"/>
      <c r="GO213" s="28"/>
      <c r="GP213" s="28"/>
      <c r="GQ213" s="28"/>
      <c r="GR213" s="28"/>
      <c r="GS213" s="28"/>
      <c r="GT213" s="28"/>
      <c r="GU213" s="28"/>
      <c r="GV213" s="28"/>
      <c r="GW213" s="28"/>
      <c r="GX213" s="28"/>
      <c r="GY213" s="28"/>
      <c r="GZ213" s="28"/>
      <c r="HA213" s="28"/>
      <c r="HB213" s="28"/>
      <c r="HC213" s="28"/>
      <c r="HD213" s="28"/>
      <c r="HE213" s="28"/>
      <c r="HF213" s="28"/>
      <c r="HG213" s="28"/>
      <c r="HH213" s="28"/>
      <c r="HI213" s="28"/>
      <c r="HJ213" s="28"/>
      <c r="HK213" s="28"/>
      <c r="HL213" s="28"/>
    </row>
    <row r="214" spans="1:220" ht="15" customHeight="1">
      <c r="A214" s="31">
        <v>5</v>
      </c>
      <c r="B214" s="105" t="str">
        <f>VLOOKUP(Ruimtestaat[[#This Row],[Code]],Locaties[[Code]:[Locatie]],2,FALSE)</f>
        <v>IKC Remigius</v>
      </c>
      <c r="C214" s="105" t="str">
        <f>VLOOKUP(Ruimtestaat[[#This Row],[Code]],Locaties[[#All],[Code]:[Adres]],4,FALSE)</f>
        <v>Liemersplein 1</v>
      </c>
      <c r="D214" s="105" t="str">
        <f>VLOOKUP(Ruimtestaat[[#This Row],[Code]],Locaties[[#All],[Code]:[Postcode]],5,FALSE)</f>
        <v xml:space="preserve">6921 HN </v>
      </c>
      <c r="E214" s="105" t="str">
        <f>VLOOKUP(Ruimtestaat[[#This Row],[Code]],Locaties[#All],6,FALSE)</f>
        <v>Duiven</v>
      </c>
      <c r="F214" s="73" t="s">
        <v>1824</v>
      </c>
      <c r="G214" s="73" t="s">
        <v>1645</v>
      </c>
      <c r="H214" s="31" t="s">
        <v>1709</v>
      </c>
      <c r="I214" s="113" t="s">
        <v>1739</v>
      </c>
      <c r="J214" s="31">
        <v>6</v>
      </c>
      <c r="K214" s="113" t="str">
        <f>VLOOKUP(Ruimtestaat[[#This Row],[Ruimte code]],Ruimtegroepen[[#All],[Code]:[Ruimte omschrijving]],2,FALSE)</f>
        <v>Gangen/hallen</v>
      </c>
      <c r="L214" s="73" t="s">
        <v>102</v>
      </c>
      <c r="M214" s="273" t="s">
        <v>120</v>
      </c>
      <c r="N214" s="106">
        <v>8.8000000000000007</v>
      </c>
      <c r="O214" s="112"/>
      <c r="P214" s="112"/>
      <c r="Q214" s="107" t="str">
        <f>VLOOKUP(Ruimtestaat[[#This Row],[Ruimte code]],Ruimtegroepen[],4,FALSE)</f>
        <v>Ve</v>
      </c>
      <c r="R214" s="73">
        <v>40</v>
      </c>
      <c r="S214" s="73" t="s">
        <v>2</v>
      </c>
      <c r="T214" s="73">
        <f>IF(R214&gt;0,IF(RIGHT(Ruimtestaat[[#This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4" s="73">
        <f>IF(T214&gt;0,VLOOKUP($J214,Ruimtegroepen[],3,FALSE)*VLOOKUP($L214,Vloersoorten[],3,FALSE)*VLOOKUP($S214,Frequenties[],3,FALSE)*VLOOKUP($A214,Locaties[],3,FALSE),0)</f>
        <v>0</v>
      </c>
      <c r="V214" s="73">
        <f>Ruimtestaat[[#This Row],[Uitvoeringen werkdagen]]*Ruimtestaat[[#This Row],[Oppervlak (netto)]]</f>
        <v>1760.0000000000002</v>
      </c>
      <c r="W214" s="108">
        <f>IF(U214&gt;0,Ruimtestaat[[#This Row],[Prest. (m2 /jaar) werkdagen]]/Ruimtestaat[[#This Row],[Norm (m2/uur) werkdagen]],0)</f>
        <v>0</v>
      </c>
      <c r="X214" s="109">
        <f>Ruimtestaat[[#This Row],[uren / jaar werkdagen]]*Tariefsopbouw!$E$35</f>
        <v>0</v>
      </c>
      <c r="Y214" s="73"/>
      <c r="Z214" s="73">
        <f>IF(Ruimtestaat[[#This Row],[Frequentie weekend]]&gt;0,VALUE(LEFT(Y214,1))*R214,0)</f>
        <v>0</v>
      </c>
      <c r="AA214" s="72">
        <f>IF($Z214&gt;0,VLOOKUP($J214,Ruimtegroepen[],3,FALSE)*VLOOKUP($L214,Vloersoorten[],3,FALSE)*VLOOKUP($Y214,Frequenties[],3,FALSE)*VLOOKUP(Ruimtestaat[[#This Row],[Code]],Locaties[],3,FALSE),0)</f>
        <v>0</v>
      </c>
      <c r="AB214" s="72">
        <f>Ruimtestaat[[#This Row],[Uitvoeringen weekend]]*Ruimtestaat[[#This Row],[Oppervlak (netto)]]</f>
        <v>0</v>
      </c>
      <c r="AC214" s="72">
        <f>IF(AA214&gt;0,Ruimtestaat[[#This Row],[Prest. (m2 /jaar) weekend]]/Ruimtestaat[[#This Row],[Norm (m2/uur) weekend]],0)</f>
        <v>0</v>
      </c>
      <c r="AD214" s="109">
        <f>Ruimtestaat[[#This Row],[uren / jaar weekend]]*Tariefsopbouw!$D$40</f>
        <v>0</v>
      </c>
      <c r="AE214" s="108">
        <f>Ruimtestaat[[#This Row],[Prest. (m2 /jaar) weekend]]+Ruimtestaat[[#This Row],[Prest. (m2 /jaar) werkdagen]]</f>
        <v>1760.0000000000002</v>
      </c>
      <c r="AF214" s="108">
        <f>Ruimtestaat[[#This Row],[uren / jaar weekend]]+Ruimtestaat[[#This Row],[uren / jaar werkdagen]]</f>
        <v>0</v>
      </c>
      <c r="AG214" s="103">
        <f>Ruimtestaat[[#This Row],[kosten / jaar weekend]]+Ruimtestaat[[#This Row],[kosten / jaar werkdagen]]</f>
        <v>0</v>
      </c>
      <c r="AH214" s="103"/>
      <c r="AI214" s="110" t="str">
        <f>IF(Ruimtestaat[[#This Row],[Frequentie werkdagen]]="","",_xlfn.CONCAT(Ruimtestaat[[#This Row],[Ruimte code]],"-",Ruimtestaat[[#This Row],[Frequentie werkdagen]]," ",Ruimtestaat[[#This Row],[Vloer code]]))</f>
        <v>6-5w P</v>
      </c>
      <c r="AJ214" s="114" t="str">
        <f>_xlfn.IFNA(VLOOKUP($AI214,Programma!$F$3:$G$1101,2,0),"")</f>
        <v>_</v>
      </c>
      <c r="AK214" s="114" t="str">
        <f>_xlfn.IFNA(VLOOKUP($AI214,Programma!$F$3:$H$1101,3,0),"")</f>
        <v>_</v>
      </c>
      <c r="AL214" s="114" t="str">
        <f>_xlfn.IFNA(VLOOKUP($AI214,Programma!$F$3:$I$1101,4,0),"")</f>
        <v>5w</v>
      </c>
      <c r="AM214" s="114" t="str">
        <f>_xlfn.IFNA(VLOOKUP($AI214,Programma!$F$3:$J$1101,5,0),"")</f>
        <v>_</v>
      </c>
      <c r="AN214" s="114" t="str">
        <f>_xlfn.IFNA(VLOOKUP($AI214,Programma!$F$3:$K$1101,6,0),"")</f>
        <v>5w</v>
      </c>
      <c r="AO214" s="114" t="str">
        <f>_xlfn.IFNA(VLOOKUP($AI214,Programma!$F$3:$L$1101,7,0),"")</f>
        <v>_</v>
      </c>
      <c r="AP214" s="114" t="str">
        <f>_xlfn.IFNA(VLOOKUP($AI214,Programma!$F$3:$M$1101,8,0),"")</f>
        <v>_</v>
      </c>
      <c r="AQ214" s="114" t="str">
        <f>_xlfn.IFNA(VLOOKUP($AI214,Programma!$F$3:$N$1101,9,0),"")</f>
        <v>_</v>
      </c>
      <c r="AR214" s="114" t="str">
        <f>_xlfn.IFNA(VLOOKUP($AI214,Programma!$F$3:$O$1101,10,0),"")</f>
        <v>5w</v>
      </c>
      <c r="AS214" s="114" t="str">
        <f>_xlfn.IFNA(VLOOKUP($AI214,Programma!$F$3:$P$1101,11,0),"")</f>
        <v>5w</v>
      </c>
      <c r="AT214" s="114" t="str">
        <f>_xlfn.IFNA(VLOOKUP($AI214,Programma!$F$3:$Q$1101,12,0),"")</f>
        <v>1w</v>
      </c>
      <c r="AU214" s="114" t="str">
        <f>_xlfn.IFNA(VLOOKUP($AI214,Programma!$F$3:$R$1101,13,0),"")</f>
        <v>1w</v>
      </c>
      <c r="AV214" s="114" t="str">
        <f>_xlfn.IFNA(VLOOKUP($AI214,Programma!$F$3:$S$1101,14,0),"")</f>
        <v>1m</v>
      </c>
      <c r="AW214" s="114" t="str">
        <f>_xlfn.IFNA(VLOOKUP($AI214,Programma!$F$3:$T$1101,15,0),"")</f>
        <v>2j</v>
      </c>
      <c r="AX214" s="114" t="str">
        <f>_xlfn.IFNA(VLOOKUP($AI214,Programma!$F$3:$U$1101,16,0),"")</f>
        <v>1j</v>
      </c>
      <c r="AY214" s="114" t="str">
        <f>_xlfn.IFNA(VLOOKUP($AI214,Programma!$F$3:$V$1101,17,0),"")</f>
        <v>_</v>
      </c>
      <c r="AZ214" s="114" t="str">
        <f>_xlfn.IFNA(VLOOKUP($AI214,Programma!$F$3:$W$1101,18,0),"")</f>
        <v>_</v>
      </c>
      <c r="BA214" s="114" t="str">
        <f>_xlfn.IFNA(VLOOKUP($AI214,Programma!$F$3:$X$1101,19,0),"")</f>
        <v>_</v>
      </c>
      <c r="BB214" s="114" t="str">
        <f>_xlfn.IFNA(VLOOKUP($AI214,Programma!$F$3:$Y$1101,20,0),"")</f>
        <v>_</v>
      </c>
      <c r="BC214" s="111"/>
      <c r="BD214" s="110" t="str">
        <f>IF(Ruimtestaat[[#This Row],[Frequentie weekend]]="","",_xlfn.CONCAT(Ruimtestaat[[#This Row],[Ruimte code]],"-",Ruimtestaat[[#This Row],[Frequentie weekend]]," ",Ruimtestaat[[#This Row],[Vloer code]]))</f>
        <v/>
      </c>
      <c r="BE214" s="114" t="str">
        <f>_xlfn.IFNA(VLOOKUP($BD214,Programma!$F$3:$G$1101,2,0),"")</f>
        <v/>
      </c>
      <c r="BF214" s="114" t="str">
        <f>_xlfn.IFNA(VLOOKUP($BD214,Programma!$F$3:$H$1101,3,0),"")</f>
        <v/>
      </c>
      <c r="BG214" s="114" t="str">
        <f>_xlfn.IFNA(VLOOKUP($BD214,Programma!$F$3:$I$1101,4,0),"")</f>
        <v/>
      </c>
      <c r="BH214" s="114" t="str">
        <f>_xlfn.IFNA(VLOOKUP($BD214,Programma!$F$3:$J$1101,5,0),"")</f>
        <v/>
      </c>
      <c r="BI214" s="114" t="str">
        <f>_xlfn.IFNA(VLOOKUP($BD214,Programma!$F$3:$K$1101,6,0),"")</f>
        <v/>
      </c>
      <c r="BJ214" s="114" t="str">
        <f>_xlfn.IFNA(VLOOKUP($BD214,Programma!$F$3:$L$1101,7,0),"")</f>
        <v/>
      </c>
      <c r="BK214" s="114" t="str">
        <f>_xlfn.IFNA(VLOOKUP($BD214,Programma!$F$3:$M$1101,8,0),"")</f>
        <v/>
      </c>
      <c r="BL214" s="114" t="str">
        <f>_xlfn.IFNA(VLOOKUP($BD214,Programma!$F$3:$N$1101,9,0),"")</f>
        <v/>
      </c>
      <c r="BM214" s="114" t="str">
        <f>_xlfn.IFNA(VLOOKUP($BD214,Programma!$F$3:$O$1101,10,0),"")</f>
        <v/>
      </c>
      <c r="BN214" s="114" t="str">
        <f>_xlfn.IFNA(VLOOKUP($BD214,Programma!$F$3:$P$1101,11,0),"")</f>
        <v/>
      </c>
      <c r="BO214" s="114" t="str">
        <f>_xlfn.IFNA(VLOOKUP($BD214,Programma!$F$3:$Q$1101,12,0),"")</f>
        <v/>
      </c>
      <c r="BP214" s="114" t="str">
        <f>_xlfn.IFNA(VLOOKUP($BD214,Programma!$F$3:$R$1101,13,0),"")</f>
        <v/>
      </c>
      <c r="BQ214" s="114" t="str">
        <f>_xlfn.IFNA(VLOOKUP($BD214,Programma!$F$3:$S$1101,14,0),"")</f>
        <v/>
      </c>
      <c r="BR214" s="114" t="str">
        <f>_xlfn.IFNA(VLOOKUP($BD214,Programma!$F$3:$T$1101,15,0),"")</f>
        <v/>
      </c>
      <c r="BS214" s="114" t="str">
        <f>_xlfn.IFNA(VLOOKUP($BD214,Programma!$F$3:$U$1101,16,0),"")</f>
        <v/>
      </c>
      <c r="BT214" s="114" t="str">
        <f>_xlfn.IFNA(VLOOKUP($BD214,Programma!$F$3:$V$1101,17,0),"")</f>
        <v/>
      </c>
      <c r="BU214" s="114" t="str">
        <f>_xlfn.IFNA(VLOOKUP($BD214,Programma!$F$3:$W$1101,18,0),"")</f>
        <v/>
      </c>
      <c r="BV214" s="114" t="str">
        <f>_xlfn.IFNA(VLOOKUP($BD214,Programma!$F$3:$X$1101,19,0),"")</f>
        <v/>
      </c>
      <c r="BW214" s="114" t="str">
        <f>_xlfn.IFNA(VLOOKUP($BD214,Programma!$F$3:$Y$1101,20,0),"")</f>
        <v/>
      </c>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c r="EG214" s="28"/>
      <c r="EH214" s="28"/>
      <c r="EI214" s="28"/>
      <c r="EJ214" s="28"/>
      <c r="EK214" s="28"/>
      <c r="EL214" s="28"/>
      <c r="EM214" s="28"/>
      <c r="EN214" s="28"/>
      <c r="EO214" s="28"/>
      <c r="EP214" s="28"/>
      <c r="EQ214" s="28"/>
      <c r="ER214" s="28"/>
      <c r="ES214" s="28"/>
      <c r="ET214" s="28"/>
      <c r="EU214" s="28"/>
      <c r="EV214" s="28"/>
      <c r="EW214" s="28"/>
      <c r="EX214" s="28"/>
      <c r="EY214" s="28"/>
      <c r="EZ214" s="28"/>
      <c r="FA214" s="28"/>
      <c r="FB214" s="28"/>
      <c r="FC214" s="28"/>
      <c r="FD214" s="28"/>
      <c r="FE214" s="28"/>
      <c r="FF214" s="28"/>
      <c r="FG214" s="28"/>
      <c r="FH214" s="28"/>
      <c r="FI214" s="28"/>
      <c r="FJ214" s="28"/>
      <c r="FK214" s="28"/>
      <c r="FL214" s="28"/>
      <c r="FM214" s="28"/>
      <c r="FN214" s="28"/>
      <c r="FO214" s="28"/>
      <c r="FP214" s="28"/>
      <c r="FQ214" s="28"/>
      <c r="FR214" s="28"/>
      <c r="FS214" s="28"/>
      <c r="FT214" s="28"/>
      <c r="FU214" s="28"/>
      <c r="FV214" s="28"/>
      <c r="FW214" s="28"/>
      <c r="FX214" s="28"/>
      <c r="FY214" s="28"/>
      <c r="FZ214" s="28"/>
      <c r="GA214" s="28"/>
      <c r="GB214" s="28"/>
      <c r="GC214" s="28"/>
      <c r="GD214" s="28"/>
      <c r="GE214" s="28"/>
      <c r="GF214" s="28"/>
      <c r="GG214" s="28"/>
      <c r="GH214" s="28"/>
      <c r="GI214" s="28"/>
      <c r="GJ214" s="28"/>
      <c r="GK214" s="28"/>
      <c r="GL214" s="28"/>
      <c r="GM214" s="28"/>
      <c r="GN214" s="28"/>
      <c r="GO214" s="28"/>
      <c r="GP214" s="28"/>
      <c r="GQ214" s="28"/>
      <c r="GR214" s="28"/>
      <c r="GS214" s="28"/>
      <c r="GT214" s="28"/>
      <c r="GU214" s="28"/>
      <c r="GV214" s="28"/>
      <c r="GW214" s="28"/>
      <c r="GX214" s="28"/>
      <c r="GY214" s="28"/>
      <c r="GZ214" s="28"/>
      <c r="HA214" s="28"/>
      <c r="HB214" s="28"/>
      <c r="HC214" s="28"/>
      <c r="HD214" s="28"/>
      <c r="HE214" s="28"/>
      <c r="HF214" s="28"/>
      <c r="HG214" s="28"/>
      <c r="HH214" s="28"/>
      <c r="HI214" s="28"/>
      <c r="HJ214" s="28"/>
      <c r="HK214" s="28"/>
      <c r="HL214" s="28"/>
    </row>
    <row r="215" spans="1:220" ht="15" customHeight="1">
      <c r="A215" s="31">
        <v>5</v>
      </c>
      <c r="B215" s="105" t="str">
        <f>VLOOKUP(Ruimtestaat[[#This Row],[Code]],Locaties[[Code]:[Locatie]],2,FALSE)</f>
        <v>IKC Remigius</v>
      </c>
      <c r="C215" s="105" t="str">
        <f>VLOOKUP(Ruimtestaat[[#This Row],[Code]],Locaties[[#All],[Code]:[Adres]],4,FALSE)</f>
        <v>Liemersplein 1</v>
      </c>
      <c r="D215" s="105" t="str">
        <f>VLOOKUP(Ruimtestaat[[#This Row],[Code]],Locaties[[#All],[Code]:[Postcode]],5,FALSE)</f>
        <v xml:space="preserve">6921 HN </v>
      </c>
      <c r="E215" s="105" t="str">
        <f>VLOOKUP(Ruimtestaat[[#This Row],[Code]],Locaties[#All],6,FALSE)</f>
        <v>Duiven</v>
      </c>
      <c r="F215" s="73"/>
      <c r="G215" s="73" t="s">
        <v>1645</v>
      </c>
      <c r="H215" s="31" t="s">
        <v>1710</v>
      </c>
      <c r="I215" s="113" t="s">
        <v>1724</v>
      </c>
      <c r="J215" s="31">
        <v>16</v>
      </c>
      <c r="K215" s="113" t="str">
        <f>VLOOKUP(Ruimtestaat[[#This Row],[Ruimte code]],Ruimtegroepen[[#All],[Code]:[Ruimte omschrijving]],2,FALSE)</f>
        <v>Leslokalen</v>
      </c>
      <c r="L215" s="73" t="s">
        <v>102</v>
      </c>
      <c r="M215" s="273" t="s">
        <v>120</v>
      </c>
      <c r="N215" s="106">
        <v>59</v>
      </c>
      <c r="O215" s="112"/>
      <c r="P215" s="112"/>
      <c r="Q215" s="107" t="str">
        <f>VLOOKUP(Ruimtestaat[[#This Row],[Ruimte code]],Ruimtegroepen[],4,FALSE)</f>
        <v>Le</v>
      </c>
      <c r="R215" s="73">
        <v>40</v>
      </c>
      <c r="S215" s="73" t="s">
        <v>2</v>
      </c>
      <c r="T215" s="73">
        <f>IF(R215&gt;0,IF(RIGHT(Ruimtestaat[[#This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5" s="73">
        <f>IF(T215&gt;0,VLOOKUP($J215,Ruimtegroepen[],3,FALSE)*VLOOKUP($L215,Vloersoorten[],3,FALSE)*VLOOKUP($S215,Frequenties[],3,FALSE)*VLOOKUP($A215,Locaties[],3,FALSE),0)</f>
        <v>0</v>
      </c>
      <c r="V215" s="73">
        <f>Ruimtestaat[[#This Row],[Uitvoeringen werkdagen]]*Ruimtestaat[[#This Row],[Oppervlak (netto)]]</f>
        <v>11800</v>
      </c>
      <c r="W215" s="108">
        <f>IF(U215&gt;0,Ruimtestaat[[#This Row],[Prest. (m2 /jaar) werkdagen]]/Ruimtestaat[[#This Row],[Norm (m2/uur) werkdagen]],0)</f>
        <v>0</v>
      </c>
      <c r="X215" s="109">
        <f>Ruimtestaat[[#This Row],[uren / jaar werkdagen]]*Tariefsopbouw!$E$35</f>
        <v>0</v>
      </c>
      <c r="Y215" s="73"/>
      <c r="Z215" s="73">
        <f>IF(Ruimtestaat[[#This Row],[Frequentie weekend]]&gt;0,VALUE(LEFT(Y215,1))*R215,0)</f>
        <v>0</v>
      </c>
      <c r="AA215" s="72">
        <f>IF($Z215&gt;0,VLOOKUP($J215,Ruimtegroepen[],3,FALSE)*VLOOKUP($L215,Vloersoorten[],3,FALSE)*VLOOKUP($Y215,Frequenties[],3,FALSE)*VLOOKUP(Ruimtestaat[[#This Row],[Code]],Locaties[],3,FALSE),0)</f>
        <v>0</v>
      </c>
      <c r="AB215" s="72">
        <f>Ruimtestaat[[#This Row],[Uitvoeringen weekend]]*Ruimtestaat[[#This Row],[Oppervlak (netto)]]</f>
        <v>0</v>
      </c>
      <c r="AC215" s="72">
        <f>IF(AA215&gt;0,Ruimtestaat[[#This Row],[Prest. (m2 /jaar) weekend]]/Ruimtestaat[[#This Row],[Norm (m2/uur) weekend]],0)</f>
        <v>0</v>
      </c>
      <c r="AD215" s="109">
        <f>Ruimtestaat[[#This Row],[uren / jaar weekend]]*Tariefsopbouw!$D$40</f>
        <v>0</v>
      </c>
      <c r="AE215" s="108">
        <f>Ruimtestaat[[#This Row],[Prest. (m2 /jaar) weekend]]+Ruimtestaat[[#This Row],[Prest. (m2 /jaar) werkdagen]]</f>
        <v>11800</v>
      </c>
      <c r="AF215" s="108">
        <f>Ruimtestaat[[#This Row],[uren / jaar weekend]]+Ruimtestaat[[#This Row],[uren / jaar werkdagen]]</f>
        <v>0</v>
      </c>
      <c r="AG215" s="103">
        <f>Ruimtestaat[[#This Row],[kosten / jaar weekend]]+Ruimtestaat[[#This Row],[kosten / jaar werkdagen]]</f>
        <v>0</v>
      </c>
      <c r="AH215" s="103"/>
      <c r="AI215" s="110" t="str">
        <f>IF(Ruimtestaat[[#This Row],[Frequentie werkdagen]]="","",_xlfn.CONCAT(Ruimtestaat[[#This Row],[Ruimte code]],"-",Ruimtestaat[[#This Row],[Frequentie werkdagen]]," ",Ruimtestaat[[#This Row],[Vloer code]]))</f>
        <v>16-5w P</v>
      </c>
      <c r="AJ215" s="114" t="str">
        <f>_xlfn.IFNA(VLOOKUP($AI215,Programma!$F$3:$G$1101,2,0),"")</f>
        <v>_</v>
      </c>
      <c r="AK215" s="114" t="str">
        <f>_xlfn.IFNA(VLOOKUP($AI215,Programma!$F$3:$H$1101,3,0),"")</f>
        <v>_</v>
      </c>
      <c r="AL215" s="114" t="str">
        <f>_xlfn.IFNA(VLOOKUP($AI215,Programma!$F$3:$I$1101,4,0),"")</f>
        <v>4w</v>
      </c>
      <c r="AM215" s="114" t="str">
        <f>_xlfn.IFNA(VLOOKUP($AI215,Programma!$F$3:$J$1101,5,0),"")</f>
        <v>1w</v>
      </c>
      <c r="AN215" s="114" t="str">
        <f>_xlfn.IFNA(VLOOKUP($AI215,Programma!$F$3:$K$1101,6,0),"")</f>
        <v>1m</v>
      </c>
      <c r="AO215" s="114" t="str">
        <f>_xlfn.IFNA(VLOOKUP($AI215,Programma!$F$3:$L$1101,7,0),"")</f>
        <v>_</v>
      </c>
      <c r="AP215" s="114" t="str">
        <f>_xlfn.IFNA(VLOOKUP($AI215,Programma!$F$3:$M$1101,8,0),"")</f>
        <v>_</v>
      </c>
      <c r="AQ215" s="114" t="str">
        <f>_xlfn.IFNA(VLOOKUP($AI215,Programma!$F$3:$N$1101,9,0),"")</f>
        <v>_</v>
      </c>
      <c r="AR215" s="114" t="str">
        <f>_xlfn.IFNA(VLOOKUP($AI215,Programma!$F$3:$O$1101,10,0),"")</f>
        <v>5w</v>
      </c>
      <c r="AS215" s="114" t="str">
        <f>_xlfn.IFNA(VLOOKUP($AI215,Programma!$F$3:$P$1101,11,0),"")</f>
        <v>5w</v>
      </c>
      <c r="AT215" s="114" t="str">
        <f>_xlfn.IFNA(VLOOKUP($AI215,Programma!$F$3:$Q$1101,12,0),"")</f>
        <v>1w</v>
      </c>
      <c r="AU215" s="114" t="str">
        <f>_xlfn.IFNA(VLOOKUP($AI215,Programma!$F$3:$R$1101,13,0),"")</f>
        <v>1w</v>
      </c>
      <c r="AV215" s="114" t="str">
        <f>_xlfn.IFNA(VLOOKUP($AI215,Programma!$F$3:$S$1101,14,0),"")</f>
        <v>1m</v>
      </c>
      <c r="AW215" s="114" t="str">
        <f>_xlfn.IFNA(VLOOKUP($AI215,Programma!$F$3:$T$1101,15,0),"")</f>
        <v>2j</v>
      </c>
      <c r="AX215" s="114" t="str">
        <f>_xlfn.IFNA(VLOOKUP($AI215,Programma!$F$3:$U$1101,16,0),"")</f>
        <v>1j</v>
      </c>
      <c r="AY215" s="114" t="str">
        <f>_xlfn.IFNA(VLOOKUP($AI215,Programma!$F$3:$V$1101,17,0),"")</f>
        <v>_</v>
      </c>
      <c r="AZ215" s="114" t="str">
        <f>_xlfn.IFNA(VLOOKUP($AI215,Programma!$F$3:$W$1101,18,0),"")</f>
        <v>_</v>
      </c>
      <c r="BA215" s="114" t="str">
        <f>_xlfn.IFNA(VLOOKUP($AI215,Programma!$F$3:$X$1101,19,0),"")</f>
        <v>_</v>
      </c>
      <c r="BB215" s="114" t="str">
        <f>_xlfn.IFNA(VLOOKUP($AI215,Programma!$F$3:$Y$1101,20,0),"")</f>
        <v>_</v>
      </c>
      <c r="BC215" s="111"/>
      <c r="BD215" s="110" t="str">
        <f>IF(Ruimtestaat[[#This Row],[Frequentie weekend]]="","",_xlfn.CONCAT(Ruimtestaat[[#This Row],[Ruimte code]],"-",Ruimtestaat[[#This Row],[Frequentie weekend]]," ",Ruimtestaat[[#This Row],[Vloer code]]))</f>
        <v/>
      </c>
      <c r="BE215" s="114" t="str">
        <f>_xlfn.IFNA(VLOOKUP($BD215,Programma!$F$3:$G$1101,2,0),"")</f>
        <v/>
      </c>
      <c r="BF215" s="114" t="str">
        <f>_xlfn.IFNA(VLOOKUP($BD215,Programma!$F$3:$H$1101,3,0),"")</f>
        <v/>
      </c>
      <c r="BG215" s="114" t="str">
        <f>_xlfn.IFNA(VLOOKUP($BD215,Programma!$F$3:$I$1101,4,0),"")</f>
        <v/>
      </c>
      <c r="BH215" s="114" t="str">
        <f>_xlfn.IFNA(VLOOKUP($BD215,Programma!$F$3:$J$1101,5,0),"")</f>
        <v/>
      </c>
      <c r="BI215" s="114" t="str">
        <f>_xlfn.IFNA(VLOOKUP($BD215,Programma!$F$3:$K$1101,6,0),"")</f>
        <v/>
      </c>
      <c r="BJ215" s="114" t="str">
        <f>_xlfn.IFNA(VLOOKUP($BD215,Programma!$F$3:$L$1101,7,0),"")</f>
        <v/>
      </c>
      <c r="BK215" s="114" t="str">
        <f>_xlfn.IFNA(VLOOKUP($BD215,Programma!$F$3:$M$1101,8,0),"")</f>
        <v/>
      </c>
      <c r="BL215" s="114" t="str">
        <f>_xlfn.IFNA(VLOOKUP($BD215,Programma!$F$3:$N$1101,9,0),"")</f>
        <v/>
      </c>
      <c r="BM215" s="114" t="str">
        <f>_xlfn.IFNA(VLOOKUP($BD215,Programma!$F$3:$O$1101,10,0),"")</f>
        <v/>
      </c>
      <c r="BN215" s="114" t="str">
        <f>_xlfn.IFNA(VLOOKUP($BD215,Programma!$F$3:$P$1101,11,0),"")</f>
        <v/>
      </c>
      <c r="BO215" s="114" t="str">
        <f>_xlfn.IFNA(VLOOKUP($BD215,Programma!$F$3:$Q$1101,12,0),"")</f>
        <v/>
      </c>
      <c r="BP215" s="114" t="str">
        <f>_xlfn.IFNA(VLOOKUP($BD215,Programma!$F$3:$R$1101,13,0),"")</f>
        <v/>
      </c>
      <c r="BQ215" s="114" t="str">
        <f>_xlfn.IFNA(VLOOKUP($BD215,Programma!$F$3:$S$1101,14,0),"")</f>
        <v/>
      </c>
      <c r="BR215" s="114" t="str">
        <f>_xlfn.IFNA(VLOOKUP($BD215,Programma!$F$3:$T$1101,15,0),"")</f>
        <v/>
      </c>
      <c r="BS215" s="114" t="str">
        <f>_xlfn.IFNA(VLOOKUP($BD215,Programma!$F$3:$U$1101,16,0),"")</f>
        <v/>
      </c>
      <c r="BT215" s="114" t="str">
        <f>_xlfn.IFNA(VLOOKUP($BD215,Programma!$F$3:$V$1101,17,0),"")</f>
        <v/>
      </c>
      <c r="BU215" s="114" t="str">
        <f>_xlfn.IFNA(VLOOKUP($BD215,Programma!$F$3:$W$1101,18,0),"")</f>
        <v/>
      </c>
      <c r="BV215" s="114" t="str">
        <f>_xlfn.IFNA(VLOOKUP($BD215,Programma!$F$3:$X$1101,19,0),"")</f>
        <v/>
      </c>
      <c r="BW215" s="114" t="str">
        <f>_xlfn.IFNA(VLOOKUP($BD215,Programma!$F$3:$Y$1101,20,0),"")</f>
        <v/>
      </c>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c r="ET215" s="28"/>
      <c r="EU215" s="28"/>
      <c r="EV215" s="28"/>
      <c r="EW215" s="28"/>
      <c r="EX215" s="28"/>
      <c r="EY215" s="28"/>
      <c r="EZ215" s="28"/>
      <c r="FA215" s="28"/>
      <c r="FB215" s="28"/>
      <c r="FC215" s="28"/>
      <c r="FD215" s="28"/>
      <c r="FE215" s="28"/>
      <c r="FF215" s="28"/>
      <c r="FG215" s="28"/>
      <c r="FH215" s="28"/>
      <c r="FI215" s="28"/>
      <c r="FJ215" s="28"/>
      <c r="FK215" s="28"/>
      <c r="FL215" s="28"/>
      <c r="FM215" s="28"/>
      <c r="FN215" s="28"/>
      <c r="FO215" s="28"/>
      <c r="FP215" s="28"/>
      <c r="FQ215" s="28"/>
      <c r="FR215" s="28"/>
      <c r="FS215" s="28"/>
      <c r="FT215" s="28"/>
      <c r="FU215" s="28"/>
      <c r="FV215" s="28"/>
      <c r="FW215" s="28"/>
      <c r="FX215" s="28"/>
      <c r="FY215" s="28"/>
      <c r="FZ215" s="28"/>
      <c r="GA215" s="28"/>
      <c r="GB215" s="28"/>
      <c r="GC215" s="28"/>
      <c r="GD215" s="28"/>
      <c r="GE215" s="28"/>
      <c r="GF215" s="28"/>
      <c r="GG215" s="28"/>
      <c r="GH215" s="28"/>
      <c r="GI215" s="28"/>
      <c r="GJ215" s="28"/>
      <c r="GK215" s="28"/>
      <c r="GL215" s="28"/>
      <c r="GM215" s="28"/>
      <c r="GN215" s="28"/>
      <c r="GO215" s="28"/>
      <c r="GP215" s="28"/>
      <c r="GQ215" s="28"/>
      <c r="GR215" s="28"/>
      <c r="GS215" s="28"/>
      <c r="GT215" s="28"/>
      <c r="GU215" s="28"/>
      <c r="GV215" s="28"/>
      <c r="GW215" s="28"/>
      <c r="GX215" s="28"/>
      <c r="GY215" s="28"/>
      <c r="GZ215" s="28"/>
      <c r="HA215" s="28"/>
      <c r="HB215" s="28"/>
      <c r="HC215" s="28"/>
      <c r="HD215" s="28"/>
      <c r="HE215" s="28"/>
      <c r="HF215" s="28"/>
      <c r="HG215" s="28"/>
      <c r="HH215" s="28"/>
      <c r="HI215" s="28"/>
      <c r="HJ215" s="28"/>
      <c r="HK215" s="28"/>
      <c r="HL215" s="28"/>
    </row>
    <row r="216" spans="1:220" ht="15" customHeight="1">
      <c r="A216" s="31">
        <v>5</v>
      </c>
      <c r="B216" s="105" t="str">
        <f>VLOOKUP(Ruimtestaat[[#This Row],[Code]],Locaties[[Code]:[Locatie]],2,FALSE)</f>
        <v>IKC Remigius</v>
      </c>
      <c r="C216" s="105" t="str">
        <f>VLOOKUP(Ruimtestaat[[#This Row],[Code]],Locaties[[#All],[Code]:[Adres]],4,FALSE)</f>
        <v>Liemersplein 1</v>
      </c>
      <c r="D216" s="105" t="str">
        <f>VLOOKUP(Ruimtestaat[[#This Row],[Code]],Locaties[[#All],[Code]:[Postcode]],5,FALSE)</f>
        <v xml:space="preserve">6921 HN </v>
      </c>
      <c r="E216" s="105" t="str">
        <f>VLOOKUP(Ruimtestaat[[#This Row],[Code]],Locaties[#All],6,FALSE)</f>
        <v>Duiven</v>
      </c>
      <c r="F216" s="73" t="s">
        <v>1824</v>
      </c>
      <c r="G216" s="73" t="s">
        <v>1645</v>
      </c>
      <c r="H216" s="31" t="s">
        <v>1711</v>
      </c>
      <c r="I216" s="113" t="s">
        <v>1739</v>
      </c>
      <c r="J216" s="31">
        <v>6</v>
      </c>
      <c r="K216" s="113" t="str">
        <f>VLOOKUP(Ruimtestaat[[#This Row],[Ruimte code]],Ruimtegroepen[[#All],[Code]:[Ruimte omschrijving]],2,FALSE)</f>
        <v>Gangen/hallen</v>
      </c>
      <c r="L216" s="73" t="s">
        <v>102</v>
      </c>
      <c r="M216" s="273" t="s">
        <v>120</v>
      </c>
      <c r="N216" s="106">
        <v>8.8000000000000007</v>
      </c>
      <c r="O216" s="112"/>
      <c r="P216" s="73"/>
      <c r="Q216" s="107" t="str">
        <f>VLOOKUP(Ruimtestaat[[#This Row],[Ruimte code]],Ruimtegroepen[],4,FALSE)</f>
        <v>Ve</v>
      </c>
      <c r="R216" s="73">
        <v>40</v>
      </c>
      <c r="S216" s="73" t="s">
        <v>2</v>
      </c>
      <c r="T216" s="73">
        <f>IF(R216&gt;0,IF(RIGHT(Ruimtestaat[[#This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6" s="73">
        <f>IF(T216&gt;0,VLOOKUP($J216,Ruimtegroepen[],3,FALSE)*VLOOKUP($L216,Vloersoorten[],3,FALSE)*VLOOKUP($S216,Frequenties[],3,FALSE)*VLOOKUP($A216,Locaties[],3,FALSE),0)</f>
        <v>0</v>
      </c>
      <c r="V216" s="73">
        <f>Ruimtestaat[[#This Row],[Uitvoeringen werkdagen]]*Ruimtestaat[[#This Row],[Oppervlak (netto)]]</f>
        <v>1760.0000000000002</v>
      </c>
      <c r="W216" s="108">
        <f>IF(U216&gt;0,Ruimtestaat[[#This Row],[Prest. (m2 /jaar) werkdagen]]/Ruimtestaat[[#This Row],[Norm (m2/uur) werkdagen]],0)</f>
        <v>0</v>
      </c>
      <c r="X216" s="109">
        <f>Ruimtestaat[[#This Row],[uren / jaar werkdagen]]*Tariefsopbouw!$E$35</f>
        <v>0</v>
      </c>
      <c r="Y216" s="73"/>
      <c r="Z216" s="73">
        <f>IF(Ruimtestaat[[#This Row],[Frequentie weekend]]&gt;0,VALUE(LEFT(Y216,1))*R216,0)</f>
        <v>0</v>
      </c>
      <c r="AA216" s="72">
        <f>IF($Z216&gt;0,VLOOKUP($J216,Ruimtegroepen[],3,FALSE)*VLOOKUP($L216,Vloersoorten[],3,FALSE)*VLOOKUP($Y216,Frequenties[],3,FALSE)*VLOOKUP(Ruimtestaat[[#This Row],[Code]],Locaties[],3,FALSE),0)</f>
        <v>0</v>
      </c>
      <c r="AB216" s="72">
        <f>Ruimtestaat[[#This Row],[Uitvoeringen weekend]]*Ruimtestaat[[#This Row],[Oppervlak (netto)]]</f>
        <v>0</v>
      </c>
      <c r="AC216" s="72">
        <f>IF(AA216&gt;0,Ruimtestaat[[#This Row],[Prest. (m2 /jaar) weekend]]/Ruimtestaat[[#This Row],[Norm (m2/uur) weekend]],0)</f>
        <v>0</v>
      </c>
      <c r="AD216" s="109">
        <f>Ruimtestaat[[#This Row],[uren / jaar weekend]]*Tariefsopbouw!$D$40</f>
        <v>0</v>
      </c>
      <c r="AE216" s="108">
        <f>Ruimtestaat[[#This Row],[Prest. (m2 /jaar) weekend]]+Ruimtestaat[[#This Row],[Prest. (m2 /jaar) werkdagen]]</f>
        <v>1760.0000000000002</v>
      </c>
      <c r="AF216" s="108">
        <f>Ruimtestaat[[#This Row],[uren / jaar weekend]]+Ruimtestaat[[#This Row],[uren / jaar werkdagen]]</f>
        <v>0</v>
      </c>
      <c r="AG216" s="103">
        <f>Ruimtestaat[[#This Row],[kosten / jaar weekend]]+Ruimtestaat[[#This Row],[kosten / jaar werkdagen]]</f>
        <v>0</v>
      </c>
      <c r="AH216" s="103"/>
      <c r="AI216" s="110" t="str">
        <f>IF(Ruimtestaat[[#This Row],[Frequentie werkdagen]]="","",_xlfn.CONCAT(Ruimtestaat[[#This Row],[Ruimte code]],"-",Ruimtestaat[[#This Row],[Frequentie werkdagen]]," ",Ruimtestaat[[#This Row],[Vloer code]]))</f>
        <v>6-5w P</v>
      </c>
      <c r="AJ216" s="114" t="str">
        <f>_xlfn.IFNA(VLOOKUP($AI216,Programma!$F$3:$G$1101,2,0),"")</f>
        <v>_</v>
      </c>
      <c r="AK216" s="114" t="str">
        <f>_xlfn.IFNA(VLOOKUP($AI216,Programma!$F$3:$H$1101,3,0),"")</f>
        <v>_</v>
      </c>
      <c r="AL216" s="114" t="str">
        <f>_xlfn.IFNA(VLOOKUP($AI216,Programma!$F$3:$I$1101,4,0),"")</f>
        <v>5w</v>
      </c>
      <c r="AM216" s="114" t="str">
        <f>_xlfn.IFNA(VLOOKUP($AI216,Programma!$F$3:$J$1101,5,0),"")</f>
        <v>_</v>
      </c>
      <c r="AN216" s="114" t="str">
        <f>_xlfn.IFNA(VLOOKUP($AI216,Programma!$F$3:$K$1101,6,0),"")</f>
        <v>5w</v>
      </c>
      <c r="AO216" s="114" t="str">
        <f>_xlfn.IFNA(VLOOKUP($AI216,Programma!$F$3:$L$1101,7,0),"")</f>
        <v>_</v>
      </c>
      <c r="AP216" s="114" t="str">
        <f>_xlfn.IFNA(VLOOKUP($AI216,Programma!$F$3:$M$1101,8,0),"")</f>
        <v>_</v>
      </c>
      <c r="AQ216" s="114" t="str">
        <f>_xlfn.IFNA(VLOOKUP($AI216,Programma!$F$3:$N$1101,9,0),"")</f>
        <v>_</v>
      </c>
      <c r="AR216" s="114" t="str">
        <f>_xlfn.IFNA(VLOOKUP($AI216,Programma!$F$3:$O$1101,10,0),"")</f>
        <v>5w</v>
      </c>
      <c r="AS216" s="114" t="str">
        <f>_xlfn.IFNA(VLOOKUP($AI216,Programma!$F$3:$P$1101,11,0),"")</f>
        <v>5w</v>
      </c>
      <c r="AT216" s="114" t="str">
        <f>_xlfn.IFNA(VLOOKUP($AI216,Programma!$F$3:$Q$1101,12,0),"")</f>
        <v>1w</v>
      </c>
      <c r="AU216" s="114" t="str">
        <f>_xlfn.IFNA(VLOOKUP($AI216,Programma!$F$3:$R$1101,13,0),"")</f>
        <v>1w</v>
      </c>
      <c r="AV216" s="114" t="str">
        <f>_xlfn.IFNA(VLOOKUP($AI216,Programma!$F$3:$S$1101,14,0),"")</f>
        <v>1m</v>
      </c>
      <c r="AW216" s="114" t="str">
        <f>_xlfn.IFNA(VLOOKUP($AI216,Programma!$F$3:$T$1101,15,0),"")</f>
        <v>2j</v>
      </c>
      <c r="AX216" s="114" t="str">
        <f>_xlfn.IFNA(VLOOKUP($AI216,Programma!$F$3:$U$1101,16,0),"")</f>
        <v>1j</v>
      </c>
      <c r="AY216" s="114" t="str">
        <f>_xlfn.IFNA(VLOOKUP($AI216,Programma!$F$3:$V$1101,17,0),"")</f>
        <v>_</v>
      </c>
      <c r="AZ216" s="114" t="str">
        <f>_xlfn.IFNA(VLOOKUP($AI216,Programma!$F$3:$W$1101,18,0),"")</f>
        <v>_</v>
      </c>
      <c r="BA216" s="114" t="str">
        <f>_xlfn.IFNA(VLOOKUP($AI216,Programma!$F$3:$X$1101,19,0),"")</f>
        <v>_</v>
      </c>
      <c r="BB216" s="114" t="str">
        <f>_xlfn.IFNA(VLOOKUP($AI216,Programma!$F$3:$Y$1101,20,0),"")</f>
        <v>_</v>
      </c>
      <c r="BC216" s="111"/>
      <c r="BD216" s="110" t="str">
        <f>IF(Ruimtestaat[[#This Row],[Frequentie weekend]]="","",_xlfn.CONCAT(Ruimtestaat[[#This Row],[Ruimte code]],"-",Ruimtestaat[[#This Row],[Frequentie weekend]]," ",Ruimtestaat[[#This Row],[Vloer code]]))</f>
        <v/>
      </c>
      <c r="BE216" s="114" t="str">
        <f>_xlfn.IFNA(VLOOKUP($BD216,Programma!$F$3:$G$1101,2,0),"")</f>
        <v/>
      </c>
      <c r="BF216" s="114" t="str">
        <f>_xlfn.IFNA(VLOOKUP($BD216,Programma!$F$3:$H$1101,3,0),"")</f>
        <v/>
      </c>
      <c r="BG216" s="114" t="str">
        <f>_xlfn.IFNA(VLOOKUP($BD216,Programma!$F$3:$I$1101,4,0),"")</f>
        <v/>
      </c>
      <c r="BH216" s="114" t="str">
        <f>_xlfn.IFNA(VLOOKUP($BD216,Programma!$F$3:$J$1101,5,0),"")</f>
        <v/>
      </c>
      <c r="BI216" s="114" t="str">
        <f>_xlfn.IFNA(VLOOKUP($BD216,Programma!$F$3:$K$1101,6,0),"")</f>
        <v/>
      </c>
      <c r="BJ216" s="114" t="str">
        <f>_xlfn.IFNA(VLOOKUP($BD216,Programma!$F$3:$L$1101,7,0),"")</f>
        <v/>
      </c>
      <c r="BK216" s="114" t="str">
        <f>_xlfn.IFNA(VLOOKUP($BD216,Programma!$F$3:$M$1101,8,0),"")</f>
        <v/>
      </c>
      <c r="BL216" s="114" t="str">
        <f>_xlfn.IFNA(VLOOKUP($BD216,Programma!$F$3:$N$1101,9,0),"")</f>
        <v/>
      </c>
      <c r="BM216" s="114" t="str">
        <f>_xlfn.IFNA(VLOOKUP($BD216,Programma!$F$3:$O$1101,10,0),"")</f>
        <v/>
      </c>
      <c r="BN216" s="114" t="str">
        <f>_xlfn.IFNA(VLOOKUP($BD216,Programma!$F$3:$P$1101,11,0),"")</f>
        <v/>
      </c>
      <c r="BO216" s="114" t="str">
        <f>_xlfn.IFNA(VLOOKUP($BD216,Programma!$F$3:$Q$1101,12,0),"")</f>
        <v/>
      </c>
      <c r="BP216" s="114" t="str">
        <f>_xlfn.IFNA(VLOOKUP($BD216,Programma!$F$3:$R$1101,13,0),"")</f>
        <v/>
      </c>
      <c r="BQ216" s="114" t="str">
        <f>_xlfn.IFNA(VLOOKUP($BD216,Programma!$F$3:$S$1101,14,0),"")</f>
        <v/>
      </c>
      <c r="BR216" s="114" t="str">
        <f>_xlfn.IFNA(VLOOKUP($BD216,Programma!$F$3:$T$1101,15,0),"")</f>
        <v/>
      </c>
      <c r="BS216" s="114" t="str">
        <f>_xlfn.IFNA(VLOOKUP($BD216,Programma!$F$3:$U$1101,16,0),"")</f>
        <v/>
      </c>
      <c r="BT216" s="114" t="str">
        <f>_xlfn.IFNA(VLOOKUP($BD216,Programma!$F$3:$V$1101,17,0),"")</f>
        <v/>
      </c>
      <c r="BU216" s="114" t="str">
        <f>_xlfn.IFNA(VLOOKUP($BD216,Programma!$F$3:$W$1101,18,0),"")</f>
        <v/>
      </c>
      <c r="BV216" s="114" t="str">
        <f>_xlfn.IFNA(VLOOKUP($BD216,Programma!$F$3:$X$1101,19,0),"")</f>
        <v/>
      </c>
      <c r="BW216" s="114" t="str">
        <f>_xlfn.IFNA(VLOOKUP($BD216,Programma!$F$3:$Y$1101,20,0),"")</f>
        <v/>
      </c>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8"/>
      <c r="FJ216" s="28"/>
      <c r="FK216" s="28"/>
      <c r="FL216" s="28"/>
      <c r="FM216" s="28"/>
      <c r="FN216" s="28"/>
      <c r="FO216" s="28"/>
      <c r="FP216" s="28"/>
      <c r="FQ216" s="28"/>
      <c r="FR216" s="28"/>
      <c r="FS216" s="28"/>
      <c r="FT216" s="28"/>
      <c r="FU216" s="28"/>
      <c r="FV216" s="28"/>
      <c r="FW216" s="28"/>
      <c r="FX216" s="28"/>
      <c r="FY216" s="28"/>
      <c r="FZ216" s="28"/>
      <c r="GA216" s="28"/>
      <c r="GB216" s="28"/>
      <c r="GC216" s="28"/>
      <c r="GD216" s="28"/>
      <c r="GE216" s="28"/>
      <c r="GF216" s="28"/>
      <c r="GG216" s="28"/>
      <c r="GH216" s="28"/>
      <c r="GI216" s="28"/>
      <c r="GJ216" s="28"/>
      <c r="GK216" s="28"/>
      <c r="GL216" s="28"/>
      <c r="GM216" s="28"/>
      <c r="GN216" s="28"/>
      <c r="GO216" s="28"/>
      <c r="GP216" s="28"/>
      <c r="GQ216" s="28"/>
      <c r="GR216" s="28"/>
      <c r="GS216" s="28"/>
      <c r="GT216" s="28"/>
      <c r="GU216" s="28"/>
      <c r="GV216" s="28"/>
      <c r="GW216" s="28"/>
      <c r="GX216" s="28"/>
      <c r="GY216" s="28"/>
      <c r="GZ216" s="28"/>
      <c r="HA216" s="28"/>
      <c r="HB216" s="28"/>
      <c r="HC216" s="28"/>
      <c r="HD216" s="28"/>
      <c r="HE216" s="28"/>
      <c r="HF216" s="28"/>
      <c r="HG216" s="28"/>
      <c r="HH216" s="28"/>
      <c r="HI216" s="28"/>
      <c r="HJ216" s="28"/>
      <c r="HK216" s="28"/>
      <c r="HL216" s="28"/>
    </row>
    <row r="217" spans="1:220" ht="15" customHeight="1">
      <c r="A217" s="31">
        <v>5</v>
      </c>
      <c r="B217" s="105" t="str">
        <f>VLOOKUP(Ruimtestaat[[#This Row],[Code]],Locaties[[Code]:[Locatie]],2,FALSE)</f>
        <v>IKC Remigius</v>
      </c>
      <c r="C217" s="105" t="str">
        <f>VLOOKUP(Ruimtestaat[[#This Row],[Code]],Locaties[[#All],[Code]:[Adres]],4,FALSE)</f>
        <v>Liemersplein 1</v>
      </c>
      <c r="D217" s="105" t="str">
        <f>VLOOKUP(Ruimtestaat[[#This Row],[Code]],Locaties[[#All],[Code]:[Postcode]],5,FALSE)</f>
        <v xml:space="preserve">6921 HN </v>
      </c>
      <c r="E217" s="105" t="str">
        <f>VLOOKUP(Ruimtestaat[[#This Row],[Code]],Locaties[#All],6,FALSE)</f>
        <v>Duiven</v>
      </c>
      <c r="F217" s="73"/>
      <c r="G217" s="73" t="s">
        <v>1645</v>
      </c>
      <c r="H217" s="31" t="s">
        <v>1712</v>
      </c>
      <c r="I217" s="113" t="s">
        <v>1724</v>
      </c>
      <c r="J217" s="31">
        <v>16</v>
      </c>
      <c r="K217" s="113" t="str">
        <f>VLOOKUP(Ruimtestaat[[#This Row],[Ruimte code]],Ruimtegroepen[[#All],[Code]:[Ruimte omschrijving]],2,FALSE)</f>
        <v>Leslokalen</v>
      </c>
      <c r="L217" s="73" t="s">
        <v>102</v>
      </c>
      <c r="M217" s="273" t="s">
        <v>120</v>
      </c>
      <c r="N217" s="106">
        <v>58.4</v>
      </c>
      <c r="O217" s="112"/>
      <c r="P217" s="112"/>
      <c r="Q217" s="107" t="str">
        <f>VLOOKUP(Ruimtestaat[[#This Row],[Ruimte code]],Ruimtegroepen[],4,FALSE)</f>
        <v>Le</v>
      </c>
      <c r="R217" s="73">
        <v>40</v>
      </c>
      <c r="S217" s="73" t="s">
        <v>2</v>
      </c>
      <c r="T217" s="73">
        <f>IF(R217&gt;0,IF(RIGHT(Ruimtestaat[[#This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7" s="73">
        <f>IF(T217&gt;0,VLOOKUP($J217,Ruimtegroepen[],3,FALSE)*VLOOKUP($L217,Vloersoorten[],3,FALSE)*VLOOKUP($S217,Frequenties[],3,FALSE)*VLOOKUP($A217,Locaties[],3,FALSE),0)</f>
        <v>0</v>
      </c>
      <c r="V217" s="73">
        <f>Ruimtestaat[[#This Row],[Uitvoeringen werkdagen]]*Ruimtestaat[[#This Row],[Oppervlak (netto)]]</f>
        <v>11680</v>
      </c>
      <c r="W217" s="108">
        <f>IF(U217&gt;0,Ruimtestaat[[#This Row],[Prest. (m2 /jaar) werkdagen]]/Ruimtestaat[[#This Row],[Norm (m2/uur) werkdagen]],0)</f>
        <v>0</v>
      </c>
      <c r="X217" s="109">
        <f>Ruimtestaat[[#This Row],[uren / jaar werkdagen]]*Tariefsopbouw!$E$35</f>
        <v>0</v>
      </c>
      <c r="Y217" s="73"/>
      <c r="Z217" s="73">
        <f>IF(Ruimtestaat[[#This Row],[Frequentie weekend]]&gt;0,VALUE(LEFT(Y217,1))*R217,0)</f>
        <v>0</v>
      </c>
      <c r="AA217" s="72">
        <f>IF($Z217&gt;0,VLOOKUP($J217,Ruimtegroepen[],3,FALSE)*VLOOKUP($L217,Vloersoorten[],3,FALSE)*VLOOKUP($Y217,Frequenties[],3,FALSE)*VLOOKUP(Ruimtestaat[[#This Row],[Code]],Locaties[],3,FALSE),0)</f>
        <v>0</v>
      </c>
      <c r="AB217" s="72">
        <f>Ruimtestaat[[#This Row],[Uitvoeringen weekend]]*Ruimtestaat[[#This Row],[Oppervlak (netto)]]</f>
        <v>0</v>
      </c>
      <c r="AC217" s="72">
        <f>IF(AA217&gt;0,Ruimtestaat[[#This Row],[Prest. (m2 /jaar) weekend]]/Ruimtestaat[[#This Row],[Norm (m2/uur) weekend]],0)</f>
        <v>0</v>
      </c>
      <c r="AD217" s="109">
        <f>Ruimtestaat[[#This Row],[uren / jaar weekend]]*Tariefsopbouw!$D$40</f>
        <v>0</v>
      </c>
      <c r="AE217" s="108">
        <f>Ruimtestaat[[#This Row],[Prest. (m2 /jaar) weekend]]+Ruimtestaat[[#This Row],[Prest. (m2 /jaar) werkdagen]]</f>
        <v>11680</v>
      </c>
      <c r="AF217" s="108">
        <f>Ruimtestaat[[#This Row],[uren / jaar weekend]]+Ruimtestaat[[#This Row],[uren / jaar werkdagen]]</f>
        <v>0</v>
      </c>
      <c r="AG217" s="103">
        <f>Ruimtestaat[[#This Row],[kosten / jaar weekend]]+Ruimtestaat[[#This Row],[kosten / jaar werkdagen]]</f>
        <v>0</v>
      </c>
      <c r="AH217" s="103"/>
      <c r="AI217" s="110" t="str">
        <f>IF(Ruimtestaat[[#This Row],[Frequentie werkdagen]]="","",_xlfn.CONCAT(Ruimtestaat[[#This Row],[Ruimte code]],"-",Ruimtestaat[[#This Row],[Frequentie werkdagen]]," ",Ruimtestaat[[#This Row],[Vloer code]]))</f>
        <v>16-5w P</v>
      </c>
      <c r="AJ217" s="114" t="str">
        <f>_xlfn.IFNA(VLOOKUP($AI217,Programma!$F$3:$G$1101,2,0),"")</f>
        <v>_</v>
      </c>
      <c r="AK217" s="114" t="str">
        <f>_xlfn.IFNA(VLOOKUP($AI217,Programma!$F$3:$H$1101,3,0),"")</f>
        <v>_</v>
      </c>
      <c r="AL217" s="114" t="str">
        <f>_xlfn.IFNA(VLOOKUP($AI217,Programma!$F$3:$I$1101,4,0),"")</f>
        <v>4w</v>
      </c>
      <c r="AM217" s="114" t="str">
        <f>_xlfn.IFNA(VLOOKUP($AI217,Programma!$F$3:$J$1101,5,0),"")</f>
        <v>1w</v>
      </c>
      <c r="AN217" s="114" t="str">
        <f>_xlfn.IFNA(VLOOKUP($AI217,Programma!$F$3:$K$1101,6,0),"")</f>
        <v>1m</v>
      </c>
      <c r="AO217" s="114" t="str">
        <f>_xlfn.IFNA(VLOOKUP($AI217,Programma!$F$3:$L$1101,7,0),"")</f>
        <v>_</v>
      </c>
      <c r="AP217" s="114" t="str">
        <f>_xlfn.IFNA(VLOOKUP($AI217,Programma!$F$3:$M$1101,8,0),"")</f>
        <v>_</v>
      </c>
      <c r="AQ217" s="114" t="str">
        <f>_xlfn.IFNA(VLOOKUP($AI217,Programma!$F$3:$N$1101,9,0),"")</f>
        <v>_</v>
      </c>
      <c r="AR217" s="114" t="str">
        <f>_xlfn.IFNA(VLOOKUP($AI217,Programma!$F$3:$O$1101,10,0),"")</f>
        <v>5w</v>
      </c>
      <c r="AS217" s="114" t="str">
        <f>_xlfn.IFNA(VLOOKUP($AI217,Programma!$F$3:$P$1101,11,0),"")</f>
        <v>5w</v>
      </c>
      <c r="AT217" s="114" t="str">
        <f>_xlfn.IFNA(VLOOKUP($AI217,Programma!$F$3:$Q$1101,12,0),"")</f>
        <v>1w</v>
      </c>
      <c r="AU217" s="114" t="str">
        <f>_xlfn.IFNA(VLOOKUP($AI217,Programma!$F$3:$R$1101,13,0),"")</f>
        <v>1w</v>
      </c>
      <c r="AV217" s="114" t="str">
        <f>_xlfn.IFNA(VLOOKUP($AI217,Programma!$F$3:$S$1101,14,0),"")</f>
        <v>1m</v>
      </c>
      <c r="AW217" s="114" t="str">
        <f>_xlfn.IFNA(VLOOKUP($AI217,Programma!$F$3:$T$1101,15,0),"")</f>
        <v>2j</v>
      </c>
      <c r="AX217" s="114" t="str">
        <f>_xlfn.IFNA(VLOOKUP($AI217,Programma!$F$3:$U$1101,16,0),"")</f>
        <v>1j</v>
      </c>
      <c r="AY217" s="114" t="str">
        <f>_xlfn.IFNA(VLOOKUP($AI217,Programma!$F$3:$V$1101,17,0),"")</f>
        <v>_</v>
      </c>
      <c r="AZ217" s="114" t="str">
        <f>_xlfn.IFNA(VLOOKUP($AI217,Programma!$F$3:$W$1101,18,0),"")</f>
        <v>_</v>
      </c>
      <c r="BA217" s="114" t="str">
        <f>_xlfn.IFNA(VLOOKUP($AI217,Programma!$F$3:$X$1101,19,0),"")</f>
        <v>_</v>
      </c>
      <c r="BB217" s="114" t="str">
        <f>_xlfn.IFNA(VLOOKUP($AI217,Programma!$F$3:$Y$1101,20,0),"")</f>
        <v>_</v>
      </c>
      <c r="BC217" s="111"/>
      <c r="BD217" s="110" t="str">
        <f>IF(Ruimtestaat[[#This Row],[Frequentie weekend]]="","",_xlfn.CONCAT(Ruimtestaat[[#This Row],[Ruimte code]],"-",Ruimtestaat[[#This Row],[Frequentie weekend]]," ",Ruimtestaat[[#This Row],[Vloer code]]))</f>
        <v/>
      </c>
      <c r="BE217" s="114" t="str">
        <f>_xlfn.IFNA(VLOOKUP($BD217,Programma!$F$3:$G$1101,2,0),"")</f>
        <v/>
      </c>
      <c r="BF217" s="114" t="str">
        <f>_xlfn.IFNA(VLOOKUP($BD217,Programma!$F$3:$H$1101,3,0),"")</f>
        <v/>
      </c>
      <c r="BG217" s="114" t="str">
        <f>_xlfn.IFNA(VLOOKUP($BD217,Programma!$F$3:$I$1101,4,0),"")</f>
        <v/>
      </c>
      <c r="BH217" s="114" t="str">
        <f>_xlfn.IFNA(VLOOKUP($BD217,Programma!$F$3:$J$1101,5,0),"")</f>
        <v/>
      </c>
      <c r="BI217" s="114" t="str">
        <f>_xlfn.IFNA(VLOOKUP($BD217,Programma!$F$3:$K$1101,6,0),"")</f>
        <v/>
      </c>
      <c r="BJ217" s="114" t="str">
        <f>_xlfn.IFNA(VLOOKUP($BD217,Programma!$F$3:$L$1101,7,0),"")</f>
        <v/>
      </c>
      <c r="BK217" s="114" t="str">
        <f>_xlfn.IFNA(VLOOKUP($BD217,Programma!$F$3:$M$1101,8,0),"")</f>
        <v/>
      </c>
      <c r="BL217" s="114" t="str">
        <f>_xlfn.IFNA(VLOOKUP($BD217,Programma!$F$3:$N$1101,9,0),"")</f>
        <v/>
      </c>
      <c r="BM217" s="114" t="str">
        <f>_xlfn.IFNA(VLOOKUP($BD217,Programma!$F$3:$O$1101,10,0),"")</f>
        <v/>
      </c>
      <c r="BN217" s="114" t="str">
        <f>_xlfn.IFNA(VLOOKUP($BD217,Programma!$F$3:$P$1101,11,0),"")</f>
        <v/>
      </c>
      <c r="BO217" s="114" t="str">
        <f>_xlfn.IFNA(VLOOKUP($BD217,Programma!$F$3:$Q$1101,12,0),"")</f>
        <v/>
      </c>
      <c r="BP217" s="114" t="str">
        <f>_xlfn.IFNA(VLOOKUP($BD217,Programma!$F$3:$R$1101,13,0),"")</f>
        <v/>
      </c>
      <c r="BQ217" s="114" t="str">
        <f>_xlfn.IFNA(VLOOKUP($BD217,Programma!$F$3:$S$1101,14,0),"")</f>
        <v/>
      </c>
      <c r="BR217" s="114" t="str">
        <f>_xlfn.IFNA(VLOOKUP($BD217,Programma!$F$3:$T$1101,15,0),"")</f>
        <v/>
      </c>
      <c r="BS217" s="114" t="str">
        <f>_xlfn.IFNA(VLOOKUP($BD217,Programma!$F$3:$U$1101,16,0),"")</f>
        <v/>
      </c>
      <c r="BT217" s="114" t="str">
        <f>_xlfn.IFNA(VLOOKUP($BD217,Programma!$F$3:$V$1101,17,0),"")</f>
        <v/>
      </c>
      <c r="BU217" s="114" t="str">
        <f>_xlfn.IFNA(VLOOKUP($BD217,Programma!$F$3:$W$1101,18,0),"")</f>
        <v/>
      </c>
      <c r="BV217" s="114" t="str">
        <f>_xlfn.IFNA(VLOOKUP($BD217,Programma!$F$3:$X$1101,19,0),"")</f>
        <v/>
      </c>
      <c r="BW217" s="114" t="str">
        <f>_xlfn.IFNA(VLOOKUP($BD217,Programma!$F$3:$Y$1101,20,0),"")</f>
        <v/>
      </c>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c r="ET217" s="28"/>
      <c r="EU217" s="28"/>
      <c r="EV217" s="28"/>
      <c r="EW217" s="28"/>
      <c r="EX217" s="28"/>
      <c r="EY217" s="28"/>
      <c r="EZ217" s="28"/>
      <c r="FA217" s="28"/>
      <c r="FB217" s="28"/>
      <c r="FC217" s="28"/>
      <c r="FD217" s="28"/>
      <c r="FE217" s="28"/>
      <c r="FF217" s="28"/>
      <c r="FG217" s="28"/>
      <c r="FH217" s="28"/>
      <c r="FI217" s="28"/>
      <c r="FJ217" s="28"/>
      <c r="FK217" s="28"/>
      <c r="FL217" s="28"/>
      <c r="FM217" s="28"/>
      <c r="FN217" s="28"/>
      <c r="FO217" s="28"/>
      <c r="FP217" s="28"/>
      <c r="FQ217" s="28"/>
      <c r="FR217" s="28"/>
      <c r="FS217" s="28"/>
      <c r="FT217" s="28"/>
      <c r="FU217" s="28"/>
      <c r="FV217" s="28"/>
      <c r="FW217" s="28"/>
      <c r="FX217" s="28"/>
      <c r="FY217" s="28"/>
      <c r="FZ217" s="28"/>
      <c r="GA217" s="28"/>
      <c r="GB217" s="28"/>
      <c r="GC217" s="28"/>
      <c r="GD217" s="28"/>
      <c r="GE217" s="28"/>
      <c r="GF217" s="28"/>
      <c r="GG217" s="28"/>
      <c r="GH217" s="28"/>
      <c r="GI217" s="28"/>
      <c r="GJ217" s="28"/>
      <c r="GK217" s="28"/>
      <c r="GL217" s="28"/>
      <c r="GM217" s="28"/>
      <c r="GN217" s="28"/>
      <c r="GO217" s="28"/>
      <c r="GP217" s="28"/>
      <c r="GQ217" s="28"/>
      <c r="GR217" s="28"/>
      <c r="GS217" s="28"/>
      <c r="GT217" s="28"/>
      <c r="GU217" s="28"/>
      <c r="GV217" s="28"/>
      <c r="GW217" s="28"/>
      <c r="GX217" s="28"/>
      <c r="GY217" s="28"/>
      <c r="GZ217" s="28"/>
      <c r="HA217" s="28"/>
      <c r="HB217" s="28"/>
      <c r="HC217" s="28"/>
      <c r="HD217" s="28"/>
      <c r="HE217" s="28"/>
      <c r="HF217" s="28"/>
      <c r="HG217" s="28"/>
      <c r="HH217" s="28"/>
      <c r="HI217" s="28"/>
      <c r="HJ217" s="28"/>
      <c r="HK217" s="28"/>
      <c r="HL217" s="28"/>
    </row>
    <row r="218" spans="1:220" ht="15" customHeight="1">
      <c r="A218" s="31">
        <v>5</v>
      </c>
      <c r="B218" s="105" t="str">
        <f>VLOOKUP(Ruimtestaat[[#This Row],[Code]],Locaties[[Code]:[Locatie]],2,FALSE)</f>
        <v>IKC Remigius</v>
      </c>
      <c r="C218" s="105" t="str">
        <f>VLOOKUP(Ruimtestaat[[#This Row],[Code]],Locaties[[#All],[Code]:[Adres]],4,FALSE)</f>
        <v>Liemersplein 1</v>
      </c>
      <c r="D218" s="105" t="str">
        <f>VLOOKUP(Ruimtestaat[[#This Row],[Code]],Locaties[[#All],[Code]:[Postcode]],5,FALSE)</f>
        <v xml:space="preserve">6921 HN </v>
      </c>
      <c r="E218" s="105" t="str">
        <f>VLOOKUP(Ruimtestaat[[#This Row],[Code]],Locaties[#All],6,FALSE)</f>
        <v>Duiven</v>
      </c>
      <c r="F218" s="73"/>
      <c r="G218" s="73" t="s">
        <v>1645</v>
      </c>
      <c r="H218" s="31" t="s">
        <v>1713</v>
      </c>
      <c r="I218" s="113" t="s">
        <v>1813</v>
      </c>
      <c r="J218" s="31">
        <v>1</v>
      </c>
      <c r="K218" s="113" t="str">
        <f>VLOOKUP(Ruimtestaat[[#This Row],[Ruimte code]],Ruimtegroepen[[#All],[Code]:[Ruimte omschrijving]],2,FALSE)</f>
        <v>Magazijnen/bergingen</v>
      </c>
      <c r="L218" s="73" t="s">
        <v>102</v>
      </c>
      <c r="M218" s="273" t="s">
        <v>120</v>
      </c>
      <c r="N218" s="106">
        <v>0.5</v>
      </c>
      <c r="O218" s="112"/>
      <c r="P218" s="112"/>
      <c r="Q218" s="107" t="str">
        <f>VLOOKUP(Ruimtestaat[[#This Row],[Ruimte code]],Ruimtegroepen[],4,FALSE)</f>
        <v>Ve</v>
      </c>
      <c r="R218" s="73">
        <v>40</v>
      </c>
      <c r="S218" s="73" t="s">
        <v>16</v>
      </c>
      <c r="T218" s="73">
        <f>IF(R218&gt;0,IF(RIGHT(Ruimtestaat[[#This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18" s="73">
        <f>IF(T218&gt;0,VLOOKUP($J218,Ruimtegroepen[],3,FALSE)*VLOOKUP($L218,Vloersoorten[],3,FALSE)*VLOOKUP($S218,Frequenties[],3,FALSE)*VLOOKUP($A218,Locaties[],3,FALSE),0)</f>
        <v>0</v>
      </c>
      <c r="V218" s="73">
        <f>Ruimtestaat[[#This Row],[Uitvoeringen werkdagen]]*Ruimtestaat[[#This Row],[Oppervlak (netto)]]</f>
        <v>6</v>
      </c>
      <c r="W218" s="108">
        <f>IF(U218&gt;0,Ruimtestaat[[#This Row],[Prest. (m2 /jaar) werkdagen]]/Ruimtestaat[[#This Row],[Norm (m2/uur) werkdagen]],0)</f>
        <v>0</v>
      </c>
      <c r="X218" s="109">
        <f>Ruimtestaat[[#This Row],[uren / jaar werkdagen]]*Tariefsopbouw!$E$35</f>
        <v>0</v>
      </c>
      <c r="Y218" s="73"/>
      <c r="Z218" s="73">
        <f>IF(Ruimtestaat[[#This Row],[Frequentie weekend]]&gt;0,VALUE(LEFT(Y218,1))*R218,0)</f>
        <v>0</v>
      </c>
      <c r="AA218" s="72">
        <f>IF($Z218&gt;0,VLOOKUP($J218,Ruimtegroepen[],3,FALSE)*VLOOKUP($L218,Vloersoorten[],3,FALSE)*VLOOKUP($Y218,Frequenties[],3,FALSE)*VLOOKUP(Ruimtestaat[[#This Row],[Code]],Locaties[],3,FALSE),0)</f>
        <v>0</v>
      </c>
      <c r="AB218" s="72">
        <f>Ruimtestaat[[#This Row],[Uitvoeringen weekend]]*Ruimtestaat[[#This Row],[Oppervlak (netto)]]</f>
        <v>0</v>
      </c>
      <c r="AC218" s="72">
        <f>IF(AA218&gt;0,Ruimtestaat[[#This Row],[Prest. (m2 /jaar) weekend]]/Ruimtestaat[[#This Row],[Norm (m2/uur) weekend]],0)</f>
        <v>0</v>
      </c>
      <c r="AD218" s="109">
        <f>Ruimtestaat[[#This Row],[uren / jaar weekend]]*Tariefsopbouw!$D$40</f>
        <v>0</v>
      </c>
      <c r="AE218" s="108">
        <f>Ruimtestaat[[#This Row],[Prest. (m2 /jaar) weekend]]+Ruimtestaat[[#This Row],[Prest. (m2 /jaar) werkdagen]]</f>
        <v>6</v>
      </c>
      <c r="AF218" s="108">
        <f>Ruimtestaat[[#This Row],[uren / jaar weekend]]+Ruimtestaat[[#This Row],[uren / jaar werkdagen]]</f>
        <v>0</v>
      </c>
      <c r="AG218" s="103">
        <f>Ruimtestaat[[#This Row],[kosten / jaar weekend]]+Ruimtestaat[[#This Row],[kosten / jaar werkdagen]]</f>
        <v>0</v>
      </c>
      <c r="AH218" s="103"/>
      <c r="AI218" s="110" t="str">
        <f>IF(Ruimtestaat[[#This Row],[Frequentie werkdagen]]="","",_xlfn.CONCAT(Ruimtestaat[[#This Row],[Ruimte code]],"-",Ruimtestaat[[#This Row],[Frequentie werkdagen]]," ",Ruimtestaat[[#This Row],[Vloer code]]))</f>
        <v>1-1m P</v>
      </c>
      <c r="AJ218" s="114" t="str">
        <f>_xlfn.IFNA(VLOOKUP($AI218,Programma!$F$3:$G$1101,2,0),"")</f>
        <v>_</v>
      </c>
      <c r="AK218" s="114" t="str">
        <f>_xlfn.IFNA(VLOOKUP($AI218,Programma!$F$3:$H$1101,3,0),"")</f>
        <v>_</v>
      </c>
      <c r="AL218" s="114" t="str">
        <f>_xlfn.IFNA(VLOOKUP($AI218,Programma!$F$3:$I$1101,4,0),"")</f>
        <v>1m</v>
      </c>
      <c r="AM218" s="114" t="str">
        <f>_xlfn.IFNA(VLOOKUP($AI218,Programma!$F$3:$J$1101,5,0),"")</f>
        <v>1m</v>
      </c>
      <c r="AN218" s="114" t="str">
        <f>_xlfn.IFNA(VLOOKUP($AI218,Programma!$F$3:$K$1101,6,0),"")</f>
        <v>1j</v>
      </c>
      <c r="AO218" s="114" t="str">
        <f>_xlfn.IFNA(VLOOKUP($AI218,Programma!$F$3:$L$1101,7,0),"")</f>
        <v>_</v>
      </c>
      <c r="AP218" s="114" t="str">
        <f>_xlfn.IFNA(VLOOKUP($AI218,Programma!$F$3:$M$1101,8,0),"")</f>
        <v>_</v>
      </c>
      <c r="AQ218" s="114" t="str">
        <f>_xlfn.IFNA(VLOOKUP($AI218,Programma!$F$3:$N$1101,9,0),"")</f>
        <v>_</v>
      </c>
      <c r="AR218" s="114" t="str">
        <f>_xlfn.IFNA(VLOOKUP($AI218,Programma!$F$3:$O$1101,10,0),"")</f>
        <v>_</v>
      </c>
      <c r="AS218" s="114" t="str">
        <f>_xlfn.IFNA(VLOOKUP($AI218,Programma!$F$3:$P$1101,11,0),"")</f>
        <v>_</v>
      </c>
      <c r="AT218" s="114" t="str">
        <f>_xlfn.IFNA(VLOOKUP($AI218,Programma!$F$3:$Q$1101,12,0),"")</f>
        <v>_</v>
      </c>
      <c r="AU218" s="114" t="str">
        <f>_xlfn.IFNA(VLOOKUP($AI218,Programma!$F$3:$R$1101,13,0),"")</f>
        <v>_</v>
      </c>
      <c r="AV218" s="114" t="str">
        <f>_xlfn.IFNA(VLOOKUP($AI218,Programma!$F$3:$S$1101,14,0),"")</f>
        <v>1m</v>
      </c>
      <c r="AW218" s="114" t="str">
        <f>_xlfn.IFNA(VLOOKUP($AI218,Programma!$F$3:$T$1101,15,0),"")</f>
        <v>4j</v>
      </c>
      <c r="AX218" s="114" t="str">
        <f>_xlfn.IFNA(VLOOKUP($AI218,Programma!$F$3:$U$1101,16,0),"")</f>
        <v>4j</v>
      </c>
      <c r="AY218" s="114" t="str">
        <f>_xlfn.IFNA(VLOOKUP($AI218,Programma!$F$3:$V$1101,17,0),"")</f>
        <v>_</v>
      </c>
      <c r="AZ218" s="114" t="str">
        <f>_xlfn.IFNA(VLOOKUP($AI218,Programma!$F$3:$W$1101,18,0),"")</f>
        <v>_</v>
      </c>
      <c r="BA218" s="114" t="str">
        <f>_xlfn.IFNA(VLOOKUP($AI218,Programma!$F$3:$X$1101,19,0),"")</f>
        <v>_</v>
      </c>
      <c r="BB218" s="114" t="str">
        <f>_xlfn.IFNA(VLOOKUP($AI218,Programma!$F$3:$Y$1101,20,0),"")</f>
        <v>_</v>
      </c>
      <c r="BC218" s="111"/>
      <c r="BD218" s="110" t="str">
        <f>IF(Ruimtestaat[[#This Row],[Frequentie weekend]]="","",_xlfn.CONCAT(Ruimtestaat[[#This Row],[Ruimte code]],"-",Ruimtestaat[[#This Row],[Frequentie weekend]]," ",Ruimtestaat[[#This Row],[Vloer code]]))</f>
        <v/>
      </c>
      <c r="BE218" s="114" t="str">
        <f>_xlfn.IFNA(VLOOKUP($BD218,Programma!$F$3:$G$1101,2,0),"")</f>
        <v/>
      </c>
      <c r="BF218" s="114" t="str">
        <f>_xlfn.IFNA(VLOOKUP($BD218,Programma!$F$3:$H$1101,3,0),"")</f>
        <v/>
      </c>
      <c r="BG218" s="114" t="str">
        <f>_xlfn.IFNA(VLOOKUP($BD218,Programma!$F$3:$I$1101,4,0),"")</f>
        <v/>
      </c>
      <c r="BH218" s="114" t="str">
        <f>_xlfn.IFNA(VLOOKUP($BD218,Programma!$F$3:$J$1101,5,0),"")</f>
        <v/>
      </c>
      <c r="BI218" s="114" t="str">
        <f>_xlfn.IFNA(VLOOKUP($BD218,Programma!$F$3:$K$1101,6,0),"")</f>
        <v/>
      </c>
      <c r="BJ218" s="114" t="str">
        <f>_xlfn.IFNA(VLOOKUP($BD218,Programma!$F$3:$L$1101,7,0),"")</f>
        <v/>
      </c>
      <c r="BK218" s="114" t="str">
        <f>_xlfn.IFNA(VLOOKUP($BD218,Programma!$F$3:$M$1101,8,0),"")</f>
        <v/>
      </c>
      <c r="BL218" s="114" t="str">
        <f>_xlfn.IFNA(VLOOKUP($BD218,Programma!$F$3:$N$1101,9,0),"")</f>
        <v/>
      </c>
      <c r="BM218" s="114" t="str">
        <f>_xlfn.IFNA(VLOOKUP($BD218,Programma!$F$3:$O$1101,10,0),"")</f>
        <v/>
      </c>
      <c r="BN218" s="114" t="str">
        <f>_xlfn.IFNA(VLOOKUP($BD218,Programma!$F$3:$P$1101,11,0),"")</f>
        <v/>
      </c>
      <c r="BO218" s="114" t="str">
        <f>_xlfn.IFNA(VLOOKUP($BD218,Programma!$F$3:$Q$1101,12,0),"")</f>
        <v/>
      </c>
      <c r="BP218" s="114" t="str">
        <f>_xlfn.IFNA(VLOOKUP($BD218,Programma!$F$3:$R$1101,13,0),"")</f>
        <v/>
      </c>
      <c r="BQ218" s="114" t="str">
        <f>_xlfn.IFNA(VLOOKUP($BD218,Programma!$F$3:$S$1101,14,0),"")</f>
        <v/>
      </c>
      <c r="BR218" s="114" t="str">
        <f>_xlfn.IFNA(VLOOKUP($BD218,Programma!$F$3:$T$1101,15,0),"")</f>
        <v/>
      </c>
      <c r="BS218" s="114" t="str">
        <f>_xlfn.IFNA(VLOOKUP($BD218,Programma!$F$3:$U$1101,16,0),"")</f>
        <v/>
      </c>
      <c r="BT218" s="114" t="str">
        <f>_xlfn.IFNA(VLOOKUP($BD218,Programma!$F$3:$V$1101,17,0),"")</f>
        <v/>
      </c>
      <c r="BU218" s="114" t="str">
        <f>_xlfn.IFNA(VLOOKUP($BD218,Programma!$F$3:$W$1101,18,0),"")</f>
        <v/>
      </c>
      <c r="BV218" s="114" t="str">
        <f>_xlfn.IFNA(VLOOKUP($BD218,Programma!$F$3:$X$1101,19,0),"")</f>
        <v/>
      </c>
      <c r="BW218" s="114" t="str">
        <f>_xlfn.IFNA(VLOOKUP($BD218,Programma!$F$3:$Y$1101,20,0),"")</f>
        <v/>
      </c>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c r="DE218" s="28"/>
      <c r="DF218" s="28"/>
      <c r="DG218" s="28"/>
      <c r="DH218" s="28"/>
      <c r="DI218" s="28"/>
      <c r="DJ218" s="28"/>
      <c r="DK218" s="28"/>
      <c r="DL218" s="28"/>
      <c r="DM218" s="28"/>
      <c r="DN218" s="28"/>
      <c r="DO218" s="28"/>
      <c r="DP218" s="28"/>
      <c r="DQ218" s="28"/>
      <c r="DR218" s="28"/>
      <c r="DS218" s="28"/>
      <c r="DT218" s="28"/>
      <c r="DU218" s="28"/>
      <c r="DV218" s="28"/>
      <c r="DW218" s="28"/>
      <c r="DX218" s="28"/>
      <c r="DY218" s="28"/>
      <c r="DZ218" s="28"/>
      <c r="EA218" s="28"/>
      <c r="EB218" s="28"/>
      <c r="EC218" s="28"/>
      <c r="ED218" s="28"/>
      <c r="EE218" s="28"/>
      <c r="EF218" s="28"/>
      <c r="EG218" s="28"/>
      <c r="EH218" s="28"/>
      <c r="EI218" s="28"/>
      <c r="EJ218" s="28"/>
      <c r="EK218" s="28"/>
      <c r="EL218" s="28"/>
      <c r="EM218" s="28"/>
      <c r="EN218" s="28"/>
      <c r="EO218" s="28"/>
      <c r="EP218" s="28"/>
      <c r="EQ218" s="28"/>
      <c r="ER218" s="28"/>
      <c r="ES218" s="28"/>
      <c r="ET218" s="28"/>
      <c r="EU218" s="28"/>
      <c r="EV218" s="28"/>
      <c r="EW218" s="28"/>
      <c r="EX218" s="28"/>
      <c r="EY218" s="28"/>
      <c r="EZ218" s="28"/>
      <c r="FA218" s="28"/>
      <c r="FB218" s="28"/>
      <c r="FC218" s="28"/>
      <c r="FD218" s="28"/>
      <c r="FE218" s="28"/>
      <c r="FF218" s="28"/>
      <c r="FG218" s="28"/>
      <c r="FH218" s="28"/>
      <c r="FI218" s="28"/>
      <c r="FJ218" s="28"/>
      <c r="FK218" s="28"/>
      <c r="FL218" s="28"/>
      <c r="FM218" s="28"/>
      <c r="FN218" s="28"/>
      <c r="FO218" s="28"/>
      <c r="FP218" s="28"/>
      <c r="FQ218" s="28"/>
      <c r="FR218" s="28"/>
      <c r="FS218" s="28"/>
      <c r="FT218" s="28"/>
      <c r="FU218" s="28"/>
      <c r="FV218" s="28"/>
      <c r="FW218" s="28"/>
      <c r="FX218" s="28"/>
      <c r="FY218" s="28"/>
      <c r="FZ218" s="28"/>
      <c r="GA218" s="28"/>
      <c r="GB218" s="28"/>
      <c r="GC218" s="28"/>
      <c r="GD218" s="28"/>
      <c r="GE218" s="28"/>
      <c r="GF218" s="28"/>
      <c r="GG218" s="28"/>
      <c r="GH218" s="28"/>
      <c r="GI218" s="28"/>
      <c r="GJ218" s="28"/>
      <c r="GK218" s="28"/>
      <c r="GL218" s="28"/>
      <c r="GM218" s="28"/>
      <c r="GN218" s="28"/>
      <c r="GO218" s="28"/>
      <c r="GP218" s="28"/>
      <c r="GQ218" s="28"/>
      <c r="GR218" s="28"/>
      <c r="GS218" s="28"/>
      <c r="GT218" s="28"/>
      <c r="GU218" s="28"/>
      <c r="GV218" s="28"/>
      <c r="GW218" s="28"/>
      <c r="GX218" s="28"/>
      <c r="GY218" s="28"/>
      <c r="GZ218" s="28"/>
      <c r="HA218" s="28"/>
      <c r="HB218" s="28"/>
      <c r="HC218" s="28"/>
      <c r="HD218" s="28"/>
      <c r="HE218" s="28"/>
      <c r="HF218" s="28"/>
      <c r="HG218" s="28"/>
      <c r="HH218" s="28"/>
      <c r="HI218" s="28"/>
      <c r="HJ218" s="28"/>
      <c r="HK218" s="28"/>
      <c r="HL218" s="28"/>
    </row>
    <row r="219" spans="1:220" ht="15" customHeight="1">
      <c r="A219" s="31">
        <v>5</v>
      </c>
      <c r="B219" s="105" t="str">
        <f>VLOOKUP(Ruimtestaat[[#This Row],[Code]],Locaties[[Code]:[Locatie]],2,FALSE)</f>
        <v>IKC Remigius</v>
      </c>
      <c r="C219" s="105" t="str">
        <f>VLOOKUP(Ruimtestaat[[#This Row],[Code]],Locaties[[#All],[Code]:[Adres]],4,FALSE)</f>
        <v>Liemersplein 1</v>
      </c>
      <c r="D219" s="105" t="str">
        <f>VLOOKUP(Ruimtestaat[[#This Row],[Code]],Locaties[[#All],[Code]:[Postcode]],5,FALSE)</f>
        <v xml:space="preserve">6921 HN </v>
      </c>
      <c r="E219" s="105" t="str">
        <f>VLOOKUP(Ruimtestaat[[#This Row],[Code]],Locaties[#All],6,FALSE)</f>
        <v>Duiven</v>
      </c>
      <c r="F219" s="73"/>
      <c r="G219" s="73" t="s">
        <v>1645</v>
      </c>
      <c r="H219" s="31" t="s">
        <v>1714</v>
      </c>
      <c r="I219" s="113" t="s">
        <v>1813</v>
      </c>
      <c r="J219" s="31">
        <v>1</v>
      </c>
      <c r="K219" s="113" t="str">
        <f>VLOOKUP(Ruimtestaat[[#This Row],[Ruimte code]],Ruimtegroepen[[#All],[Code]:[Ruimte omschrijving]],2,FALSE)</f>
        <v>Magazijnen/bergingen</v>
      </c>
      <c r="L219" s="73" t="s">
        <v>102</v>
      </c>
      <c r="M219" s="273" t="s">
        <v>120</v>
      </c>
      <c r="N219" s="106">
        <v>0.5</v>
      </c>
      <c r="O219" s="112"/>
      <c r="P219" s="73"/>
      <c r="Q219" s="107" t="str">
        <f>VLOOKUP(Ruimtestaat[[#This Row],[Ruimte code]],Ruimtegroepen[],4,FALSE)</f>
        <v>Ve</v>
      </c>
      <c r="R219" s="73">
        <v>40</v>
      </c>
      <c r="S219" s="73" t="s">
        <v>16</v>
      </c>
      <c r="T219" s="73">
        <f>IF(R219&gt;0,IF(RIGHT(Ruimtestaat[[#This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19" s="73">
        <f>IF(T219&gt;0,VLOOKUP($J219,Ruimtegroepen[],3,FALSE)*VLOOKUP($L219,Vloersoorten[],3,FALSE)*VLOOKUP($S219,Frequenties[],3,FALSE)*VLOOKUP($A219,Locaties[],3,FALSE),0)</f>
        <v>0</v>
      </c>
      <c r="V219" s="73">
        <f>Ruimtestaat[[#This Row],[Uitvoeringen werkdagen]]*Ruimtestaat[[#This Row],[Oppervlak (netto)]]</f>
        <v>6</v>
      </c>
      <c r="W219" s="108">
        <f>IF(U219&gt;0,Ruimtestaat[[#This Row],[Prest. (m2 /jaar) werkdagen]]/Ruimtestaat[[#This Row],[Norm (m2/uur) werkdagen]],0)</f>
        <v>0</v>
      </c>
      <c r="X219" s="109">
        <f>Ruimtestaat[[#This Row],[uren / jaar werkdagen]]*Tariefsopbouw!$E$35</f>
        <v>0</v>
      </c>
      <c r="Y219" s="73"/>
      <c r="Z219" s="73">
        <f>IF(Ruimtestaat[[#This Row],[Frequentie weekend]]&gt;0,VALUE(LEFT(Y219,1))*R219,0)</f>
        <v>0</v>
      </c>
      <c r="AA219" s="72">
        <f>IF($Z219&gt;0,VLOOKUP($J219,Ruimtegroepen[],3,FALSE)*VLOOKUP($L219,Vloersoorten[],3,FALSE)*VLOOKUP($Y219,Frequenties[],3,FALSE)*VLOOKUP(Ruimtestaat[[#This Row],[Code]],Locaties[],3,FALSE),0)</f>
        <v>0</v>
      </c>
      <c r="AB219" s="72">
        <f>Ruimtestaat[[#This Row],[Uitvoeringen weekend]]*Ruimtestaat[[#This Row],[Oppervlak (netto)]]</f>
        <v>0</v>
      </c>
      <c r="AC219" s="72">
        <f>IF(AA219&gt;0,Ruimtestaat[[#This Row],[Prest. (m2 /jaar) weekend]]/Ruimtestaat[[#This Row],[Norm (m2/uur) weekend]],0)</f>
        <v>0</v>
      </c>
      <c r="AD219" s="109">
        <f>Ruimtestaat[[#This Row],[uren / jaar weekend]]*Tariefsopbouw!$D$40</f>
        <v>0</v>
      </c>
      <c r="AE219" s="108">
        <f>Ruimtestaat[[#This Row],[Prest. (m2 /jaar) weekend]]+Ruimtestaat[[#This Row],[Prest. (m2 /jaar) werkdagen]]</f>
        <v>6</v>
      </c>
      <c r="AF219" s="108">
        <f>Ruimtestaat[[#This Row],[uren / jaar weekend]]+Ruimtestaat[[#This Row],[uren / jaar werkdagen]]</f>
        <v>0</v>
      </c>
      <c r="AG219" s="103">
        <f>Ruimtestaat[[#This Row],[kosten / jaar weekend]]+Ruimtestaat[[#This Row],[kosten / jaar werkdagen]]</f>
        <v>0</v>
      </c>
      <c r="AH219" s="103"/>
      <c r="AI219" s="110" t="str">
        <f>IF(Ruimtestaat[[#This Row],[Frequentie werkdagen]]="","",_xlfn.CONCAT(Ruimtestaat[[#This Row],[Ruimte code]],"-",Ruimtestaat[[#This Row],[Frequentie werkdagen]]," ",Ruimtestaat[[#This Row],[Vloer code]]))</f>
        <v>1-1m P</v>
      </c>
      <c r="AJ219" s="114" t="str">
        <f>_xlfn.IFNA(VLOOKUP($AI219,Programma!$F$3:$G$1101,2,0),"")</f>
        <v>_</v>
      </c>
      <c r="AK219" s="114" t="str">
        <f>_xlfn.IFNA(VLOOKUP($AI219,Programma!$F$3:$H$1101,3,0),"")</f>
        <v>_</v>
      </c>
      <c r="AL219" s="114" t="str">
        <f>_xlfn.IFNA(VLOOKUP($AI219,Programma!$F$3:$I$1101,4,0),"")</f>
        <v>1m</v>
      </c>
      <c r="AM219" s="114" t="str">
        <f>_xlfn.IFNA(VLOOKUP($AI219,Programma!$F$3:$J$1101,5,0),"")</f>
        <v>1m</v>
      </c>
      <c r="AN219" s="114" t="str">
        <f>_xlfn.IFNA(VLOOKUP($AI219,Programma!$F$3:$K$1101,6,0),"")</f>
        <v>1j</v>
      </c>
      <c r="AO219" s="114" t="str">
        <f>_xlfn.IFNA(VLOOKUP($AI219,Programma!$F$3:$L$1101,7,0),"")</f>
        <v>_</v>
      </c>
      <c r="AP219" s="114" t="str">
        <f>_xlfn.IFNA(VLOOKUP($AI219,Programma!$F$3:$M$1101,8,0),"")</f>
        <v>_</v>
      </c>
      <c r="AQ219" s="114" t="str">
        <f>_xlfn.IFNA(VLOOKUP($AI219,Programma!$F$3:$N$1101,9,0),"")</f>
        <v>_</v>
      </c>
      <c r="AR219" s="114" t="str">
        <f>_xlfn.IFNA(VLOOKUP($AI219,Programma!$F$3:$O$1101,10,0),"")</f>
        <v>_</v>
      </c>
      <c r="AS219" s="114" t="str">
        <f>_xlfn.IFNA(VLOOKUP($AI219,Programma!$F$3:$P$1101,11,0),"")</f>
        <v>_</v>
      </c>
      <c r="AT219" s="114" t="str">
        <f>_xlfn.IFNA(VLOOKUP($AI219,Programma!$F$3:$Q$1101,12,0),"")</f>
        <v>_</v>
      </c>
      <c r="AU219" s="114" t="str">
        <f>_xlfn.IFNA(VLOOKUP($AI219,Programma!$F$3:$R$1101,13,0),"")</f>
        <v>_</v>
      </c>
      <c r="AV219" s="114" t="str">
        <f>_xlfn.IFNA(VLOOKUP($AI219,Programma!$F$3:$S$1101,14,0),"")</f>
        <v>1m</v>
      </c>
      <c r="AW219" s="114" t="str">
        <f>_xlfn.IFNA(VLOOKUP($AI219,Programma!$F$3:$T$1101,15,0),"")</f>
        <v>4j</v>
      </c>
      <c r="AX219" s="114" t="str">
        <f>_xlfn.IFNA(VLOOKUP($AI219,Programma!$F$3:$U$1101,16,0),"")</f>
        <v>4j</v>
      </c>
      <c r="AY219" s="114" t="str">
        <f>_xlfn.IFNA(VLOOKUP($AI219,Programma!$F$3:$V$1101,17,0),"")</f>
        <v>_</v>
      </c>
      <c r="AZ219" s="114" t="str">
        <f>_xlfn.IFNA(VLOOKUP($AI219,Programma!$F$3:$W$1101,18,0),"")</f>
        <v>_</v>
      </c>
      <c r="BA219" s="114" t="str">
        <f>_xlfn.IFNA(VLOOKUP($AI219,Programma!$F$3:$X$1101,19,0),"")</f>
        <v>_</v>
      </c>
      <c r="BB219" s="114" t="str">
        <f>_xlfn.IFNA(VLOOKUP($AI219,Programma!$F$3:$Y$1101,20,0),"")</f>
        <v>_</v>
      </c>
      <c r="BC219" s="111"/>
      <c r="BD219" s="110" t="str">
        <f>IF(Ruimtestaat[[#This Row],[Frequentie weekend]]="","",_xlfn.CONCAT(Ruimtestaat[[#This Row],[Ruimte code]],"-",Ruimtestaat[[#This Row],[Frequentie weekend]]," ",Ruimtestaat[[#This Row],[Vloer code]]))</f>
        <v/>
      </c>
      <c r="BE219" s="114" t="str">
        <f>_xlfn.IFNA(VLOOKUP($BD219,Programma!$F$3:$G$1101,2,0),"")</f>
        <v/>
      </c>
      <c r="BF219" s="114" t="str">
        <f>_xlfn.IFNA(VLOOKUP($BD219,Programma!$F$3:$H$1101,3,0),"")</f>
        <v/>
      </c>
      <c r="BG219" s="114" t="str">
        <f>_xlfn.IFNA(VLOOKUP($BD219,Programma!$F$3:$I$1101,4,0),"")</f>
        <v/>
      </c>
      <c r="BH219" s="114" t="str">
        <f>_xlfn.IFNA(VLOOKUP($BD219,Programma!$F$3:$J$1101,5,0),"")</f>
        <v/>
      </c>
      <c r="BI219" s="114" t="str">
        <f>_xlfn.IFNA(VLOOKUP($BD219,Programma!$F$3:$K$1101,6,0),"")</f>
        <v/>
      </c>
      <c r="BJ219" s="114" t="str">
        <f>_xlfn.IFNA(VLOOKUP($BD219,Programma!$F$3:$L$1101,7,0),"")</f>
        <v/>
      </c>
      <c r="BK219" s="114" t="str">
        <f>_xlfn.IFNA(VLOOKUP($BD219,Programma!$F$3:$M$1101,8,0),"")</f>
        <v/>
      </c>
      <c r="BL219" s="114" t="str">
        <f>_xlfn.IFNA(VLOOKUP($BD219,Programma!$F$3:$N$1101,9,0),"")</f>
        <v/>
      </c>
      <c r="BM219" s="114" t="str">
        <f>_xlfn.IFNA(VLOOKUP($BD219,Programma!$F$3:$O$1101,10,0),"")</f>
        <v/>
      </c>
      <c r="BN219" s="114" t="str">
        <f>_xlfn.IFNA(VLOOKUP($BD219,Programma!$F$3:$P$1101,11,0),"")</f>
        <v/>
      </c>
      <c r="BO219" s="114" t="str">
        <f>_xlfn.IFNA(VLOOKUP($BD219,Programma!$F$3:$Q$1101,12,0),"")</f>
        <v/>
      </c>
      <c r="BP219" s="114" t="str">
        <f>_xlfn.IFNA(VLOOKUP($BD219,Programma!$F$3:$R$1101,13,0),"")</f>
        <v/>
      </c>
      <c r="BQ219" s="114" t="str">
        <f>_xlfn.IFNA(VLOOKUP($BD219,Programma!$F$3:$S$1101,14,0),"")</f>
        <v/>
      </c>
      <c r="BR219" s="114" t="str">
        <f>_xlfn.IFNA(VLOOKUP($BD219,Programma!$F$3:$T$1101,15,0),"")</f>
        <v/>
      </c>
      <c r="BS219" s="114" t="str">
        <f>_xlfn.IFNA(VLOOKUP($BD219,Programma!$F$3:$U$1101,16,0),"")</f>
        <v/>
      </c>
      <c r="BT219" s="114" t="str">
        <f>_xlfn.IFNA(VLOOKUP($BD219,Programma!$F$3:$V$1101,17,0),"")</f>
        <v/>
      </c>
      <c r="BU219" s="114" t="str">
        <f>_xlfn.IFNA(VLOOKUP($BD219,Programma!$F$3:$W$1101,18,0),"")</f>
        <v/>
      </c>
      <c r="BV219" s="114" t="str">
        <f>_xlfn.IFNA(VLOOKUP($BD219,Programma!$F$3:$X$1101,19,0),"")</f>
        <v/>
      </c>
      <c r="BW219" s="114" t="str">
        <f>_xlfn.IFNA(VLOOKUP($BD219,Programma!$F$3:$Y$1101,20,0),"")</f>
        <v/>
      </c>
      <c r="BX219" s="28"/>
      <c r="BY219" s="28"/>
      <c r="BZ219" s="28"/>
      <c r="CA219" s="28"/>
      <c r="CB219" s="28"/>
      <c r="CC219" s="28"/>
      <c r="CD219" s="28"/>
      <c r="CE219" s="28"/>
      <c r="CF219" s="28"/>
      <c r="CG219" s="28"/>
      <c r="CH219" s="28"/>
      <c r="CI219" s="28"/>
      <c r="CJ219" s="28"/>
      <c r="CK219" s="28"/>
      <c r="CL219" s="28"/>
      <c r="CM219" s="28"/>
      <c r="CN219" s="28"/>
      <c r="CO219" s="28"/>
      <c r="CP219" s="28"/>
      <c r="CQ219" s="28"/>
      <c r="CR219" s="28"/>
      <c r="CS219" s="28"/>
      <c r="CT219" s="28"/>
      <c r="CU219" s="28"/>
      <c r="CV219" s="28"/>
      <c r="CW219" s="28"/>
      <c r="CX219" s="28"/>
      <c r="CY219" s="28"/>
      <c r="CZ219" s="28"/>
      <c r="DA219" s="28"/>
      <c r="DB219" s="28"/>
      <c r="DC219" s="28"/>
      <c r="DD219" s="28"/>
      <c r="DE219" s="28"/>
      <c r="DF219" s="28"/>
      <c r="DG219" s="28"/>
      <c r="DH219" s="28"/>
      <c r="DI219" s="28"/>
      <c r="DJ219" s="28"/>
      <c r="DK219" s="28"/>
      <c r="DL219" s="28"/>
      <c r="DM219" s="28"/>
      <c r="DN219" s="28"/>
      <c r="DO219" s="28"/>
      <c r="DP219" s="28"/>
      <c r="DQ219" s="28"/>
      <c r="DR219" s="28"/>
      <c r="DS219" s="28"/>
      <c r="DT219" s="28"/>
      <c r="DU219" s="28"/>
      <c r="DV219" s="28"/>
      <c r="DW219" s="28"/>
      <c r="DX219" s="28"/>
      <c r="DY219" s="28"/>
      <c r="DZ219" s="28"/>
      <c r="EA219" s="28"/>
      <c r="EB219" s="28"/>
      <c r="EC219" s="28"/>
      <c r="ED219" s="28"/>
      <c r="EE219" s="28"/>
      <c r="EF219" s="28"/>
      <c r="EG219" s="28"/>
      <c r="EH219" s="28"/>
      <c r="EI219" s="28"/>
      <c r="EJ219" s="28"/>
      <c r="EK219" s="28"/>
      <c r="EL219" s="28"/>
      <c r="EM219" s="28"/>
      <c r="EN219" s="28"/>
      <c r="EO219" s="28"/>
      <c r="EP219" s="28"/>
      <c r="EQ219" s="28"/>
      <c r="ER219" s="28"/>
      <c r="ES219" s="28"/>
      <c r="ET219" s="28"/>
      <c r="EU219" s="28"/>
      <c r="EV219" s="28"/>
      <c r="EW219" s="28"/>
      <c r="EX219" s="28"/>
      <c r="EY219" s="28"/>
      <c r="EZ219" s="28"/>
      <c r="FA219" s="28"/>
      <c r="FB219" s="28"/>
      <c r="FC219" s="28"/>
      <c r="FD219" s="28"/>
      <c r="FE219" s="28"/>
      <c r="FF219" s="28"/>
      <c r="FG219" s="28"/>
      <c r="FH219" s="28"/>
      <c r="FI219" s="28"/>
      <c r="FJ219" s="28"/>
      <c r="FK219" s="28"/>
      <c r="FL219" s="28"/>
      <c r="FM219" s="28"/>
      <c r="FN219" s="28"/>
      <c r="FO219" s="28"/>
      <c r="FP219" s="28"/>
      <c r="FQ219" s="28"/>
      <c r="FR219" s="28"/>
      <c r="FS219" s="28"/>
      <c r="FT219" s="28"/>
      <c r="FU219" s="28"/>
      <c r="FV219" s="28"/>
      <c r="FW219" s="28"/>
      <c r="FX219" s="28"/>
      <c r="FY219" s="28"/>
      <c r="FZ219" s="28"/>
      <c r="GA219" s="28"/>
      <c r="GB219" s="28"/>
      <c r="GC219" s="28"/>
      <c r="GD219" s="28"/>
      <c r="GE219" s="28"/>
      <c r="GF219" s="28"/>
      <c r="GG219" s="28"/>
      <c r="GH219" s="28"/>
      <c r="GI219" s="28"/>
      <c r="GJ219" s="28"/>
      <c r="GK219" s="28"/>
      <c r="GL219" s="28"/>
      <c r="GM219" s="28"/>
      <c r="GN219" s="28"/>
      <c r="GO219" s="28"/>
      <c r="GP219" s="28"/>
      <c r="GQ219" s="28"/>
      <c r="GR219" s="28"/>
      <c r="GS219" s="28"/>
      <c r="GT219" s="28"/>
      <c r="GU219" s="28"/>
      <c r="GV219" s="28"/>
      <c r="GW219" s="28"/>
      <c r="GX219" s="28"/>
      <c r="GY219" s="28"/>
      <c r="GZ219" s="28"/>
      <c r="HA219" s="28"/>
      <c r="HB219" s="28"/>
      <c r="HC219" s="28"/>
      <c r="HD219" s="28"/>
      <c r="HE219" s="28"/>
      <c r="HF219" s="28"/>
      <c r="HG219" s="28"/>
      <c r="HH219" s="28"/>
      <c r="HI219" s="28"/>
      <c r="HJ219" s="28"/>
      <c r="HK219" s="28"/>
      <c r="HL219" s="28"/>
    </row>
    <row r="220" spans="1:220" ht="15" customHeight="1">
      <c r="A220" s="31">
        <v>5</v>
      </c>
      <c r="B220" s="105" t="str">
        <f>VLOOKUP(Ruimtestaat[[#This Row],[Code]],Locaties[[Code]:[Locatie]],2,FALSE)</f>
        <v>IKC Remigius</v>
      </c>
      <c r="C220" s="105" t="str">
        <f>VLOOKUP(Ruimtestaat[[#This Row],[Code]],Locaties[[#All],[Code]:[Adres]],4,FALSE)</f>
        <v>Liemersplein 1</v>
      </c>
      <c r="D220" s="105" t="str">
        <f>VLOOKUP(Ruimtestaat[[#This Row],[Code]],Locaties[[#All],[Code]:[Postcode]],5,FALSE)</f>
        <v xml:space="preserve">6921 HN </v>
      </c>
      <c r="E220" s="105" t="str">
        <f>VLOOKUP(Ruimtestaat[[#This Row],[Code]],Locaties[#All],6,FALSE)</f>
        <v>Duiven</v>
      </c>
      <c r="F220" s="73"/>
      <c r="G220" s="73" t="s">
        <v>1645</v>
      </c>
      <c r="H220" s="31" t="s">
        <v>1715</v>
      </c>
      <c r="I220" s="113" t="s">
        <v>1813</v>
      </c>
      <c r="J220" s="31">
        <v>1</v>
      </c>
      <c r="K220" s="113" t="str">
        <f>VLOOKUP(Ruimtestaat[[#This Row],[Ruimte code]],Ruimtegroepen[[#All],[Code]:[Ruimte omschrijving]],2,FALSE)</f>
        <v>Magazijnen/bergingen</v>
      </c>
      <c r="L220" s="73" t="s">
        <v>102</v>
      </c>
      <c r="M220" s="273" t="s">
        <v>120</v>
      </c>
      <c r="N220" s="106">
        <v>10</v>
      </c>
      <c r="O220" s="112"/>
      <c r="P220" s="112"/>
      <c r="Q220" s="107" t="str">
        <f>VLOOKUP(Ruimtestaat[[#This Row],[Ruimte code]],Ruimtegroepen[],4,FALSE)</f>
        <v>Ve</v>
      </c>
      <c r="R220" s="73">
        <v>40</v>
      </c>
      <c r="S220" s="73" t="s">
        <v>16</v>
      </c>
      <c r="T220" s="73">
        <f>IF(R220&gt;0,IF(RIGHT(Ruimtestaat[[#This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20" s="73">
        <f>IF(T220&gt;0,VLOOKUP($J220,Ruimtegroepen[],3,FALSE)*VLOOKUP($L220,Vloersoorten[],3,FALSE)*VLOOKUP($S220,Frequenties[],3,FALSE)*VLOOKUP($A220,Locaties[],3,FALSE),0)</f>
        <v>0</v>
      </c>
      <c r="V220" s="73">
        <f>Ruimtestaat[[#This Row],[Uitvoeringen werkdagen]]*Ruimtestaat[[#This Row],[Oppervlak (netto)]]</f>
        <v>120</v>
      </c>
      <c r="W220" s="108">
        <f>IF(U220&gt;0,Ruimtestaat[[#This Row],[Prest. (m2 /jaar) werkdagen]]/Ruimtestaat[[#This Row],[Norm (m2/uur) werkdagen]],0)</f>
        <v>0</v>
      </c>
      <c r="X220" s="109">
        <f>Ruimtestaat[[#This Row],[uren / jaar werkdagen]]*Tariefsopbouw!$E$35</f>
        <v>0</v>
      </c>
      <c r="Y220" s="73"/>
      <c r="Z220" s="73">
        <f>IF(Ruimtestaat[[#This Row],[Frequentie weekend]]&gt;0,VALUE(LEFT(Y220,1))*R220,0)</f>
        <v>0</v>
      </c>
      <c r="AA220" s="72">
        <f>IF($Z220&gt;0,VLOOKUP($J220,Ruimtegroepen[],3,FALSE)*VLOOKUP($L220,Vloersoorten[],3,FALSE)*VLOOKUP($Y220,Frequenties[],3,FALSE)*VLOOKUP(Ruimtestaat[[#This Row],[Code]],Locaties[],3,FALSE),0)</f>
        <v>0</v>
      </c>
      <c r="AB220" s="72">
        <f>Ruimtestaat[[#This Row],[Uitvoeringen weekend]]*Ruimtestaat[[#This Row],[Oppervlak (netto)]]</f>
        <v>0</v>
      </c>
      <c r="AC220" s="72">
        <f>IF(AA220&gt;0,Ruimtestaat[[#This Row],[Prest. (m2 /jaar) weekend]]/Ruimtestaat[[#This Row],[Norm (m2/uur) weekend]],0)</f>
        <v>0</v>
      </c>
      <c r="AD220" s="109">
        <f>Ruimtestaat[[#This Row],[uren / jaar weekend]]*Tariefsopbouw!$D$40</f>
        <v>0</v>
      </c>
      <c r="AE220" s="108">
        <f>Ruimtestaat[[#This Row],[Prest. (m2 /jaar) weekend]]+Ruimtestaat[[#This Row],[Prest. (m2 /jaar) werkdagen]]</f>
        <v>120</v>
      </c>
      <c r="AF220" s="108">
        <f>Ruimtestaat[[#This Row],[uren / jaar weekend]]+Ruimtestaat[[#This Row],[uren / jaar werkdagen]]</f>
        <v>0</v>
      </c>
      <c r="AG220" s="103">
        <f>Ruimtestaat[[#This Row],[kosten / jaar weekend]]+Ruimtestaat[[#This Row],[kosten / jaar werkdagen]]</f>
        <v>0</v>
      </c>
      <c r="AH220" s="103"/>
      <c r="AI220" s="110" t="str">
        <f>IF(Ruimtestaat[[#This Row],[Frequentie werkdagen]]="","",_xlfn.CONCAT(Ruimtestaat[[#This Row],[Ruimte code]],"-",Ruimtestaat[[#This Row],[Frequentie werkdagen]]," ",Ruimtestaat[[#This Row],[Vloer code]]))</f>
        <v>1-1m P</v>
      </c>
      <c r="AJ220" s="114" t="str">
        <f>_xlfn.IFNA(VLOOKUP($AI220,Programma!$F$3:$G$1101,2,0),"")</f>
        <v>_</v>
      </c>
      <c r="AK220" s="114" t="str">
        <f>_xlfn.IFNA(VLOOKUP($AI220,Programma!$F$3:$H$1101,3,0),"")</f>
        <v>_</v>
      </c>
      <c r="AL220" s="114" t="str">
        <f>_xlfn.IFNA(VLOOKUP($AI220,Programma!$F$3:$I$1101,4,0),"")</f>
        <v>1m</v>
      </c>
      <c r="AM220" s="114" t="str">
        <f>_xlfn.IFNA(VLOOKUP($AI220,Programma!$F$3:$J$1101,5,0),"")</f>
        <v>1m</v>
      </c>
      <c r="AN220" s="114" t="str">
        <f>_xlfn.IFNA(VLOOKUP($AI220,Programma!$F$3:$K$1101,6,0),"")</f>
        <v>1j</v>
      </c>
      <c r="AO220" s="114" t="str">
        <f>_xlfn.IFNA(VLOOKUP($AI220,Programma!$F$3:$L$1101,7,0),"")</f>
        <v>_</v>
      </c>
      <c r="AP220" s="114" t="str">
        <f>_xlfn.IFNA(VLOOKUP($AI220,Programma!$F$3:$M$1101,8,0),"")</f>
        <v>_</v>
      </c>
      <c r="AQ220" s="114" t="str">
        <f>_xlfn.IFNA(VLOOKUP($AI220,Programma!$F$3:$N$1101,9,0),"")</f>
        <v>_</v>
      </c>
      <c r="AR220" s="114" t="str">
        <f>_xlfn.IFNA(VLOOKUP($AI220,Programma!$F$3:$O$1101,10,0),"")</f>
        <v>_</v>
      </c>
      <c r="AS220" s="114" t="str">
        <f>_xlfn.IFNA(VLOOKUP($AI220,Programma!$F$3:$P$1101,11,0),"")</f>
        <v>_</v>
      </c>
      <c r="AT220" s="114" t="str">
        <f>_xlfn.IFNA(VLOOKUP($AI220,Programma!$F$3:$Q$1101,12,0),"")</f>
        <v>_</v>
      </c>
      <c r="AU220" s="114" t="str">
        <f>_xlfn.IFNA(VLOOKUP($AI220,Programma!$F$3:$R$1101,13,0),"")</f>
        <v>_</v>
      </c>
      <c r="AV220" s="114" t="str">
        <f>_xlfn.IFNA(VLOOKUP($AI220,Programma!$F$3:$S$1101,14,0),"")</f>
        <v>1m</v>
      </c>
      <c r="AW220" s="114" t="str">
        <f>_xlfn.IFNA(VLOOKUP($AI220,Programma!$F$3:$T$1101,15,0),"")</f>
        <v>4j</v>
      </c>
      <c r="AX220" s="114" t="str">
        <f>_xlfn.IFNA(VLOOKUP($AI220,Programma!$F$3:$U$1101,16,0),"")</f>
        <v>4j</v>
      </c>
      <c r="AY220" s="114" t="str">
        <f>_xlfn.IFNA(VLOOKUP($AI220,Programma!$F$3:$V$1101,17,0),"")</f>
        <v>_</v>
      </c>
      <c r="AZ220" s="114" t="str">
        <f>_xlfn.IFNA(VLOOKUP($AI220,Programma!$F$3:$W$1101,18,0),"")</f>
        <v>_</v>
      </c>
      <c r="BA220" s="114" t="str">
        <f>_xlfn.IFNA(VLOOKUP($AI220,Programma!$F$3:$X$1101,19,0),"")</f>
        <v>_</v>
      </c>
      <c r="BB220" s="114" t="str">
        <f>_xlfn.IFNA(VLOOKUP($AI220,Programma!$F$3:$Y$1101,20,0),"")</f>
        <v>_</v>
      </c>
      <c r="BC220" s="111"/>
      <c r="BD220" s="110" t="str">
        <f>IF(Ruimtestaat[[#This Row],[Frequentie weekend]]="","",_xlfn.CONCAT(Ruimtestaat[[#This Row],[Ruimte code]],"-",Ruimtestaat[[#This Row],[Frequentie weekend]]," ",Ruimtestaat[[#This Row],[Vloer code]]))</f>
        <v/>
      </c>
      <c r="BE220" s="114" t="str">
        <f>_xlfn.IFNA(VLOOKUP($BD220,Programma!$F$3:$G$1101,2,0),"")</f>
        <v/>
      </c>
      <c r="BF220" s="114" t="str">
        <f>_xlfn.IFNA(VLOOKUP($BD220,Programma!$F$3:$H$1101,3,0),"")</f>
        <v/>
      </c>
      <c r="BG220" s="114" t="str">
        <f>_xlfn.IFNA(VLOOKUP($BD220,Programma!$F$3:$I$1101,4,0),"")</f>
        <v/>
      </c>
      <c r="BH220" s="114" t="str">
        <f>_xlfn.IFNA(VLOOKUP($BD220,Programma!$F$3:$J$1101,5,0),"")</f>
        <v/>
      </c>
      <c r="BI220" s="114" t="str">
        <f>_xlfn.IFNA(VLOOKUP($BD220,Programma!$F$3:$K$1101,6,0),"")</f>
        <v/>
      </c>
      <c r="BJ220" s="114" t="str">
        <f>_xlfn.IFNA(VLOOKUP($BD220,Programma!$F$3:$L$1101,7,0),"")</f>
        <v/>
      </c>
      <c r="BK220" s="114" t="str">
        <f>_xlfn.IFNA(VLOOKUP($BD220,Programma!$F$3:$M$1101,8,0),"")</f>
        <v/>
      </c>
      <c r="BL220" s="114" t="str">
        <f>_xlfn.IFNA(VLOOKUP($BD220,Programma!$F$3:$N$1101,9,0),"")</f>
        <v/>
      </c>
      <c r="BM220" s="114" t="str">
        <f>_xlfn.IFNA(VLOOKUP($BD220,Programma!$F$3:$O$1101,10,0),"")</f>
        <v/>
      </c>
      <c r="BN220" s="114" t="str">
        <f>_xlfn.IFNA(VLOOKUP($BD220,Programma!$F$3:$P$1101,11,0),"")</f>
        <v/>
      </c>
      <c r="BO220" s="114" t="str">
        <f>_xlfn.IFNA(VLOOKUP($BD220,Programma!$F$3:$Q$1101,12,0),"")</f>
        <v/>
      </c>
      <c r="BP220" s="114" t="str">
        <f>_xlfn.IFNA(VLOOKUP($BD220,Programma!$F$3:$R$1101,13,0),"")</f>
        <v/>
      </c>
      <c r="BQ220" s="114" t="str">
        <f>_xlfn.IFNA(VLOOKUP($BD220,Programma!$F$3:$S$1101,14,0),"")</f>
        <v/>
      </c>
      <c r="BR220" s="114" t="str">
        <f>_xlfn.IFNA(VLOOKUP($BD220,Programma!$F$3:$T$1101,15,0),"")</f>
        <v/>
      </c>
      <c r="BS220" s="114" t="str">
        <f>_xlfn.IFNA(VLOOKUP($BD220,Programma!$F$3:$U$1101,16,0),"")</f>
        <v/>
      </c>
      <c r="BT220" s="114" t="str">
        <f>_xlfn.IFNA(VLOOKUP($BD220,Programma!$F$3:$V$1101,17,0),"")</f>
        <v/>
      </c>
      <c r="BU220" s="114" t="str">
        <f>_xlfn.IFNA(VLOOKUP($BD220,Programma!$F$3:$W$1101,18,0),"")</f>
        <v/>
      </c>
      <c r="BV220" s="114" t="str">
        <f>_xlfn.IFNA(VLOOKUP($BD220,Programma!$F$3:$X$1101,19,0),"")</f>
        <v/>
      </c>
      <c r="BW220" s="114" t="str">
        <f>_xlfn.IFNA(VLOOKUP($BD220,Programma!$F$3:$Y$1101,20,0),"")</f>
        <v/>
      </c>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c r="EO220" s="28"/>
      <c r="EP220" s="28"/>
      <c r="EQ220" s="28"/>
      <c r="ER220" s="28"/>
      <c r="ES220" s="28"/>
      <c r="ET220" s="28"/>
      <c r="EU220" s="28"/>
      <c r="EV220" s="28"/>
      <c r="EW220" s="28"/>
      <c r="EX220" s="28"/>
      <c r="EY220" s="28"/>
      <c r="EZ220" s="28"/>
      <c r="FA220" s="28"/>
      <c r="FB220" s="28"/>
      <c r="FC220" s="28"/>
      <c r="FD220" s="28"/>
      <c r="FE220" s="28"/>
      <c r="FF220" s="28"/>
      <c r="FG220" s="28"/>
      <c r="FH220" s="28"/>
      <c r="FI220" s="28"/>
      <c r="FJ220" s="28"/>
      <c r="FK220" s="28"/>
      <c r="FL220" s="28"/>
      <c r="FM220" s="28"/>
      <c r="FN220" s="28"/>
      <c r="FO220" s="28"/>
      <c r="FP220" s="28"/>
      <c r="FQ220" s="28"/>
      <c r="FR220" s="28"/>
      <c r="FS220" s="28"/>
      <c r="FT220" s="28"/>
      <c r="FU220" s="28"/>
      <c r="FV220" s="28"/>
      <c r="FW220" s="28"/>
      <c r="FX220" s="28"/>
      <c r="FY220" s="28"/>
      <c r="FZ220" s="28"/>
      <c r="GA220" s="28"/>
      <c r="GB220" s="28"/>
      <c r="GC220" s="28"/>
      <c r="GD220" s="28"/>
      <c r="GE220" s="28"/>
      <c r="GF220" s="28"/>
      <c r="GG220" s="28"/>
      <c r="GH220" s="28"/>
      <c r="GI220" s="28"/>
      <c r="GJ220" s="28"/>
      <c r="GK220" s="28"/>
      <c r="GL220" s="28"/>
      <c r="GM220" s="28"/>
      <c r="GN220" s="28"/>
      <c r="GO220" s="28"/>
      <c r="GP220" s="28"/>
      <c r="GQ220" s="28"/>
      <c r="GR220" s="28"/>
      <c r="GS220" s="28"/>
      <c r="GT220" s="28"/>
      <c r="GU220" s="28"/>
      <c r="GV220" s="28"/>
      <c r="GW220" s="28"/>
      <c r="GX220" s="28"/>
      <c r="GY220" s="28"/>
      <c r="GZ220" s="28"/>
      <c r="HA220" s="28"/>
      <c r="HB220" s="28"/>
      <c r="HC220" s="28"/>
      <c r="HD220" s="28"/>
      <c r="HE220" s="28"/>
      <c r="HF220" s="28"/>
      <c r="HG220" s="28"/>
      <c r="HH220" s="28"/>
      <c r="HI220" s="28"/>
      <c r="HJ220" s="28"/>
      <c r="HK220" s="28"/>
      <c r="HL220" s="28"/>
    </row>
    <row r="221" spans="1:220" ht="15" customHeight="1">
      <c r="A221" s="31">
        <v>5</v>
      </c>
      <c r="B221" s="105" t="str">
        <f>VLOOKUP(Ruimtestaat[[#This Row],[Code]],Locaties[[Code]:[Locatie]],2,FALSE)</f>
        <v>IKC Remigius</v>
      </c>
      <c r="C221" s="105" t="str">
        <f>VLOOKUP(Ruimtestaat[[#This Row],[Code]],Locaties[[#All],[Code]:[Adres]],4,FALSE)</f>
        <v>Liemersplein 1</v>
      </c>
      <c r="D221" s="105" t="str">
        <f>VLOOKUP(Ruimtestaat[[#This Row],[Code]],Locaties[[#All],[Code]:[Postcode]],5,FALSE)</f>
        <v xml:space="preserve">6921 HN </v>
      </c>
      <c r="E221" s="105" t="str">
        <f>VLOOKUP(Ruimtestaat[[#This Row],[Code]],Locaties[#All],6,FALSE)</f>
        <v>Duiven</v>
      </c>
      <c r="F221" s="73"/>
      <c r="G221" s="73" t="s">
        <v>1645</v>
      </c>
      <c r="H221" s="31" t="s">
        <v>1716</v>
      </c>
      <c r="I221" s="113" t="s">
        <v>1825</v>
      </c>
      <c r="J221" s="31">
        <v>20</v>
      </c>
      <c r="K221" s="113" t="str">
        <f>VLOOKUP(Ruimtestaat[[#This Row],[Ruimte code]],Ruimtegroepen[[#All],[Code]:[Ruimte omschrijving]],2,FALSE)</f>
        <v>Niet in Onderhoud</v>
      </c>
      <c r="L221" s="73"/>
      <c r="M221" s="273"/>
      <c r="N221" s="106"/>
      <c r="O221" s="112">
        <v>23.8</v>
      </c>
      <c r="P221" s="112"/>
      <c r="Q221" s="107">
        <f>VLOOKUP(Ruimtestaat[[#This Row],[Ruimte code]],Ruimtegroepen[],4,FALSE)</f>
        <v>0</v>
      </c>
      <c r="R221" s="73"/>
      <c r="S221" s="73"/>
      <c r="T221" s="73">
        <f>IF(R221&gt;0,IF(RIGHT(Ruimtestaat[[#This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1" s="73">
        <f>IF(T221&gt;0,VLOOKUP($J221,Ruimtegroepen[],3,FALSE)*VLOOKUP($L221,Vloersoorten[],3,FALSE)*VLOOKUP($S221,Frequenties[],3,FALSE)*VLOOKUP($A221,Locaties[],3,FALSE),0)</f>
        <v>0</v>
      </c>
      <c r="V221" s="73">
        <f>Ruimtestaat[[#This Row],[Uitvoeringen werkdagen]]*Ruimtestaat[[#This Row],[Oppervlak (netto)]]</f>
        <v>0</v>
      </c>
      <c r="W221" s="108">
        <f>IF(U221&gt;0,Ruimtestaat[[#This Row],[Prest. (m2 /jaar) werkdagen]]/Ruimtestaat[[#This Row],[Norm (m2/uur) werkdagen]],0)</f>
        <v>0</v>
      </c>
      <c r="X221" s="109">
        <f>Ruimtestaat[[#This Row],[uren / jaar werkdagen]]*Tariefsopbouw!$E$35</f>
        <v>0</v>
      </c>
      <c r="Y221" s="73"/>
      <c r="Z221" s="73">
        <f>IF(Ruimtestaat[[#This Row],[Frequentie weekend]]&gt;0,VALUE(LEFT(Y221,1))*R221,0)</f>
        <v>0</v>
      </c>
      <c r="AA221" s="72">
        <f>IF($Z221&gt;0,VLOOKUP($J221,Ruimtegroepen[],3,FALSE)*VLOOKUP($L221,Vloersoorten[],3,FALSE)*VLOOKUP($Y221,Frequenties[],3,FALSE)*VLOOKUP(Ruimtestaat[[#This Row],[Code]],Locaties[],3,FALSE),0)</f>
        <v>0</v>
      </c>
      <c r="AB221" s="72">
        <f>Ruimtestaat[[#This Row],[Uitvoeringen weekend]]*Ruimtestaat[[#This Row],[Oppervlak (netto)]]</f>
        <v>0</v>
      </c>
      <c r="AC221" s="72">
        <f>IF(AA221&gt;0,Ruimtestaat[[#This Row],[Prest. (m2 /jaar) weekend]]/Ruimtestaat[[#This Row],[Norm (m2/uur) weekend]],0)</f>
        <v>0</v>
      </c>
      <c r="AD221" s="109">
        <f>Ruimtestaat[[#This Row],[uren / jaar weekend]]*Tariefsopbouw!$D$40</f>
        <v>0</v>
      </c>
      <c r="AE221" s="108">
        <f>Ruimtestaat[[#This Row],[Prest. (m2 /jaar) weekend]]+Ruimtestaat[[#This Row],[Prest. (m2 /jaar) werkdagen]]</f>
        <v>0</v>
      </c>
      <c r="AF221" s="108">
        <f>Ruimtestaat[[#This Row],[uren / jaar weekend]]+Ruimtestaat[[#This Row],[uren / jaar werkdagen]]</f>
        <v>0</v>
      </c>
      <c r="AG221" s="103">
        <f>Ruimtestaat[[#This Row],[kosten / jaar weekend]]+Ruimtestaat[[#This Row],[kosten / jaar werkdagen]]</f>
        <v>0</v>
      </c>
      <c r="AH221" s="103"/>
      <c r="AI221" s="110" t="str">
        <f>IF(Ruimtestaat[[#This Row],[Frequentie werkdagen]]="","",_xlfn.CONCAT(Ruimtestaat[[#This Row],[Ruimte code]],"-",Ruimtestaat[[#This Row],[Frequentie werkdagen]]," ",Ruimtestaat[[#This Row],[Vloer code]]))</f>
        <v/>
      </c>
      <c r="AJ221" s="114" t="str">
        <f>_xlfn.IFNA(VLOOKUP($AI221,Programma!$F$3:$G$1101,2,0),"")</f>
        <v/>
      </c>
      <c r="AK221" s="114" t="str">
        <f>_xlfn.IFNA(VLOOKUP($AI221,Programma!$F$3:$H$1101,3,0),"")</f>
        <v/>
      </c>
      <c r="AL221" s="114" t="str">
        <f>_xlfn.IFNA(VLOOKUP($AI221,Programma!$F$3:$I$1101,4,0),"")</f>
        <v/>
      </c>
      <c r="AM221" s="114" t="str">
        <f>_xlfn.IFNA(VLOOKUP($AI221,Programma!$F$3:$J$1101,5,0),"")</f>
        <v/>
      </c>
      <c r="AN221" s="114" t="str">
        <f>_xlfn.IFNA(VLOOKUP($AI221,Programma!$F$3:$K$1101,6,0),"")</f>
        <v/>
      </c>
      <c r="AO221" s="114" t="str">
        <f>_xlfn.IFNA(VLOOKUP($AI221,Programma!$F$3:$L$1101,7,0),"")</f>
        <v/>
      </c>
      <c r="AP221" s="114" t="str">
        <f>_xlfn.IFNA(VLOOKUP($AI221,Programma!$F$3:$M$1101,8,0),"")</f>
        <v/>
      </c>
      <c r="AQ221" s="114" t="str">
        <f>_xlfn.IFNA(VLOOKUP($AI221,Programma!$F$3:$N$1101,9,0),"")</f>
        <v/>
      </c>
      <c r="AR221" s="114" t="str">
        <f>_xlfn.IFNA(VLOOKUP($AI221,Programma!$F$3:$O$1101,10,0),"")</f>
        <v/>
      </c>
      <c r="AS221" s="114" t="str">
        <f>_xlfn.IFNA(VLOOKUP($AI221,Programma!$F$3:$P$1101,11,0),"")</f>
        <v/>
      </c>
      <c r="AT221" s="114" t="str">
        <f>_xlfn.IFNA(VLOOKUP($AI221,Programma!$F$3:$Q$1101,12,0),"")</f>
        <v/>
      </c>
      <c r="AU221" s="114" t="str">
        <f>_xlfn.IFNA(VLOOKUP($AI221,Programma!$F$3:$R$1101,13,0),"")</f>
        <v/>
      </c>
      <c r="AV221" s="114" t="str">
        <f>_xlfn.IFNA(VLOOKUP($AI221,Programma!$F$3:$S$1101,14,0),"")</f>
        <v/>
      </c>
      <c r="AW221" s="114" t="str">
        <f>_xlfn.IFNA(VLOOKUP($AI221,Programma!$F$3:$T$1101,15,0),"")</f>
        <v/>
      </c>
      <c r="AX221" s="114" t="str">
        <f>_xlfn.IFNA(VLOOKUP($AI221,Programma!$F$3:$U$1101,16,0),"")</f>
        <v/>
      </c>
      <c r="AY221" s="114" t="str">
        <f>_xlfn.IFNA(VLOOKUP($AI221,Programma!$F$3:$V$1101,17,0),"")</f>
        <v/>
      </c>
      <c r="AZ221" s="114" t="str">
        <f>_xlfn.IFNA(VLOOKUP($AI221,Programma!$F$3:$W$1101,18,0),"")</f>
        <v/>
      </c>
      <c r="BA221" s="114" t="str">
        <f>_xlfn.IFNA(VLOOKUP($AI221,Programma!$F$3:$X$1101,19,0),"")</f>
        <v/>
      </c>
      <c r="BB221" s="114" t="str">
        <f>_xlfn.IFNA(VLOOKUP($AI221,Programma!$F$3:$Y$1101,20,0),"")</f>
        <v/>
      </c>
      <c r="BC221" s="111"/>
      <c r="BD221" s="110" t="str">
        <f>IF(Ruimtestaat[[#This Row],[Frequentie weekend]]="","",_xlfn.CONCAT(Ruimtestaat[[#This Row],[Ruimte code]],"-",Ruimtestaat[[#This Row],[Frequentie weekend]]," ",Ruimtestaat[[#This Row],[Vloer code]]))</f>
        <v/>
      </c>
      <c r="BE221" s="114" t="str">
        <f>_xlfn.IFNA(VLOOKUP($BD221,Programma!$F$3:$G$1101,2,0),"")</f>
        <v/>
      </c>
      <c r="BF221" s="114" t="str">
        <f>_xlfn.IFNA(VLOOKUP($BD221,Programma!$F$3:$H$1101,3,0),"")</f>
        <v/>
      </c>
      <c r="BG221" s="114" t="str">
        <f>_xlfn.IFNA(VLOOKUP($BD221,Programma!$F$3:$I$1101,4,0),"")</f>
        <v/>
      </c>
      <c r="BH221" s="114" t="str">
        <f>_xlfn.IFNA(VLOOKUP($BD221,Programma!$F$3:$J$1101,5,0),"")</f>
        <v/>
      </c>
      <c r="BI221" s="114" t="str">
        <f>_xlfn.IFNA(VLOOKUP($BD221,Programma!$F$3:$K$1101,6,0),"")</f>
        <v/>
      </c>
      <c r="BJ221" s="114" t="str">
        <f>_xlfn.IFNA(VLOOKUP($BD221,Programma!$F$3:$L$1101,7,0),"")</f>
        <v/>
      </c>
      <c r="BK221" s="114" t="str">
        <f>_xlfn.IFNA(VLOOKUP($BD221,Programma!$F$3:$M$1101,8,0),"")</f>
        <v/>
      </c>
      <c r="BL221" s="114" t="str">
        <f>_xlfn.IFNA(VLOOKUP($BD221,Programma!$F$3:$N$1101,9,0),"")</f>
        <v/>
      </c>
      <c r="BM221" s="114" t="str">
        <f>_xlfn.IFNA(VLOOKUP($BD221,Programma!$F$3:$O$1101,10,0),"")</f>
        <v/>
      </c>
      <c r="BN221" s="114" t="str">
        <f>_xlfn.IFNA(VLOOKUP($BD221,Programma!$F$3:$P$1101,11,0),"")</f>
        <v/>
      </c>
      <c r="BO221" s="114" t="str">
        <f>_xlfn.IFNA(VLOOKUP($BD221,Programma!$F$3:$Q$1101,12,0),"")</f>
        <v/>
      </c>
      <c r="BP221" s="114" t="str">
        <f>_xlfn.IFNA(VLOOKUP($BD221,Programma!$F$3:$R$1101,13,0),"")</f>
        <v/>
      </c>
      <c r="BQ221" s="114" t="str">
        <f>_xlfn.IFNA(VLOOKUP($BD221,Programma!$F$3:$S$1101,14,0),"")</f>
        <v/>
      </c>
      <c r="BR221" s="114" t="str">
        <f>_xlfn.IFNA(VLOOKUP($BD221,Programma!$F$3:$T$1101,15,0),"")</f>
        <v/>
      </c>
      <c r="BS221" s="114" t="str">
        <f>_xlfn.IFNA(VLOOKUP($BD221,Programma!$F$3:$U$1101,16,0),"")</f>
        <v/>
      </c>
      <c r="BT221" s="114" t="str">
        <f>_xlfn.IFNA(VLOOKUP($BD221,Programma!$F$3:$V$1101,17,0),"")</f>
        <v/>
      </c>
      <c r="BU221" s="114" t="str">
        <f>_xlfn.IFNA(VLOOKUP($BD221,Programma!$F$3:$W$1101,18,0),"")</f>
        <v/>
      </c>
      <c r="BV221" s="114" t="str">
        <f>_xlfn.IFNA(VLOOKUP($BD221,Programma!$F$3:$X$1101,19,0),"")</f>
        <v/>
      </c>
      <c r="BW221" s="114" t="str">
        <f>_xlfn.IFNA(VLOOKUP($BD221,Programma!$F$3:$Y$1101,20,0),"")</f>
        <v/>
      </c>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c r="GV221" s="28"/>
      <c r="GW221" s="28"/>
      <c r="GX221" s="28"/>
      <c r="GY221" s="28"/>
      <c r="GZ221" s="28"/>
      <c r="HA221" s="28"/>
      <c r="HB221" s="28"/>
      <c r="HC221" s="28"/>
      <c r="HD221" s="28"/>
      <c r="HE221" s="28"/>
      <c r="HF221" s="28"/>
      <c r="HG221" s="28"/>
      <c r="HH221" s="28"/>
      <c r="HI221" s="28"/>
      <c r="HJ221" s="28"/>
      <c r="HK221" s="28"/>
      <c r="HL221" s="28"/>
    </row>
    <row r="222" spans="1:220" ht="15" customHeight="1">
      <c r="A222" s="31">
        <v>5</v>
      </c>
      <c r="B222" s="105" t="str">
        <f>VLOOKUP(Ruimtestaat[[#This Row],[Code]],Locaties[[Code]:[Locatie]],2,FALSE)</f>
        <v>IKC Remigius</v>
      </c>
      <c r="C222" s="105" t="str">
        <f>VLOOKUP(Ruimtestaat[[#This Row],[Code]],Locaties[[#All],[Code]:[Adres]],4,FALSE)</f>
        <v>Liemersplein 1</v>
      </c>
      <c r="D222" s="105" t="str">
        <f>VLOOKUP(Ruimtestaat[[#This Row],[Code]],Locaties[[#All],[Code]:[Postcode]],5,FALSE)</f>
        <v xml:space="preserve">6921 HN </v>
      </c>
      <c r="E222" s="105" t="str">
        <f>VLOOKUP(Ruimtestaat[[#This Row],[Code]],Locaties[#All],6,FALSE)</f>
        <v>Duiven</v>
      </c>
      <c r="F222" s="73"/>
      <c r="G222" s="73" t="s">
        <v>1645</v>
      </c>
      <c r="H222" s="31" t="s">
        <v>1717</v>
      </c>
      <c r="I222" s="113" t="s">
        <v>1825</v>
      </c>
      <c r="J222" s="31">
        <v>20</v>
      </c>
      <c r="K222" s="113" t="str">
        <f>VLOOKUP(Ruimtestaat[[#This Row],[Ruimte code]],Ruimtegroepen[[#All],[Code]:[Ruimte omschrijving]],2,FALSE)</f>
        <v>Niet in Onderhoud</v>
      </c>
      <c r="L222" s="73"/>
      <c r="M222" s="273"/>
      <c r="N222" s="106"/>
      <c r="O222" s="112">
        <v>7.4</v>
      </c>
      <c r="P222" s="73"/>
      <c r="Q222" s="107">
        <f>VLOOKUP(Ruimtestaat[[#This Row],[Ruimte code]],Ruimtegroepen[],4,FALSE)</f>
        <v>0</v>
      </c>
      <c r="R222" s="73"/>
      <c r="S222" s="73"/>
      <c r="T222" s="73">
        <f>IF(R222&gt;0,IF(RIGHT(Ruimtestaat[[#This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2" s="73">
        <f>IF(T222&gt;0,VLOOKUP($J222,Ruimtegroepen[],3,FALSE)*VLOOKUP($L222,Vloersoorten[],3,FALSE)*VLOOKUP($S222,Frequenties[],3,FALSE)*VLOOKUP($A222,Locaties[],3,FALSE),0)</f>
        <v>0</v>
      </c>
      <c r="V222" s="73">
        <f>Ruimtestaat[[#This Row],[Uitvoeringen werkdagen]]*Ruimtestaat[[#This Row],[Oppervlak (netto)]]</f>
        <v>0</v>
      </c>
      <c r="W222" s="108">
        <f>IF(U222&gt;0,Ruimtestaat[[#This Row],[Prest. (m2 /jaar) werkdagen]]/Ruimtestaat[[#This Row],[Norm (m2/uur) werkdagen]],0)</f>
        <v>0</v>
      </c>
      <c r="X222" s="109">
        <f>Ruimtestaat[[#This Row],[uren / jaar werkdagen]]*Tariefsopbouw!$E$35</f>
        <v>0</v>
      </c>
      <c r="Y222" s="73"/>
      <c r="Z222" s="73">
        <f>IF(Ruimtestaat[[#This Row],[Frequentie weekend]]&gt;0,VALUE(LEFT(Y222,1))*R222,0)</f>
        <v>0</v>
      </c>
      <c r="AA222" s="72">
        <f>IF($Z222&gt;0,VLOOKUP($J222,Ruimtegroepen[],3,FALSE)*VLOOKUP($L222,Vloersoorten[],3,FALSE)*VLOOKUP($Y222,Frequenties[],3,FALSE)*VLOOKUP(Ruimtestaat[[#This Row],[Code]],Locaties[],3,FALSE),0)</f>
        <v>0</v>
      </c>
      <c r="AB222" s="72">
        <f>Ruimtestaat[[#This Row],[Uitvoeringen weekend]]*Ruimtestaat[[#This Row],[Oppervlak (netto)]]</f>
        <v>0</v>
      </c>
      <c r="AC222" s="72">
        <f>IF(AA222&gt;0,Ruimtestaat[[#This Row],[Prest. (m2 /jaar) weekend]]/Ruimtestaat[[#This Row],[Norm (m2/uur) weekend]],0)</f>
        <v>0</v>
      </c>
      <c r="AD222" s="109">
        <f>Ruimtestaat[[#This Row],[uren / jaar weekend]]*Tariefsopbouw!$D$40</f>
        <v>0</v>
      </c>
      <c r="AE222" s="108">
        <f>Ruimtestaat[[#This Row],[Prest. (m2 /jaar) weekend]]+Ruimtestaat[[#This Row],[Prest. (m2 /jaar) werkdagen]]</f>
        <v>0</v>
      </c>
      <c r="AF222" s="108">
        <f>Ruimtestaat[[#This Row],[uren / jaar weekend]]+Ruimtestaat[[#This Row],[uren / jaar werkdagen]]</f>
        <v>0</v>
      </c>
      <c r="AG222" s="103">
        <f>Ruimtestaat[[#This Row],[kosten / jaar weekend]]+Ruimtestaat[[#This Row],[kosten / jaar werkdagen]]</f>
        <v>0</v>
      </c>
      <c r="AH222" s="103"/>
      <c r="AI222" s="110" t="str">
        <f>IF(Ruimtestaat[[#This Row],[Frequentie werkdagen]]="","",_xlfn.CONCAT(Ruimtestaat[[#This Row],[Ruimte code]],"-",Ruimtestaat[[#This Row],[Frequentie werkdagen]]," ",Ruimtestaat[[#This Row],[Vloer code]]))</f>
        <v/>
      </c>
      <c r="AJ222" s="114" t="str">
        <f>_xlfn.IFNA(VLOOKUP($AI222,Programma!$F$3:$G$1101,2,0),"")</f>
        <v/>
      </c>
      <c r="AK222" s="114" t="str">
        <f>_xlfn.IFNA(VLOOKUP($AI222,Programma!$F$3:$H$1101,3,0),"")</f>
        <v/>
      </c>
      <c r="AL222" s="114" t="str">
        <f>_xlfn.IFNA(VLOOKUP($AI222,Programma!$F$3:$I$1101,4,0),"")</f>
        <v/>
      </c>
      <c r="AM222" s="114" t="str">
        <f>_xlfn.IFNA(VLOOKUP($AI222,Programma!$F$3:$J$1101,5,0),"")</f>
        <v/>
      </c>
      <c r="AN222" s="114" t="str">
        <f>_xlfn.IFNA(VLOOKUP($AI222,Programma!$F$3:$K$1101,6,0),"")</f>
        <v/>
      </c>
      <c r="AO222" s="114" t="str">
        <f>_xlfn.IFNA(VLOOKUP($AI222,Programma!$F$3:$L$1101,7,0),"")</f>
        <v/>
      </c>
      <c r="AP222" s="114" t="str">
        <f>_xlfn.IFNA(VLOOKUP($AI222,Programma!$F$3:$M$1101,8,0),"")</f>
        <v/>
      </c>
      <c r="AQ222" s="114" t="str">
        <f>_xlfn.IFNA(VLOOKUP($AI222,Programma!$F$3:$N$1101,9,0),"")</f>
        <v/>
      </c>
      <c r="AR222" s="114" t="str">
        <f>_xlfn.IFNA(VLOOKUP($AI222,Programma!$F$3:$O$1101,10,0),"")</f>
        <v/>
      </c>
      <c r="AS222" s="114" t="str">
        <f>_xlfn.IFNA(VLOOKUP($AI222,Programma!$F$3:$P$1101,11,0),"")</f>
        <v/>
      </c>
      <c r="AT222" s="114" t="str">
        <f>_xlfn.IFNA(VLOOKUP($AI222,Programma!$F$3:$Q$1101,12,0),"")</f>
        <v/>
      </c>
      <c r="AU222" s="114" t="str">
        <f>_xlfn.IFNA(VLOOKUP($AI222,Programma!$F$3:$R$1101,13,0),"")</f>
        <v/>
      </c>
      <c r="AV222" s="114" t="str">
        <f>_xlfn.IFNA(VLOOKUP($AI222,Programma!$F$3:$S$1101,14,0),"")</f>
        <v/>
      </c>
      <c r="AW222" s="114" t="str">
        <f>_xlfn.IFNA(VLOOKUP($AI222,Programma!$F$3:$T$1101,15,0),"")</f>
        <v/>
      </c>
      <c r="AX222" s="114" t="str">
        <f>_xlfn.IFNA(VLOOKUP($AI222,Programma!$F$3:$U$1101,16,0),"")</f>
        <v/>
      </c>
      <c r="AY222" s="114" t="str">
        <f>_xlfn.IFNA(VLOOKUP($AI222,Programma!$F$3:$V$1101,17,0),"")</f>
        <v/>
      </c>
      <c r="AZ222" s="114" t="str">
        <f>_xlfn.IFNA(VLOOKUP($AI222,Programma!$F$3:$W$1101,18,0),"")</f>
        <v/>
      </c>
      <c r="BA222" s="114" t="str">
        <f>_xlfn.IFNA(VLOOKUP($AI222,Programma!$F$3:$X$1101,19,0),"")</f>
        <v/>
      </c>
      <c r="BB222" s="114" t="str">
        <f>_xlfn.IFNA(VLOOKUP($AI222,Programma!$F$3:$Y$1101,20,0),"")</f>
        <v/>
      </c>
      <c r="BC222" s="111"/>
      <c r="BD222" s="110" t="str">
        <f>IF(Ruimtestaat[[#This Row],[Frequentie weekend]]="","",_xlfn.CONCAT(Ruimtestaat[[#This Row],[Ruimte code]],"-",Ruimtestaat[[#This Row],[Frequentie weekend]]," ",Ruimtestaat[[#This Row],[Vloer code]]))</f>
        <v/>
      </c>
      <c r="BE222" s="114" t="str">
        <f>_xlfn.IFNA(VLOOKUP($BD222,Programma!$F$3:$G$1101,2,0),"")</f>
        <v/>
      </c>
      <c r="BF222" s="114" t="str">
        <f>_xlfn.IFNA(VLOOKUP($BD222,Programma!$F$3:$H$1101,3,0),"")</f>
        <v/>
      </c>
      <c r="BG222" s="114" t="str">
        <f>_xlfn.IFNA(VLOOKUP($BD222,Programma!$F$3:$I$1101,4,0),"")</f>
        <v/>
      </c>
      <c r="BH222" s="114" t="str">
        <f>_xlfn.IFNA(VLOOKUP($BD222,Programma!$F$3:$J$1101,5,0),"")</f>
        <v/>
      </c>
      <c r="BI222" s="114" t="str">
        <f>_xlfn.IFNA(VLOOKUP($BD222,Programma!$F$3:$K$1101,6,0),"")</f>
        <v/>
      </c>
      <c r="BJ222" s="114" t="str">
        <f>_xlfn.IFNA(VLOOKUP($BD222,Programma!$F$3:$L$1101,7,0),"")</f>
        <v/>
      </c>
      <c r="BK222" s="114" t="str">
        <f>_xlfn.IFNA(VLOOKUP($BD222,Programma!$F$3:$M$1101,8,0),"")</f>
        <v/>
      </c>
      <c r="BL222" s="114" t="str">
        <f>_xlfn.IFNA(VLOOKUP($BD222,Programma!$F$3:$N$1101,9,0),"")</f>
        <v/>
      </c>
      <c r="BM222" s="114" t="str">
        <f>_xlfn.IFNA(VLOOKUP($BD222,Programma!$F$3:$O$1101,10,0),"")</f>
        <v/>
      </c>
      <c r="BN222" s="114" t="str">
        <f>_xlfn.IFNA(VLOOKUP($BD222,Programma!$F$3:$P$1101,11,0),"")</f>
        <v/>
      </c>
      <c r="BO222" s="114" t="str">
        <f>_xlfn.IFNA(VLOOKUP($BD222,Programma!$F$3:$Q$1101,12,0),"")</f>
        <v/>
      </c>
      <c r="BP222" s="114" t="str">
        <f>_xlfn.IFNA(VLOOKUP($BD222,Programma!$F$3:$R$1101,13,0),"")</f>
        <v/>
      </c>
      <c r="BQ222" s="114" t="str">
        <f>_xlfn.IFNA(VLOOKUP($BD222,Programma!$F$3:$S$1101,14,0),"")</f>
        <v/>
      </c>
      <c r="BR222" s="114" t="str">
        <f>_xlfn.IFNA(VLOOKUP($BD222,Programma!$F$3:$T$1101,15,0),"")</f>
        <v/>
      </c>
      <c r="BS222" s="114" t="str">
        <f>_xlfn.IFNA(VLOOKUP($BD222,Programma!$F$3:$U$1101,16,0),"")</f>
        <v/>
      </c>
      <c r="BT222" s="114" t="str">
        <f>_xlfn.IFNA(VLOOKUP($BD222,Programma!$F$3:$V$1101,17,0),"")</f>
        <v/>
      </c>
      <c r="BU222" s="114" t="str">
        <f>_xlfn.IFNA(VLOOKUP($BD222,Programma!$F$3:$W$1101,18,0),"")</f>
        <v/>
      </c>
      <c r="BV222" s="114" t="str">
        <f>_xlfn.IFNA(VLOOKUP($BD222,Programma!$F$3:$X$1101,19,0),"")</f>
        <v/>
      </c>
      <c r="BW222" s="114" t="str">
        <f>_xlfn.IFNA(VLOOKUP($BD222,Programma!$F$3:$Y$1101,20,0),"")</f>
        <v/>
      </c>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c r="GV222" s="28"/>
      <c r="GW222" s="28"/>
      <c r="GX222" s="28"/>
      <c r="GY222" s="28"/>
      <c r="GZ222" s="28"/>
      <c r="HA222" s="28"/>
      <c r="HB222" s="28"/>
      <c r="HC222" s="28"/>
      <c r="HD222" s="28"/>
      <c r="HE222" s="28"/>
      <c r="HF222" s="28"/>
      <c r="HG222" s="28"/>
      <c r="HH222" s="28"/>
      <c r="HI222" s="28"/>
      <c r="HJ222" s="28"/>
      <c r="HK222" s="28"/>
      <c r="HL222" s="28"/>
    </row>
    <row r="223" spans="1:220" ht="15" customHeight="1">
      <c r="A223" s="31">
        <v>5</v>
      </c>
      <c r="B223" s="105" t="str">
        <f>VLOOKUP(Ruimtestaat[[#This Row],[Code]],Locaties[[Code]:[Locatie]],2,FALSE)</f>
        <v>IKC Remigius</v>
      </c>
      <c r="C223" s="105" t="str">
        <f>VLOOKUP(Ruimtestaat[[#This Row],[Code]],Locaties[[#All],[Code]:[Adres]],4,FALSE)</f>
        <v>Liemersplein 1</v>
      </c>
      <c r="D223" s="105" t="str">
        <f>VLOOKUP(Ruimtestaat[[#This Row],[Code]],Locaties[[#All],[Code]:[Postcode]],5,FALSE)</f>
        <v xml:space="preserve">6921 HN </v>
      </c>
      <c r="E223" s="105" t="str">
        <f>VLOOKUP(Ruimtestaat[[#This Row],[Code]],Locaties[#All],6,FALSE)</f>
        <v>Duiven</v>
      </c>
      <c r="F223" s="73"/>
      <c r="G223" s="73" t="s">
        <v>1645</v>
      </c>
      <c r="H223" s="31" t="s">
        <v>1718</v>
      </c>
      <c r="I223" s="113" t="s">
        <v>1827</v>
      </c>
      <c r="J223" s="31">
        <v>1</v>
      </c>
      <c r="K223" s="113" t="str">
        <f>VLOOKUP(Ruimtestaat[[#This Row],[Ruimte code]],Ruimtegroepen[[#All],[Code]:[Ruimte omschrijving]],2,FALSE)</f>
        <v>Magazijnen/bergingen</v>
      </c>
      <c r="L223" s="73" t="s">
        <v>102</v>
      </c>
      <c r="M223" s="273" t="s">
        <v>120</v>
      </c>
      <c r="N223" s="106">
        <v>4.9000000000000004</v>
      </c>
      <c r="O223" s="112"/>
      <c r="P223" s="112"/>
      <c r="Q223" s="107" t="str">
        <f>VLOOKUP(Ruimtestaat[[#This Row],[Ruimte code]],Ruimtegroepen[],4,FALSE)</f>
        <v>Ve</v>
      </c>
      <c r="R223" s="73">
        <v>40</v>
      </c>
      <c r="S223" s="73" t="s">
        <v>16</v>
      </c>
      <c r="T223" s="73">
        <f>IF(R223&gt;0,IF(RIGHT(Ruimtestaat[[#This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23" s="73">
        <f>IF(T223&gt;0,VLOOKUP($J223,Ruimtegroepen[],3,FALSE)*VLOOKUP($L223,Vloersoorten[],3,FALSE)*VLOOKUP($S223,Frequenties[],3,FALSE)*VLOOKUP($A223,Locaties[],3,FALSE),0)</f>
        <v>0</v>
      </c>
      <c r="V223" s="73">
        <f>Ruimtestaat[[#This Row],[Uitvoeringen werkdagen]]*Ruimtestaat[[#This Row],[Oppervlak (netto)]]</f>
        <v>58.800000000000004</v>
      </c>
      <c r="W223" s="108">
        <f>IF(U223&gt;0,Ruimtestaat[[#This Row],[Prest. (m2 /jaar) werkdagen]]/Ruimtestaat[[#This Row],[Norm (m2/uur) werkdagen]],0)</f>
        <v>0</v>
      </c>
      <c r="X223" s="109">
        <f>Ruimtestaat[[#This Row],[uren / jaar werkdagen]]*Tariefsopbouw!$E$35</f>
        <v>0</v>
      </c>
      <c r="Y223" s="73"/>
      <c r="Z223" s="73">
        <f>IF(Ruimtestaat[[#This Row],[Frequentie weekend]]&gt;0,VALUE(LEFT(Y223,1))*R223,0)</f>
        <v>0</v>
      </c>
      <c r="AA223" s="72">
        <f>IF($Z223&gt;0,VLOOKUP($J223,Ruimtegroepen[],3,FALSE)*VLOOKUP($L223,Vloersoorten[],3,FALSE)*VLOOKUP($Y223,Frequenties[],3,FALSE)*VLOOKUP(Ruimtestaat[[#This Row],[Code]],Locaties[],3,FALSE),0)</f>
        <v>0</v>
      </c>
      <c r="AB223" s="72">
        <f>Ruimtestaat[[#This Row],[Uitvoeringen weekend]]*Ruimtestaat[[#This Row],[Oppervlak (netto)]]</f>
        <v>0</v>
      </c>
      <c r="AC223" s="72">
        <f>IF(AA223&gt;0,Ruimtestaat[[#This Row],[Prest. (m2 /jaar) weekend]]/Ruimtestaat[[#This Row],[Norm (m2/uur) weekend]],0)</f>
        <v>0</v>
      </c>
      <c r="AD223" s="109">
        <f>Ruimtestaat[[#This Row],[uren / jaar weekend]]*Tariefsopbouw!$D$40</f>
        <v>0</v>
      </c>
      <c r="AE223" s="108">
        <f>Ruimtestaat[[#This Row],[Prest. (m2 /jaar) weekend]]+Ruimtestaat[[#This Row],[Prest. (m2 /jaar) werkdagen]]</f>
        <v>58.800000000000004</v>
      </c>
      <c r="AF223" s="108">
        <f>Ruimtestaat[[#This Row],[uren / jaar weekend]]+Ruimtestaat[[#This Row],[uren / jaar werkdagen]]</f>
        <v>0</v>
      </c>
      <c r="AG223" s="103">
        <f>Ruimtestaat[[#This Row],[kosten / jaar weekend]]+Ruimtestaat[[#This Row],[kosten / jaar werkdagen]]</f>
        <v>0</v>
      </c>
      <c r="AH223" s="103"/>
      <c r="AI223" s="110" t="str">
        <f>IF(Ruimtestaat[[#This Row],[Frequentie werkdagen]]="","",_xlfn.CONCAT(Ruimtestaat[[#This Row],[Ruimte code]],"-",Ruimtestaat[[#This Row],[Frequentie werkdagen]]," ",Ruimtestaat[[#This Row],[Vloer code]]))</f>
        <v>1-1m P</v>
      </c>
      <c r="AJ223" s="114" t="str">
        <f>_xlfn.IFNA(VLOOKUP($AI223,Programma!$F$3:$G$1101,2,0),"")</f>
        <v>_</v>
      </c>
      <c r="AK223" s="114" t="str">
        <f>_xlfn.IFNA(VLOOKUP($AI223,Programma!$F$3:$H$1101,3,0),"")</f>
        <v>_</v>
      </c>
      <c r="AL223" s="114" t="str">
        <f>_xlfn.IFNA(VLOOKUP($AI223,Programma!$F$3:$I$1101,4,0),"")</f>
        <v>1m</v>
      </c>
      <c r="AM223" s="114" t="str">
        <f>_xlfn.IFNA(VLOOKUP($AI223,Programma!$F$3:$J$1101,5,0),"")</f>
        <v>1m</v>
      </c>
      <c r="AN223" s="114" t="str">
        <f>_xlfn.IFNA(VLOOKUP($AI223,Programma!$F$3:$K$1101,6,0),"")</f>
        <v>1j</v>
      </c>
      <c r="AO223" s="114" t="str">
        <f>_xlfn.IFNA(VLOOKUP($AI223,Programma!$F$3:$L$1101,7,0),"")</f>
        <v>_</v>
      </c>
      <c r="AP223" s="114" t="str">
        <f>_xlfn.IFNA(VLOOKUP($AI223,Programma!$F$3:$M$1101,8,0),"")</f>
        <v>_</v>
      </c>
      <c r="AQ223" s="114" t="str">
        <f>_xlfn.IFNA(VLOOKUP($AI223,Programma!$F$3:$N$1101,9,0),"")</f>
        <v>_</v>
      </c>
      <c r="AR223" s="114" t="str">
        <f>_xlfn.IFNA(VLOOKUP($AI223,Programma!$F$3:$O$1101,10,0),"")</f>
        <v>_</v>
      </c>
      <c r="AS223" s="114" t="str">
        <f>_xlfn.IFNA(VLOOKUP($AI223,Programma!$F$3:$P$1101,11,0),"")</f>
        <v>_</v>
      </c>
      <c r="AT223" s="114" t="str">
        <f>_xlfn.IFNA(VLOOKUP($AI223,Programma!$F$3:$Q$1101,12,0),"")</f>
        <v>_</v>
      </c>
      <c r="AU223" s="114" t="str">
        <f>_xlfn.IFNA(VLOOKUP($AI223,Programma!$F$3:$R$1101,13,0),"")</f>
        <v>_</v>
      </c>
      <c r="AV223" s="114" t="str">
        <f>_xlfn.IFNA(VLOOKUP($AI223,Programma!$F$3:$S$1101,14,0),"")</f>
        <v>1m</v>
      </c>
      <c r="AW223" s="114" t="str">
        <f>_xlfn.IFNA(VLOOKUP($AI223,Programma!$F$3:$T$1101,15,0),"")</f>
        <v>4j</v>
      </c>
      <c r="AX223" s="114" t="str">
        <f>_xlfn.IFNA(VLOOKUP($AI223,Programma!$F$3:$U$1101,16,0),"")</f>
        <v>4j</v>
      </c>
      <c r="AY223" s="114" t="str">
        <f>_xlfn.IFNA(VLOOKUP($AI223,Programma!$F$3:$V$1101,17,0),"")</f>
        <v>_</v>
      </c>
      <c r="AZ223" s="114" t="str">
        <f>_xlfn.IFNA(VLOOKUP($AI223,Programma!$F$3:$W$1101,18,0),"")</f>
        <v>_</v>
      </c>
      <c r="BA223" s="114" t="str">
        <f>_xlfn.IFNA(VLOOKUP($AI223,Programma!$F$3:$X$1101,19,0),"")</f>
        <v>_</v>
      </c>
      <c r="BB223" s="114" t="str">
        <f>_xlfn.IFNA(VLOOKUP($AI223,Programma!$F$3:$Y$1101,20,0),"")</f>
        <v>_</v>
      </c>
      <c r="BC223" s="111"/>
      <c r="BD223" s="110" t="str">
        <f>IF(Ruimtestaat[[#This Row],[Frequentie weekend]]="","",_xlfn.CONCAT(Ruimtestaat[[#This Row],[Ruimte code]],"-",Ruimtestaat[[#This Row],[Frequentie weekend]]," ",Ruimtestaat[[#This Row],[Vloer code]]))</f>
        <v/>
      </c>
      <c r="BE223" s="114" t="str">
        <f>_xlfn.IFNA(VLOOKUP($BD223,Programma!$F$3:$G$1101,2,0),"")</f>
        <v/>
      </c>
      <c r="BF223" s="114" t="str">
        <f>_xlfn.IFNA(VLOOKUP($BD223,Programma!$F$3:$H$1101,3,0),"")</f>
        <v/>
      </c>
      <c r="BG223" s="114" t="str">
        <f>_xlfn.IFNA(VLOOKUP($BD223,Programma!$F$3:$I$1101,4,0),"")</f>
        <v/>
      </c>
      <c r="BH223" s="114" t="str">
        <f>_xlfn.IFNA(VLOOKUP($BD223,Programma!$F$3:$J$1101,5,0),"")</f>
        <v/>
      </c>
      <c r="BI223" s="114" t="str">
        <f>_xlfn.IFNA(VLOOKUP($BD223,Programma!$F$3:$K$1101,6,0),"")</f>
        <v/>
      </c>
      <c r="BJ223" s="114" t="str">
        <f>_xlfn.IFNA(VLOOKUP($BD223,Programma!$F$3:$L$1101,7,0),"")</f>
        <v/>
      </c>
      <c r="BK223" s="114" t="str">
        <f>_xlfn.IFNA(VLOOKUP($BD223,Programma!$F$3:$M$1101,8,0),"")</f>
        <v/>
      </c>
      <c r="BL223" s="114" t="str">
        <f>_xlfn.IFNA(VLOOKUP($BD223,Programma!$F$3:$N$1101,9,0),"")</f>
        <v/>
      </c>
      <c r="BM223" s="114" t="str">
        <f>_xlfn.IFNA(VLOOKUP($BD223,Programma!$F$3:$O$1101,10,0),"")</f>
        <v/>
      </c>
      <c r="BN223" s="114" t="str">
        <f>_xlfn.IFNA(VLOOKUP($BD223,Programma!$F$3:$P$1101,11,0),"")</f>
        <v/>
      </c>
      <c r="BO223" s="114" t="str">
        <f>_xlfn.IFNA(VLOOKUP($BD223,Programma!$F$3:$Q$1101,12,0),"")</f>
        <v/>
      </c>
      <c r="BP223" s="114" t="str">
        <f>_xlfn.IFNA(VLOOKUP($BD223,Programma!$F$3:$R$1101,13,0),"")</f>
        <v/>
      </c>
      <c r="BQ223" s="114" t="str">
        <f>_xlfn.IFNA(VLOOKUP($BD223,Programma!$F$3:$S$1101,14,0),"")</f>
        <v/>
      </c>
      <c r="BR223" s="114" t="str">
        <f>_xlfn.IFNA(VLOOKUP($BD223,Programma!$F$3:$T$1101,15,0),"")</f>
        <v/>
      </c>
      <c r="BS223" s="114" t="str">
        <f>_xlfn.IFNA(VLOOKUP($BD223,Programma!$F$3:$U$1101,16,0),"")</f>
        <v/>
      </c>
      <c r="BT223" s="114" t="str">
        <f>_xlfn.IFNA(VLOOKUP($BD223,Programma!$F$3:$V$1101,17,0),"")</f>
        <v/>
      </c>
      <c r="BU223" s="114" t="str">
        <f>_xlfn.IFNA(VLOOKUP($BD223,Programma!$F$3:$W$1101,18,0),"")</f>
        <v/>
      </c>
      <c r="BV223" s="114" t="str">
        <f>_xlfn.IFNA(VLOOKUP($BD223,Programma!$F$3:$X$1101,19,0),"")</f>
        <v/>
      </c>
      <c r="BW223" s="114" t="str">
        <f>_xlfn.IFNA(VLOOKUP($BD223,Programma!$F$3:$Y$1101,20,0),"")</f>
        <v/>
      </c>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c r="ET223" s="28"/>
      <c r="EU223" s="28"/>
      <c r="EV223" s="28"/>
      <c r="EW223" s="28"/>
      <c r="EX223" s="28"/>
      <c r="EY223" s="28"/>
      <c r="EZ223" s="28"/>
      <c r="FA223" s="28"/>
      <c r="FB223" s="28"/>
      <c r="FC223" s="28"/>
      <c r="FD223" s="28"/>
      <c r="FE223" s="28"/>
      <c r="FF223" s="28"/>
      <c r="FG223" s="28"/>
      <c r="FH223" s="28"/>
      <c r="FI223" s="28"/>
      <c r="FJ223" s="28"/>
      <c r="FK223" s="28"/>
      <c r="FL223" s="28"/>
      <c r="FM223" s="28"/>
      <c r="FN223" s="28"/>
      <c r="FO223" s="28"/>
      <c r="FP223" s="28"/>
      <c r="FQ223" s="28"/>
      <c r="FR223" s="28"/>
      <c r="FS223" s="28"/>
      <c r="FT223" s="28"/>
      <c r="FU223" s="28"/>
      <c r="FV223" s="28"/>
      <c r="FW223" s="28"/>
      <c r="FX223" s="28"/>
      <c r="FY223" s="28"/>
      <c r="FZ223" s="28"/>
      <c r="GA223" s="28"/>
      <c r="GB223" s="28"/>
      <c r="GC223" s="28"/>
      <c r="GD223" s="28"/>
      <c r="GE223" s="28"/>
      <c r="GF223" s="28"/>
      <c r="GG223" s="28"/>
      <c r="GH223" s="28"/>
      <c r="GI223" s="28"/>
      <c r="GJ223" s="28"/>
      <c r="GK223" s="28"/>
      <c r="GL223" s="28"/>
      <c r="GM223" s="28"/>
      <c r="GN223" s="28"/>
      <c r="GO223" s="28"/>
      <c r="GP223" s="28"/>
      <c r="GQ223" s="28"/>
      <c r="GR223" s="28"/>
      <c r="GS223" s="28"/>
      <c r="GT223" s="28"/>
      <c r="GU223" s="28"/>
      <c r="GV223" s="28"/>
      <c r="GW223" s="28"/>
      <c r="GX223" s="28"/>
      <c r="GY223" s="28"/>
      <c r="GZ223" s="28"/>
      <c r="HA223" s="28"/>
      <c r="HB223" s="28"/>
      <c r="HC223" s="28"/>
      <c r="HD223" s="28"/>
      <c r="HE223" s="28"/>
      <c r="HF223" s="28"/>
      <c r="HG223" s="28"/>
      <c r="HH223" s="28"/>
      <c r="HI223" s="28"/>
      <c r="HJ223" s="28"/>
      <c r="HK223" s="28"/>
      <c r="HL223" s="28"/>
    </row>
    <row r="224" spans="1:220" ht="15" customHeight="1">
      <c r="A224" s="31">
        <v>5</v>
      </c>
      <c r="B224" s="105" t="str">
        <f>VLOOKUP(Ruimtestaat[[#This Row],[Code]],Locaties[[Code]:[Locatie]],2,FALSE)</f>
        <v>IKC Remigius</v>
      </c>
      <c r="C224" s="105" t="str">
        <f>VLOOKUP(Ruimtestaat[[#This Row],[Code]],Locaties[[#All],[Code]:[Adres]],4,FALSE)</f>
        <v>Liemersplein 1</v>
      </c>
      <c r="D224" s="105" t="str">
        <f>VLOOKUP(Ruimtestaat[[#This Row],[Code]],Locaties[[#All],[Code]:[Postcode]],5,FALSE)</f>
        <v xml:space="preserve">6921 HN </v>
      </c>
      <c r="E224" s="105" t="str">
        <f>VLOOKUP(Ruimtestaat[[#This Row],[Code]],Locaties[#All],6,FALSE)</f>
        <v>Duiven</v>
      </c>
      <c r="F224" s="73"/>
      <c r="G224" s="73" t="s">
        <v>1645</v>
      </c>
      <c r="H224" s="31" t="s">
        <v>1719</v>
      </c>
      <c r="I224" s="113" t="s">
        <v>1813</v>
      </c>
      <c r="J224" s="31">
        <v>1</v>
      </c>
      <c r="K224" s="113" t="str">
        <f>VLOOKUP(Ruimtestaat[[#This Row],[Ruimte code]],Ruimtegroepen[[#All],[Code]:[Ruimte omschrijving]],2,FALSE)</f>
        <v>Magazijnen/bergingen</v>
      </c>
      <c r="L224" s="73" t="s">
        <v>102</v>
      </c>
      <c r="M224" s="273" t="s">
        <v>120</v>
      </c>
      <c r="N224" s="106">
        <v>1.9</v>
      </c>
      <c r="O224" s="112"/>
      <c r="P224" s="112"/>
      <c r="Q224" s="107" t="str">
        <f>VLOOKUP(Ruimtestaat[[#This Row],[Ruimte code]],Ruimtegroepen[],4,FALSE)</f>
        <v>Ve</v>
      </c>
      <c r="R224" s="73">
        <v>40</v>
      </c>
      <c r="S224" s="73" t="s">
        <v>16</v>
      </c>
      <c r="T224" s="73">
        <f>IF(R224&gt;0,IF(RIGHT(Ruimtestaat[[#This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24" s="73">
        <f>IF(T224&gt;0,VLOOKUP($J224,Ruimtegroepen[],3,FALSE)*VLOOKUP($L224,Vloersoorten[],3,FALSE)*VLOOKUP($S224,Frequenties[],3,FALSE)*VLOOKUP($A224,Locaties[],3,FALSE),0)</f>
        <v>0</v>
      </c>
      <c r="V224" s="73">
        <f>Ruimtestaat[[#This Row],[Uitvoeringen werkdagen]]*Ruimtestaat[[#This Row],[Oppervlak (netto)]]</f>
        <v>22.799999999999997</v>
      </c>
      <c r="W224" s="108">
        <f>IF(U224&gt;0,Ruimtestaat[[#This Row],[Prest. (m2 /jaar) werkdagen]]/Ruimtestaat[[#This Row],[Norm (m2/uur) werkdagen]],0)</f>
        <v>0</v>
      </c>
      <c r="X224" s="109">
        <f>Ruimtestaat[[#This Row],[uren / jaar werkdagen]]*Tariefsopbouw!$E$35</f>
        <v>0</v>
      </c>
      <c r="Y224" s="73"/>
      <c r="Z224" s="73">
        <f>IF(Ruimtestaat[[#This Row],[Frequentie weekend]]&gt;0,VALUE(LEFT(Y224,1))*R224,0)</f>
        <v>0</v>
      </c>
      <c r="AA224" s="72">
        <f>IF($Z224&gt;0,VLOOKUP($J224,Ruimtegroepen[],3,FALSE)*VLOOKUP($L224,Vloersoorten[],3,FALSE)*VLOOKUP($Y224,Frequenties[],3,FALSE)*VLOOKUP(Ruimtestaat[[#This Row],[Code]],Locaties[],3,FALSE),0)</f>
        <v>0</v>
      </c>
      <c r="AB224" s="72">
        <f>Ruimtestaat[[#This Row],[Uitvoeringen weekend]]*Ruimtestaat[[#This Row],[Oppervlak (netto)]]</f>
        <v>0</v>
      </c>
      <c r="AC224" s="72">
        <f>IF(AA224&gt;0,Ruimtestaat[[#This Row],[Prest. (m2 /jaar) weekend]]/Ruimtestaat[[#This Row],[Norm (m2/uur) weekend]],0)</f>
        <v>0</v>
      </c>
      <c r="AD224" s="109">
        <f>Ruimtestaat[[#This Row],[uren / jaar weekend]]*Tariefsopbouw!$D$40</f>
        <v>0</v>
      </c>
      <c r="AE224" s="108">
        <f>Ruimtestaat[[#This Row],[Prest. (m2 /jaar) weekend]]+Ruimtestaat[[#This Row],[Prest. (m2 /jaar) werkdagen]]</f>
        <v>22.799999999999997</v>
      </c>
      <c r="AF224" s="108">
        <f>Ruimtestaat[[#This Row],[uren / jaar weekend]]+Ruimtestaat[[#This Row],[uren / jaar werkdagen]]</f>
        <v>0</v>
      </c>
      <c r="AG224" s="103">
        <f>Ruimtestaat[[#This Row],[kosten / jaar weekend]]+Ruimtestaat[[#This Row],[kosten / jaar werkdagen]]</f>
        <v>0</v>
      </c>
      <c r="AH224" s="103"/>
      <c r="AI224" s="110" t="str">
        <f>IF(Ruimtestaat[[#This Row],[Frequentie werkdagen]]="","",_xlfn.CONCAT(Ruimtestaat[[#This Row],[Ruimte code]],"-",Ruimtestaat[[#This Row],[Frequentie werkdagen]]," ",Ruimtestaat[[#This Row],[Vloer code]]))</f>
        <v>1-1m P</v>
      </c>
      <c r="AJ224" s="114" t="str">
        <f>_xlfn.IFNA(VLOOKUP($AI224,Programma!$F$3:$G$1101,2,0),"")</f>
        <v>_</v>
      </c>
      <c r="AK224" s="114" t="str">
        <f>_xlfn.IFNA(VLOOKUP($AI224,Programma!$F$3:$H$1101,3,0),"")</f>
        <v>_</v>
      </c>
      <c r="AL224" s="114" t="str">
        <f>_xlfn.IFNA(VLOOKUP($AI224,Programma!$F$3:$I$1101,4,0),"")</f>
        <v>1m</v>
      </c>
      <c r="AM224" s="114" t="str">
        <f>_xlfn.IFNA(VLOOKUP($AI224,Programma!$F$3:$J$1101,5,0),"")</f>
        <v>1m</v>
      </c>
      <c r="AN224" s="114" t="str">
        <f>_xlfn.IFNA(VLOOKUP($AI224,Programma!$F$3:$K$1101,6,0),"")</f>
        <v>1j</v>
      </c>
      <c r="AO224" s="114" t="str">
        <f>_xlfn.IFNA(VLOOKUP($AI224,Programma!$F$3:$L$1101,7,0),"")</f>
        <v>_</v>
      </c>
      <c r="AP224" s="114" t="str">
        <f>_xlfn.IFNA(VLOOKUP($AI224,Programma!$F$3:$M$1101,8,0),"")</f>
        <v>_</v>
      </c>
      <c r="AQ224" s="114" t="str">
        <f>_xlfn.IFNA(VLOOKUP($AI224,Programma!$F$3:$N$1101,9,0),"")</f>
        <v>_</v>
      </c>
      <c r="AR224" s="114" t="str">
        <f>_xlfn.IFNA(VLOOKUP($AI224,Programma!$F$3:$O$1101,10,0),"")</f>
        <v>_</v>
      </c>
      <c r="AS224" s="114" t="str">
        <f>_xlfn.IFNA(VLOOKUP($AI224,Programma!$F$3:$P$1101,11,0),"")</f>
        <v>_</v>
      </c>
      <c r="AT224" s="114" t="str">
        <f>_xlfn.IFNA(VLOOKUP($AI224,Programma!$F$3:$Q$1101,12,0),"")</f>
        <v>_</v>
      </c>
      <c r="AU224" s="114" t="str">
        <f>_xlfn.IFNA(VLOOKUP($AI224,Programma!$F$3:$R$1101,13,0),"")</f>
        <v>_</v>
      </c>
      <c r="AV224" s="114" t="str">
        <f>_xlfn.IFNA(VLOOKUP($AI224,Programma!$F$3:$S$1101,14,0),"")</f>
        <v>1m</v>
      </c>
      <c r="AW224" s="114" t="str">
        <f>_xlfn.IFNA(VLOOKUP($AI224,Programma!$F$3:$T$1101,15,0),"")</f>
        <v>4j</v>
      </c>
      <c r="AX224" s="114" t="str">
        <f>_xlfn.IFNA(VLOOKUP($AI224,Programma!$F$3:$U$1101,16,0),"")</f>
        <v>4j</v>
      </c>
      <c r="AY224" s="114" t="str">
        <f>_xlfn.IFNA(VLOOKUP($AI224,Programma!$F$3:$V$1101,17,0),"")</f>
        <v>_</v>
      </c>
      <c r="AZ224" s="114" t="str">
        <f>_xlfn.IFNA(VLOOKUP($AI224,Programma!$F$3:$W$1101,18,0),"")</f>
        <v>_</v>
      </c>
      <c r="BA224" s="114" t="str">
        <f>_xlfn.IFNA(VLOOKUP($AI224,Programma!$F$3:$X$1101,19,0),"")</f>
        <v>_</v>
      </c>
      <c r="BB224" s="114" t="str">
        <f>_xlfn.IFNA(VLOOKUP($AI224,Programma!$F$3:$Y$1101,20,0),"")</f>
        <v>_</v>
      </c>
      <c r="BC224" s="111"/>
      <c r="BD224" s="110" t="str">
        <f>IF(Ruimtestaat[[#This Row],[Frequentie weekend]]="","",_xlfn.CONCAT(Ruimtestaat[[#This Row],[Ruimte code]],"-",Ruimtestaat[[#This Row],[Frequentie weekend]]," ",Ruimtestaat[[#This Row],[Vloer code]]))</f>
        <v/>
      </c>
      <c r="BE224" s="114" t="str">
        <f>_xlfn.IFNA(VLOOKUP($BD224,Programma!$F$3:$G$1101,2,0),"")</f>
        <v/>
      </c>
      <c r="BF224" s="114" t="str">
        <f>_xlfn.IFNA(VLOOKUP($BD224,Programma!$F$3:$H$1101,3,0),"")</f>
        <v/>
      </c>
      <c r="BG224" s="114" t="str">
        <f>_xlfn.IFNA(VLOOKUP($BD224,Programma!$F$3:$I$1101,4,0),"")</f>
        <v/>
      </c>
      <c r="BH224" s="114" t="str">
        <f>_xlfn.IFNA(VLOOKUP($BD224,Programma!$F$3:$J$1101,5,0),"")</f>
        <v/>
      </c>
      <c r="BI224" s="114" t="str">
        <f>_xlfn.IFNA(VLOOKUP($BD224,Programma!$F$3:$K$1101,6,0),"")</f>
        <v/>
      </c>
      <c r="BJ224" s="114" t="str">
        <f>_xlfn.IFNA(VLOOKUP($BD224,Programma!$F$3:$L$1101,7,0),"")</f>
        <v/>
      </c>
      <c r="BK224" s="114" t="str">
        <f>_xlfn.IFNA(VLOOKUP($BD224,Programma!$F$3:$M$1101,8,0),"")</f>
        <v/>
      </c>
      <c r="BL224" s="114" t="str">
        <f>_xlfn.IFNA(VLOOKUP($BD224,Programma!$F$3:$N$1101,9,0),"")</f>
        <v/>
      </c>
      <c r="BM224" s="114" t="str">
        <f>_xlfn.IFNA(VLOOKUP($BD224,Programma!$F$3:$O$1101,10,0),"")</f>
        <v/>
      </c>
      <c r="BN224" s="114" t="str">
        <f>_xlfn.IFNA(VLOOKUP($BD224,Programma!$F$3:$P$1101,11,0),"")</f>
        <v/>
      </c>
      <c r="BO224" s="114" t="str">
        <f>_xlfn.IFNA(VLOOKUP($BD224,Programma!$F$3:$Q$1101,12,0),"")</f>
        <v/>
      </c>
      <c r="BP224" s="114" t="str">
        <f>_xlfn.IFNA(VLOOKUP($BD224,Programma!$F$3:$R$1101,13,0),"")</f>
        <v/>
      </c>
      <c r="BQ224" s="114" t="str">
        <f>_xlfn.IFNA(VLOOKUP($BD224,Programma!$F$3:$S$1101,14,0),"")</f>
        <v/>
      </c>
      <c r="BR224" s="114" t="str">
        <f>_xlfn.IFNA(VLOOKUP($BD224,Programma!$F$3:$T$1101,15,0),"")</f>
        <v/>
      </c>
      <c r="BS224" s="114" t="str">
        <f>_xlfn.IFNA(VLOOKUP($BD224,Programma!$F$3:$U$1101,16,0),"")</f>
        <v/>
      </c>
      <c r="BT224" s="114" t="str">
        <f>_xlfn.IFNA(VLOOKUP($BD224,Programma!$F$3:$V$1101,17,0),"")</f>
        <v/>
      </c>
      <c r="BU224" s="114" t="str">
        <f>_xlfn.IFNA(VLOOKUP($BD224,Programma!$F$3:$W$1101,18,0),"")</f>
        <v/>
      </c>
      <c r="BV224" s="114" t="str">
        <f>_xlfn.IFNA(VLOOKUP($BD224,Programma!$F$3:$X$1101,19,0),"")</f>
        <v/>
      </c>
      <c r="BW224" s="114" t="str">
        <f>_xlfn.IFNA(VLOOKUP($BD224,Programma!$F$3:$Y$1101,20,0),"")</f>
        <v/>
      </c>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c r="ET224" s="28"/>
      <c r="EU224" s="28"/>
      <c r="EV224" s="28"/>
      <c r="EW224" s="28"/>
      <c r="EX224" s="28"/>
      <c r="EY224" s="28"/>
      <c r="EZ224" s="28"/>
      <c r="FA224" s="28"/>
      <c r="FB224" s="28"/>
      <c r="FC224" s="28"/>
      <c r="FD224" s="28"/>
      <c r="FE224" s="28"/>
      <c r="FF224" s="28"/>
      <c r="FG224" s="28"/>
      <c r="FH224" s="28"/>
      <c r="FI224" s="28"/>
      <c r="FJ224" s="28"/>
      <c r="FK224" s="28"/>
      <c r="FL224" s="28"/>
      <c r="FM224" s="28"/>
      <c r="FN224" s="28"/>
      <c r="FO224" s="28"/>
      <c r="FP224" s="28"/>
      <c r="FQ224" s="28"/>
      <c r="FR224" s="28"/>
      <c r="FS224" s="28"/>
      <c r="FT224" s="28"/>
      <c r="FU224" s="28"/>
      <c r="FV224" s="28"/>
      <c r="FW224" s="28"/>
      <c r="FX224" s="28"/>
      <c r="FY224" s="28"/>
      <c r="FZ224" s="28"/>
      <c r="GA224" s="28"/>
      <c r="GB224" s="28"/>
      <c r="GC224" s="28"/>
      <c r="GD224" s="28"/>
      <c r="GE224" s="28"/>
      <c r="GF224" s="28"/>
      <c r="GG224" s="28"/>
      <c r="GH224" s="28"/>
      <c r="GI224" s="28"/>
      <c r="GJ224" s="28"/>
      <c r="GK224" s="28"/>
      <c r="GL224" s="28"/>
      <c r="GM224" s="28"/>
      <c r="GN224" s="28"/>
      <c r="GO224" s="28"/>
      <c r="GP224" s="28"/>
      <c r="GQ224" s="28"/>
      <c r="GR224" s="28"/>
      <c r="GS224" s="28"/>
      <c r="GT224" s="28"/>
      <c r="GU224" s="28"/>
      <c r="GV224" s="28"/>
      <c r="GW224" s="28"/>
      <c r="GX224" s="28"/>
      <c r="GY224" s="28"/>
      <c r="GZ224" s="28"/>
      <c r="HA224" s="28"/>
      <c r="HB224" s="28"/>
      <c r="HC224" s="28"/>
      <c r="HD224" s="28"/>
      <c r="HE224" s="28"/>
      <c r="HF224" s="28"/>
      <c r="HG224" s="28"/>
      <c r="HH224" s="28"/>
      <c r="HI224" s="28"/>
      <c r="HJ224" s="28"/>
      <c r="HK224" s="28"/>
      <c r="HL224" s="28"/>
    </row>
    <row r="225" spans="1:220" ht="15" customHeight="1">
      <c r="A225" s="31">
        <v>5</v>
      </c>
      <c r="B225" s="105" t="str">
        <f>VLOOKUP(Ruimtestaat[[#This Row],[Code]],Locaties[[Code]:[Locatie]],2,FALSE)</f>
        <v>IKC Remigius</v>
      </c>
      <c r="C225" s="105" t="str">
        <f>VLOOKUP(Ruimtestaat[[#This Row],[Code]],Locaties[[#All],[Code]:[Adres]],4,FALSE)</f>
        <v>Liemersplein 1</v>
      </c>
      <c r="D225" s="105" t="str">
        <f>VLOOKUP(Ruimtestaat[[#This Row],[Code]],Locaties[[#All],[Code]:[Postcode]],5,FALSE)</f>
        <v xml:space="preserve">6921 HN </v>
      </c>
      <c r="E225" s="105" t="str">
        <f>VLOOKUP(Ruimtestaat[[#This Row],[Code]],Locaties[#All],6,FALSE)</f>
        <v>Duiven</v>
      </c>
      <c r="F225" s="73"/>
      <c r="G225" s="73" t="s">
        <v>1645</v>
      </c>
      <c r="H225" s="31" t="s">
        <v>1763</v>
      </c>
      <c r="I225" s="113" t="s">
        <v>1659</v>
      </c>
      <c r="J225" s="31">
        <v>6</v>
      </c>
      <c r="K225" s="113" t="str">
        <f>VLOOKUP(Ruimtestaat[[#This Row],[Ruimte code]],Ruimtegroepen[[#All],[Code]:[Ruimte omschrijving]],2,FALSE)</f>
        <v>Gangen/hallen</v>
      </c>
      <c r="L225" s="73" t="s">
        <v>102</v>
      </c>
      <c r="M225" s="273" t="s">
        <v>120</v>
      </c>
      <c r="N225" s="106">
        <v>48.7</v>
      </c>
      <c r="O225" s="112"/>
      <c r="P225" s="73"/>
      <c r="Q225" s="107" t="str">
        <f>VLOOKUP(Ruimtestaat[[#This Row],[Ruimte code]],Ruimtegroepen[],4,FALSE)</f>
        <v>Ve</v>
      </c>
      <c r="R225" s="73">
        <v>40</v>
      </c>
      <c r="S225" s="73" t="s">
        <v>2</v>
      </c>
      <c r="T225" s="73">
        <f>IF(R225&gt;0,IF(RIGHT(Ruimtestaat[[#This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5" s="73">
        <f>IF(T225&gt;0,VLOOKUP($J225,Ruimtegroepen[],3,FALSE)*VLOOKUP($L225,Vloersoorten[],3,FALSE)*VLOOKUP($S225,Frequenties[],3,FALSE)*VLOOKUP($A225,Locaties[],3,FALSE),0)</f>
        <v>0</v>
      </c>
      <c r="V225" s="73">
        <f>Ruimtestaat[[#This Row],[Uitvoeringen werkdagen]]*Ruimtestaat[[#This Row],[Oppervlak (netto)]]</f>
        <v>9740</v>
      </c>
      <c r="W225" s="108">
        <f>IF(U225&gt;0,Ruimtestaat[[#This Row],[Prest. (m2 /jaar) werkdagen]]/Ruimtestaat[[#This Row],[Norm (m2/uur) werkdagen]],0)</f>
        <v>0</v>
      </c>
      <c r="X225" s="109">
        <f>Ruimtestaat[[#This Row],[uren / jaar werkdagen]]*Tariefsopbouw!$E$35</f>
        <v>0</v>
      </c>
      <c r="Y225" s="73"/>
      <c r="Z225" s="73">
        <f>IF(Ruimtestaat[[#This Row],[Frequentie weekend]]&gt;0,VALUE(LEFT(Y225,1))*R225,0)</f>
        <v>0</v>
      </c>
      <c r="AA225" s="72">
        <f>IF($Z225&gt;0,VLOOKUP($J225,Ruimtegroepen[],3,FALSE)*VLOOKUP($L225,Vloersoorten[],3,FALSE)*VLOOKUP($Y225,Frequenties[],3,FALSE)*VLOOKUP(Ruimtestaat[[#This Row],[Code]],Locaties[],3,FALSE),0)</f>
        <v>0</v>
      </c>
      <c r="AB225" s="72">
        <f>Ruimtestaat[[#This Row],[Uitvoeringen weekend]]*Ruimtestaat[[#This Row],[Oppervlak (netto)]]</f>
        <v>0</v>
      </c>
      <c r="AC225" s="72">
        <f>IF(AA225&gt;0,Ruimtestaat[[#This Row],[Prest. (m2 /jaar) weekend]]/Ruimtestaat[[#This Row],[Norm (m2/uur) weekend]],0)</f>
        <v>0</v>
      </c>
      <c r="AD225" s="109">
        <f>Ruimtestaat[[#This Row],[uren / jaar weekend]]*Tariefsopbouw!$D$40</f>
        <v>0</v>
      </c>
      <c r="AE225" s="108">
        <f>Ruimtestaat[[#This Row],[Prest. (m2 /jaar) weekend]]+Ruimtestaat[[#This Row],[Prest. (m2 /jaar) werkdagen]]</f>
        <v>9740</v>
      </c>
      <c r="AF225" s="108">
        <f>Ruimtestaat[[#This Row],[uren / jaar weekend]]+Ruimtestaat[[#This Row],[uren / jaar werkdagen]]</f>
        <v>0</v>
      </c>
      <c r="AG225" s="103">
        <f>Ruimtestaat[[#This Row],[kosten / jaar weekend]]+Ruimtestaat[[#This Row],[kosten / jaar werkdagen]]</f>
        <v>0</v>
      </c>
      <c r="AH225" s="103"/>
      <c r="AI225" s="110" t="str">
        <f>IF(Ruimtestaat[[#This Row],[Frequentie werkdagen]]="","",_xlfn.CONCAT(Ruimtestaat[[#This Row],[Ruimte code]],"-",Ruimtestaat[[#This Row],[Frequentie werkdagen]]," ",Ruimtestaat[[#This Row],[Vloer code]]))</f>
        <v>6-5w P</v>
      </c>
      <c r="AJ225" s="114" t="str">
        <f>_xlfn.IFNA(VLOOKUP($AI225,Programma!$F$3:$G$1101,2,0),"")</f>
        <v>_</v>
      </c>
      <c r="AK225" s="114" t="str">
        <f>_xlfn.IFNA(VLOOKUP($AI225,Programma!$F$3:$H$1101,3,0),"")</f>
        <v>_</v>
      </c>
      <c r="AL225" s="114" t="str">
        <f>_xlfn.IFNA(VLOOKUP($AI225,Programma!$F$3:$I$1101,4,0),"")</f>
        <v>5w</v>
      </c>
      <c r="AM225" s="114" t="str">
        <f>_xlfn.IFNA(VLOOKUP($AI225,Programma!$F$3:$J$1101,5,0),"")</f>
        <v>_</v>
      </c>
      <c r="AN225" s="114" t="str">
        <f>_xlfn.IFNA(VLOOKUP($AI225,Programma!$F$3:$K$1101,6,0),"")</f>
        <v>5w</v>
      </c>
      <c r="AO225" s="114" t="str">
        <f>_xlfn.IFNA(VLOOKUP($AI225,Programma!$F$3:$L$1101,7,0),"")</f>
        <v>_</v>
      </c>
      <c r="AP225" s="114" t="str">
        <f>_xlfn.IFNA(VLOOKUP($AI225,Programma!$F$3:$M$1101,8,0),"")</f>
        <v>_</v>
      </c>
      <c r="AQ225" s="114" t="str">
        <f>_xlfn.IFNA(VLOOKUP($AI225,Programma!$F$3:$N$1101,9,0),"")</f>
        <v>_</v>
      </c>
      <c r="AR225" s="114" t="str">
        <f>_xlfn.IFNA(VLOOKUP($AI225,Programma!$F$3:$O$1101,10,0),"")</f>
        <v>5w</v>
      </c>
      <c r="AS225" s="114" t="str">
        <f>_xlfn.IFNA(VLOOKUP($AI225,Programma!$F$3:$P$1101,11,0),"")</f>
        <v>5w</v>
      </c>
      <c r="AT225" s="114" t="str">
        <f>_xlfn.IFNA(VLOOKUP($AI225,Programma!$F$3:$Q$1101,12,0),"")</f>
        <v>1w</v>
      </c>
      <c r="AU225" s="114" t="str">
        <f>_xlfn.IFNA(VLOOKUP($AI225,Programma!$F$3:$R$1101,13,0),"")</f>
        <v>1w</v>
      </c>
      <c r="AV225" s="114" t="str">
        <f>_xlfn.IFNA(VLOOKUP($AI225,Programma!$F$3:$S$1101,14,0),"")</f>
        <v>1m</v>
      </c>
      <c r="AW225" s="114" t="str">
        <f>_xlfn.IFNA(VLOOKUP($AI225,Programma!$F$3:$T$1101,15,0),"")</f>
        <v>2j</v>
      </c>
      <c r="AX225" s="114" t="str">
        <f>_xlfn.IFNA(VLOOKUP($AI225,Programma!$F$3:$U$1101,16,0),"")</f>
        <v>1j</v>
      </c>
      <c r="AY225" s="114" t="str">
        <f>_xlfn.IFNA(VLOOKUP($AI225,Programma!$F$3:$V$1101,17,0),"")</f>
        <v>_</v>
      </c>
      <c r="AZ225" s="114" t="str">
        <f>_xlfn.IFNA(VLOOKUP($AI225,Programma!$F$3:$W$1101,18,0),"")</f>
        <v>_</v>
      </c>
      <c r="BA225" s="114" t="str">
        <f>_xlfn.IFNA(VLOOKUP($AI225,Programma!$F$3:$X$1101,19,0),"")</f>
        <v>_</v>
      </c>
      <c r="BB225" s="114" t="str">
        <f>_xlfn.IFNA(VLOOKUP($AI225,Programma!$F$3:$Y$1101,20,0),"")</f>
        <v>_</v>
      </c>
      <c r="BC225" s="111"/>
      <c r="BD225" s="110" t="str">
        <f>IF(Ruimtestaat[[#This Row],[Frequentie weekend]]="","",_xlfn.CONCAT(Ruimtestaat[[#This Row],[Ruimte code]],"-",Ruimtestaat[[#This Row],[Frequentie weekend]]," ",Ruimtestaat[[#This Row],[Vloer code]]))</f>
        <v/>
      </c>
      <c r="BE225" s="114" t="str">
        <f>_xlfn.IFNA(VLOOKUP($BD225,Programma!$F$3:$G$1101,2,0),"")</f>
        <v/>
      </c>
      <c r="BF225" s="114" t="str">
        <f>_xlfn.IFNA(VLOOKUP($BD225,Programma!$F$3:$H$1101,3,0),"")</f>
        <v/>
      </c>
      <c r="BG225" s="114" t="str">
        <f>_xlfn.IFNA(VLOOKUP($BD225,Programma!$F$3:$I$1101,4,0),"")</f>
        <v/>
      </c>
      <c r="BH225" s="114" t="str">
        <f>_xlfn.IFNA(VLOOKUP($BD225,Programma!$F$3:$J$1101,5,0),"")</f>
        <v/>
      </c>
      <c r="BI225" s="114" t="str">
        <f>_xlfn.IFNA(VLOOKUP($BD225,Programma!$F$3:$K$1101,6,0),"")</f>
        <v/>
      </c>
      <c r="BJ225" s="114" t="str">
        <f>_xlfn.IFNA(VLOOKUP($BD225,Programma!$F$3:$L$1101,7,0),"")</f>
        <v/>
      </c>
      <c r="BK225" s="114" t="str">
        <f>_xlfn.IFNA(VLOOKUP($BD225,Programma!$F$3:$M$1101,8,0),"")</f>
        <v/>
      </c>
      <c r="BL225" s="114" t="str">
        <f>_xlfn.IFNA(VLOOKUP($BD225,Programma!$F$3:$N$1101,9,0),"")</f>
        <v/>
      </c>
      <c r="BM225" s="114" t="str">
        <f>_xlfn.IFNA(VLOOKUP($BD225,Programma!$F$3:$O$1101,10,0),"")</f>
        <v/>
      </c>
      <c r="BN225" s="114" t="str">
        <f>_xlfn.IFNA(VLOOKUP($BD225,Programma!$F$3:$P$1101,11,0),"")</f>
        <v/>
      </c>
      <c r="BO225" s="114" t="str">
        <f>_xlfn.IFNA(VLOOKUP($BD225,Programma!$F$3:$Q$1101,12,0),"")</f>
        <v/>
      </c>
      <c r="BP225" s="114" t="str">
        <f>_xlfn.IFNA(VLOOKUP($BD225,Programma!$F$3:$R$1101,13,0),"")</f>
        <v/>
      </c>
      <c r="BQ225" s="114" t="str">
        <f>_xlfn.IFNA(VLOOKUP($BD225,Programma!$F$3:$S$1101,14,0),"")</f>
        <v/>
      </c>
      <c r="BR225" s="114" t="str">
        <f>_xlfn.IFNA(VLOOKUP($BD225,Programma!$F$3:$T$1101,15,0),"")</f>
        <v/>
      </c>
      <c r="BS225" s="114" t="str">
        <f>_xlfn.IFNA(VLOOKUP($BD225,Programma!$F$3:$U$1101,16,0),"")</f>
        <v/>
      </c>
      <c r="BT225" s="114" t="str">
        <f>_xlfn.IFNA(VLOOKUP($BD225,Programma!$F$3:$V$1101,17,0),"")</f>
        <v/>
      </c>
      <c r="BU225" s="114" t="str">
        <f>_xlfn.IFNA(VLOOKUP($BD225,Programma!$F$3:$W$1101,18,0),"")</f>
        <v/>
      </c>
      <c r="BV225" s="114" t="str">
        <f>_xlfn.IFNA(VLOOKUP($BD225,Programma!$F$3:$X$1101,19,0),"")</f>
        <v/>
      </c>
      <c r="BW225" s="114" t="str">
        <f>_xlfn.IFNA(VLOOKUP($BD225,Programma!$F$3:$Y$1101,20,0),"")</f>
        <v/>
      </c>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c r="ET225" s="28"/>
      <c r="EU225" s="28"/>
      <c r="EV225" s="28"/>
      <c r="EW225" s="28"/>
      <c r="EX225" s="28"/>
      <c r="EY225" s="28"/>
      <c r="EZ225" s="28"/>
      <c r="FA225" s="28"/>
      <c r="FB225" s="28"/>
      <c r="FC225" s="28"/>
      <c r="FD225" s="28"/>
      <c r="FE225" s="28"/>
      <c r="FF225" s="28"/>
      <c r="FG225" s="28"/>
      <c r="FH225" s="28"/>
      <c r="FI225" s="28"/>
      <c r="FJ225" s="28"/>
      <c r="FK225" s="28"/>
      <c r="FL225" s="28"/>
      <c r="FM225" s="28"/>
      <c r="FN225" s="28"/>
      <c r="FO225" s="28"/>
      <c r="FP225" s="28"/>
      <c r="FQ225" s="28"/>
      <c r="FR225" s="28"/>
      <c r="FS225" s="28"/>
      <c r="FT225" s="28"/>
      <c r="FU225" s="28"/>
      <c r="FV225" s="28"/>
      <c r="FW225" s="28"/>
      <c r="FX225" s="28"/>
      <c r="FY225" s="28"/>
      <c r="FZ225" s="28"/>
      <c r="GA225" s="28"/>
      <c r="GB225" s="28"/>
      <c r="GC225" s="28"/>
      <c r="GD225" s="28"/>
      <c r="GE225" s="28"/>
      <c r="GF225" s="28"/>
      <c r="GG225" s="28"/>
      <c r="GH225" s="28"/>
      <c r="GI225" s="28"/>
      <c r="GJ225" s="28"/>
      <c r="GK225" s="28"/>
      <c r="GL225" s="28"/>
      <c r="GM225" s="28"/>
      <c r="GN225" s="28"/>
      <c r="GO225" s="28"/>
      <c r="GP225" s="28"/>
      <c r="GQ225" s="28"/>
      <c r="GR225" s="28"/>
      <c r="GS225" s="28"/>
      <c r="GT225" s="28"/>
      <c r="GU225" s="28"/>
      <c r="GV225" s="28"/>
      <c r="GW225" s="28"/>
      <c r="GX225" s="28"/>
      <c r="GY225" s="28"/>
      <c r="GZ225" s="28"/>
      <c r="HA225" s="28"/>
      <c r="HB225" s="28"/>
      <c r="HC225" s="28"/>
      <c r="HD225" s="28"/>
      <c r="HE225" s="28"/>
      <c r="HF225" s="28"/>
      <c r="HG225" s="28"/>
      <c r="HH225" s="28"/>
      <c r="HI225" s="28"/>
      <c r="HJ225" s="28"/>
      <c r="HK225" s="28"/>
      <c r="HL225" s="28"/>
    </row>
    <row r="226" spans="1:220" ht="15" customHeight="1">
      <c r="A226" s="31">
        <v>5</v>
      </c>
      <c r="B226" s="105" t="str">
        <f>VLOOKUP(Ruimtestaat[[#This Row],[Code]],Locaties[[Code]:[Locatie]],2,FALSE)</f>
        <v>IKC Remigius</v>
      </c>
      <c r="C226" s="105" t="str">
        <f>VLOOKUP(Ruimtestaat[[#This Row],[Code]],Locaties[[#All],[Code]:[Adres]],4,FALSE)</f>
        <v>Liemersplein 1</v>
      </c>
      <c r="D226" s="105" t="str">
        <f>VLOOKUP(Ruimtestaat[[#This Row],[Code]],Locaties[[#All],[Code]:[Postcode]],5,FALSE)</f>
        <v xml:space="preserve">6921 HN </v>
      </c>
      <c r="E226" s="105" t="str">
        <f>VLOOKUP(Ruimtestaat[[#This Row],[Code]],Locaties[#All],6,FALSE)</f>
        <v>Duiven</v>
      </c>
      <c r="F226" s="73" t="s">
        <v>1824</v>
      </c>
      <c r="G226" s="73" t="s">
        <v>1645</v>
      </c>
      <c r="H226" s="31" t="s">
        <v>1764</v>
      </c>
      <c r="I226" s="113" t="s">
        <v>1828</v>
      </c>
      <c r="J226" s="31">
        <v>20</v>
      </c>
      <c r="K226" s="113" t="str">
        <f>VLOOKUP(Ruimtestaat[[#This Row],[Ruimte code]],Ruimtegroepen[[#All],[Code]:[Ruimte omschrijving]],2,FALSE)</f>
        <v>Niet in Onderhoud</v>
      </c>
      <c r="L226" s="73"/>
      <c r="M226" s="273"/>
      <c r="N226" s="106"/>
      <c r="O226" s="112">
        <v>2.4</v>
      </c>
      <c r="P226" s="112"/>
      <c r="Q226" s="107">
        <f>VLOOKUP(Ruimtestaat[[#This Row],[Ruimte code]],Ruimtegroepen[],4,FALSE)</f>
        <v>0</v>
      </c>
      <c r="R226" s="73"/>
      <c r="S226" s="73"/>
      <c r="T226" s="73">
        <f>IF(R226&gt;0,IF(RIGHT(Ruimtestaat[[#This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6" s="73">
        <f>IF(T226&gt;0,VLOOKUP($J226,Ruimtegroepen[],3,FALSE)*VLOOKUP($L226,Vloersoorten[],3,FALSE)*VLOOKUP($S226,Frequenties[],3,FALSE)*VLOOKUP($A226,Locaties[],3,FALSE),0)</f>
        <v>0</v>
      </c>
      <c r="V226" s="73">
        <f>Ruimtestaat[[#This Row],[Uitvoeringen werkdagen]]*Ruimtestaat[[#This Row],[Oppervlak (netto)]]</f>
        <v>0</v>
      </c>
      <c r="W226" s="108">
        <f>IF(U226&gt;0,Ruimtestaat[[#This Row],[Prest. (m2 /jaar) werkdagen]]/Ruimtestaat[[#This Row],[Norm (m2/uur) werkdagen]],0)</f>
        <v>0</v>
      </c>
      <c r="X226" s="109">
        <f>Ruimtestaat[[#This Row],[uren / jaar werkdagen]]*Tariefsopbouw!$E$35</f>
        <v>0</v>
      </c>
      <c r="Y226" s="73"/>
      <c r="Z226" s="73">
        <f>IF(Ruimtestaat[[#This Row],[Frequentie weekend]]&gt;0,VALUE(LEFT(Y226,1))*R226,0)</f>
        <v>0</v>
      </c>
      <c r="AA226" s="72">
        <f>IF($Z226&gt;0,VLOOKUP($J226,Ruimtegroepen[],3,FALSE)*VLOOKUP($L226,Vloersoorten[],3,FALSE)*VLOOKUP($Y226,Frequenties[],3,FALSE)*VLOOKUP(Ruimtestaat[[#This Row],[Code]],Locaties[],3,FALSE),0)</f>
        <v>0</v>
      </c>
      <c r="AB226" s="72">
        <f>Ruimtestaat[[#This Row],[Uitvoeringen weekend]]*Ruimtestaat[[#This Row],[Oppervlak (netto)]]</f>
        <v>0</v>
      </c>
      <c r="AC226" s="72">
        <f>IF(AA226&gt;0,Ruimtestaat[[#This Row],[Prest. (m2 /jaar) weekend]]/Ruimtestaat[[#This Row],[Norm (m2/uur) weekend]],0)</f>
        <v>0</v>
      </c>
      <c r="AD226" s="109">
        <f>Ruimtestaat[[#This Row],[uren / jaar weekend]]*Tariefsopbouw!$D$40</f>
        <v>0</v>
      </c>
      <c r="AE226" s="108">
        <f>Ruimtestaat[[#This Row],[Prest. (m2 /jaar) weekend]]+Ruimtestaat[[#This Row],[Prest. (m2 /jaar) werkdagen]]</f>
        <v>0</v>
      </c>
      <c r="AF226" s="108">
        <f>Ruimtestaat[[#This Row],[uren / jaar weekend]]+Ruimtestaat[[#This Row],[uren / jaar werkdagen]]</f>
        <v>0</v>
      </c>
      <c r="AG226" s="103">
        <f>Ruimtestaat[[#This Row],[kosten / jaar weekend]]+Ruimtestaat[[#This Row],[kosten / jaar werkdagen]]</f>
        <v>0</v>
      </c>
      <c r="AH226" s="103"/>
      <c r="AI226" s="110" t="str">
        <f>IF(Ruimtestaat[[#This Row],[Frequentie werkdagen]]="","",_xlfn.CONCAT(Ruimtestaat[[#This Row],[Ruimte code]],"-",Ruimtestaat[[#This Row],[Frequentie werkdagen]]," ",Ruimtestaat[[#This Row],[Vloer code]]))</f>
        <v/>
      </c>
      <c r="AJ226" s="114" t="str">
        <f>_xlfn.IFNA(VLOOKUP($AI226,Programma!$F$3:$G$1101,2,0),"")</f>
        <v/>
      </c>
      <c r="AK226" s="114" t="str">
        <f>_xlfn.IFNA(VLOOKUP($AI226,Programma!$F$3:$H$1101,3,0),"")</f>
        <v/>
      </c>
      <c r="AL226" s="114" t="str">
        <f>_xlfn.IFNA(VLOOKUP($AI226,Programma!$F$3:$I$1101,4,0),"")</f>
        <v/>
      </c>
      <c r="AM226" s="114" t="str">
        <f>_xlfn.IFNA(VLOOKUP($AI226,Programma!$F$3:$J$1101,5,0),"")</f>
        <v/>
      </c>
      <c r="AN226" s="114" t="str">
        <f>_xlfn.IFNA(VLOOKUP($AI226,Programma!$F$3:$K$1101,6,0),"")</f>
        <v/>
      </c>
      <c r="AO226" s="114" t="str">
        <f>_xlfn.IFNA(VLOOKUP($AI226,Programma!$F$3:$L$1101,7,0),"")</f>
        <v/>
      </c>
      <c r="AP226" s="114" t="str">
        <f>_xlfn.IFNA(VLOOKUP($AI226,Programma!$F$3:$M$1101,8,0),"")</f>
        <v/>
      </c>
      <c r="AQ226" s="114" t="str">
        <f>_xlfn.IFNA(VLOOKUP($AI226,Programma!$F$3:$N$1101,9,0),"")</f>
        <v/>
      </c>
      <c r="AR226" s="114" t="str">
        <f>_xlfn.IFNA(VLOOKUP($AI226,Programma!$F$3:$O$1101,10,0),"")</f>
        <v/>
      </c>
      <c r="AS226" s="114" t="str">
        <f>_xlfn.IFNA(VLOOKUP($AI226,Programma!$F$3:$P$1101,11,0),"")</f>
        <v/>
      </c>
      <c r="AT226" s="114" t="str">
        <f>_xlfn.IFNA(VLOOKUP($AI226,Programma!$F$3:$Q$1101,12,0),"")</f>
        <v/>
      </c>
      <c r="AU226" s="114" t="str">
        <f>_xlfn.IFNA(VLOOKUP($AI226,Programma!$F$3:$R$1101,13,0),"")</f>
        <v/>
      </c>
      <c r="AV226" s="114" t="str">
        <f>_xlfn.IFNA(VLOOKUP($AI226,Programma!$F$3:$S$1101,14,0),"")</f>
        <v/>
      </c>
      <c r="AW226" s="114" t="str">
        <f>_xlfn.IFNA(VLOOKUP($AI226,Programma!$F$3:$T$1101,15,0),"")</f>
        <v/>
      </c>
      <c r="AX226" s="114" t="str">
        <f>_xlfn.IFNA(VLOOKUP($AI226,Programma!$F$3:$U$1101,16,0),"")</f>
        <v/>
      </c>
      <c r="AY226" s="114" t="str">
        <f>_xlfn.IFNA(VLOOKUP($AI226,Programma!$F$3:$V$1101,17,0),"")</f>
        <v/>
      </c>
      <c r="AZ226" s="114" t="str">
        <f>_xlfn.IFNA(VLOOKUP($AI226,Programma!$F$3:$W$1101,18,0),"")</f>
        <v/>
      </c>
      <c r="BA226" s="114" t="str">
        <f>_xlfn.IFNA(VLOOKUP($AI226,Programma!$F$3:$X$1101,19,0),"")</f>
        <v/>
      </c>
      <c r="BB226" s="114" t="str">
        <f>_xlfn.IFNA(VLOOKUP($AI226,Programma!$F$3:$Y$1101,20,0),"")</f>
        <v/>
      </c>
      <c r="BC226" s="111"/>
      <c r="BD226" s="110" t="str">
        <f>IF(Ruimtestaat[[#This Row],[Frequentie weekend]]="","",_xlfn.CONCAT(Ruimtestaat[[#This Row],[Ruimte code]],"-",Ruimtestaat[[#This Row],[Frequentie weekend]]," ",Ruimtestaat[[#This Row],[Vloer code]]))</f>
        <v/>
      </c>
      <c r="BE226" s="114" t="str">
        <f>_xlfn.IFNA(VLOOKUP($BD226,Programma!$F$3:$G$1101,2,0),"")</f>
        <v/>
      </c>
      <c r="BF226" s="114" t="str">
        <f>_xlfn.IFNA(VLOOKUP($BD226,Programma!$F$3:$H$1101,3,0),"")</f>
        <v/>
      </c>
      <c r="BG226" s="114" t="str">
        <f>_xlfn.IFNA(VLOOKUP($BD226,Programma!$F$3:$I$1101,4,0),"")</f>
        <v/>
      </c>
      <c r="BH226" s="114" t="str">
        <f>_xlfn.IFNA(VLOOKUP($BD226,Programma!$F$3:$J$1101,5,0),"")</f>
        <v/>
      </c>
      <c r="BI226" s="114" t="str">
        <f>_xlfn.IFNA(VLOOKUP($BD226,Programma!$F$3:$K$1101,6,0),"")</f>
        <v/>
      </c>
      <c r="BJ226" s="114" t="str">
        <f>_xlfn.IFNA(VLOOKUP($BD226,Programma!$F$3:$L$1101,7,0),"")</f>
        <v/>
      </c>
      <c r="BK226" s="114" t="str">
        <f>_xlfn.IFNA(VLOOKUP($BD226,Programma!$F$3:$M$1101,8,0),"")</f>
        <v/>
      </c>
      <c r="BL226" s="114" t="str">
        <f>_xlfn.IFNA(VLOOKUP($BD226,Programma!$F$3:$N$1101,9,0),"")</f>
        <v/>
      </c>
      <c r="BM226" s="114" t="str">
        <f>_xlfn.IFNA(VLOOKUP($BD226,Programma!$F$3:$O$1101,10,0),"")</f>
        <v/>
      </c>
      <c r="BN226" s="114" t="str">
        <f>_xlfn.IFNA(VLOOKUP($BD226,Programma!$F$3:$P$1101,11,0),"")</f>
        <v/>
      </c>
      <c r="BO226" s="114" t="str">
        <f>_xlfn.IFNA(VLOOKUP($BD226,Programma!$F$3:$Q$1101,12,0),"")</f>
        <v/>
      </c>
      <c r="BP226" s="114" t="str">
        <f>_xlfn.IFNA(VLOOKUP($BD226,Programma!$F$3:$R$1101,13,0),"")</f>
        <v/>
      </c>
      <c r="BQ226" s="114" t="str">
        <f>_xlfn.IFNA(VLOOKUP($BD226,Programma!$F$3:$S$1101,14,0),"")</f>
        <v/>
      </c>
      <c r="BR226" s="114" t="str">
        <f>_xlfn.IFNA(VLOOKUP($BD226,Programma!$F$3:$T$1101,15,0),"")</f>
        <v/>
      </c>
      <c r="BS226" s="114" t="str">
        <f>_xlfn.IFNA(VLOOKUP($BD226,Programma!$F$3:$U$1101,16,0),"")</f>
        <v/>
      </c>
      <c r="BT226" s="114" t="str">
        <f>_xlfn.IFNA(VLOOKUP($BD226,Programma!$F$3:$V$1101,17,0),"")</f>
        <v/>
      </c>
      <c r="BU226" s="114" t="str">
        <f>_xlfn.IFNA(VLOOKUP($BD226,Programma!$F$3:$W$1101,18,0),"")</f>
        <v/>
      </c>
      <c r="BV226" s="114" t="str">
        <f>_xlfn.IFNA(VLOOKUP($BD226,Programma!$F$3:$X$1101,19,0),"")</f>
        <v/>
      </c>
      <c r="BW226" s="114" t="str">
        <f>_xlfn.IFNA(VLOOKUP($BD226,Programma!$F$3:$Y$1101,20,0),"")</f>
        <v/>
      </c>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8"/>
      <c r="FJ226" s="28"/>
      <c r="FK226" s="28"/>
      <c r="FL226" s="28"/>
      <c r="FM226" s="28"/>
      <c r="FN226" s="28"/>
      <c r="FO226" s="28"/>
      <c r="FP226" s="28"/>
      <c r="FQ226" s="28"/>
      <c r="FR226" s="28"/>
      <c r="FS226" s="28"/>
      <c r="FT226" s="28"/>
      <c r="FU226" s="28"/>
      <c r="FV226" s="28"/>
      <c r="FW226" s="28"/>
      <c r="FX226" s="28"/>
      <c r="FY226" s="28"/>
      <c r="FZ226" s="28"/>
      <c r="GA226" s="28"/>
      <c r="GB226" s="28"/>
      <c r="GC226" s="28"/>
      <c r="GD226" s="28"/>
      <c r="GE226" s="28"/>
      <c r="GF226" s="28"/>
      <c r="GG226" s="28"/>
      <c r="GH226" s="28"/>
      <c r="GI226" s="28"/>
      <c r="GJ226" s="28"/>
      <c r="GK226" s="28"/>
      <c r="GL226" s="28"/>
      <c r="GM226" s="28"/>
      <c r="GN226" s="28"/>
      <c r="GO226" s="28"/>
      <c r="GP226" s="28"/>
      <c r="GQ226" s="28"/>
      <c r="GR226" s="28"/>
      <c r="GS226" s="28"/>
      <c r="GT226" s="28"/>
      <c r="GU226" s="28"/>
      <c r="GV226" s="28"/>
      <c r="GW226" s="28"/>
      <c r="GX226" s="28"/>
      <c r="GY226" s="28"/>
      <c r="GZ226" s="28"/>
      <c r="HA226" s="28"/>
      <c r="HB226" s="28"/>
      <c r="HC226" s="28"/>
      <c r="HD226" s="28"/>
      <c r="HE226" s="28"/>
      <c r="HF226" s="28"/>
      <c r="HG226" s="28"/>
      <c r="HH226" s="28"/>
      <c r="HI226" s="28"/>
      <c r="HJ226" s="28"/>
      <c r="HK226" s="28"/>
      <c r="HL226" s="28"/>
    </row>
    <row r="227" spans="1:220" ht="15" customHeight="1">
      <c r="A227" s="31">
        <v>5</v>
      </c>
      <c r="B227" s="105" t="str">
        <f>VLOOKUP(Ruimtestaat[[#This Row],[Code]],Locaties[[Code]:[Locatie]],2,FALSE)</f>
        <v>IKC Remigius</v>
      </c>
      <c r="C227" s="105" t="str">
        <f>VLOOKUP(Ruimtestaat[[#This Row],[Code]],Locaties[[#All],[Code]:[Adres]],4,FALSE)</f>
        <v>Liemersplein 1</v>
      </c>
      <c r="D227" s="105" t="str">
        <f>VLOOKUP(Ruimtestaat[[#This Row],[Code]],Locaties[[#All],[Code]:[Postcode]],5,FALSE)</f>
        <v xml:space="preserve">6921 HN </v>
      </c>
      <c r="E227" s="105" t="str">
        <f>VLOOKUP(Ruimtestaat[[#This Row],[Code]],Locaties[#All],6,FALSE)</f>
        <v>Duiven</v>
      </c>
      <c r="F227" s="73" t="s">
        <v>1824</v>
      </c>
      <c r="G227" s="73" t="s">
        <v>1645</v>
      </c>
      <c r="H227" s="31" t="s">
        <v>1765</v>
      </c>
      <c r="I227" s="113" t="s">
        <v>1828</v>
      </c>
      <c r="J227" s="31">
        <v>20</v>
      </c>
      <c r="K227" s="113" t="str">
        <f>VLOOKUP(Ruimtestaat[[#This Row],[Ruimte code]],Ruimtegroepen[[#All],[Code]:[Ruimte omschrijving]],2,FALSE)</f>
        <v>Niet in Onderhoud</v>
      </c>
      <c r="L227" s="73"/>
      <c r="M227" s="273"/>
      <c r="N227" s="106"/>
      <c r="O227" s="112">
        <v>2.5</v>
      </c>
      <c r="P227" s="112"/>
      <c r="Q227" s="107">
        <f>VLOOKUP(Ruimtestaat[[#This Row],[Ruimte code]],Ruimtegroepen[],4,FALSE)</f>
        <v>0</v>
      </c>
      <c r="R227" s="73"/>
      <c r="S227" s="73"/>
      <c r="T227" s="73">
        <f>IF(R227&gt;0,IF(RIGHT(Ruimtestaat[[#This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7" s="73">
        <f>IF(T227&gt;0,VLOOKUP($J227,Ruimtegroepen[],3,FALSE)*VLOOKUP($L227,Vloersoorten[],3,FALSE)*VLOOKUP($S227,Frequenties[],3,FALSE)*VLOOKUP($A227,Locaties[],3,FALSE),0)</f>
        <v>0</v>
      </c>
      <c r="V227" s="73">
        <f>Ruimtestaat[[#This Row],[Uitvoeringen werkdagen]]*Ruimtestaat[[#This Row],[Oppervlak (netto)]]</f>
        <v>0</v>
      </c>
      <c r="W227" s="108">
        <f>IF(U227&gt;0,Ruimtestaat[[#This Row],[Prest. (m2 /jaar) werkdagen]]/Ruimtestaat[[#This Row],[Norm (m2/uur) werkdagen]],0)</f>
        <v>0</v>
      </c>
      <c r="X227" s="109">
        <f>Ruimtestaat[[#This Row],[uren / jaar werkdagen]]*Tariefsopbouw!$E$35</f>
        <v>0</v>
      </c>
      <c r="Y227" s="73"/>
      <c r="Z227" s="73">
        <f>IF(Ruimtestaat[[#This Row],[Frequentie weekend]]&gt;0,VALUE(LEFT(Y227,1))*R227,0)</f>
        <v>0</v>
      </c>
      <c r="AA227" s="72">
        <f>IF($Z227&gt;0,VLOOKUP($J227,Ruimtegroepen[],3,FALSE)*VLOOKUP($L227,Vloersoorten[],3,FALSE)*VLOOKUP($Y227,Frequenties[],3,FALSE)*VLOOKUP(Ruimtestaat[[#This Row],[Code]],Locaties[],3,FALSE),0)</f>
        <v>0</v>
      </c>
      <c r="AB227" s="72">
        <f>Ruimtestaat[[#This Row],[Uitvoeringen weekend]]*Ruimtestaat[[#This Row],[Oppervlak (netto)]]</f>
        <v>0</v>
      </c>
      <c r="AC227" s="72">
        <f>IF(AA227&gt;0,Ruimtestaat[[#This Row],[Prest. (m2 /jaar) weekend]]/Ruimtestaat[[#This Row],[Norm (m2/uur) weekend]],0)</f>
        <v>0</v>
      </c>
      <c r="AD227" s="109">
        <f>Ruimtestaat[[#This Row],[uren / jaar weekend]]*Tariefsopbouw!$D$40</f>
        <v>0</v>
      </c>
      <c r="AE227" s="108">
        <f>Ruimtestaat[[#This Row],[Prest. (m2 /jaar) weekend]]+Ruimtestaat[[#This Row],[Prest. (m2 /jaar) werkdagen]]</f>
        <v>0</v>
      </c>
      <c r="AF227" s="108">
        <f>Ruimtestaat[[#This Row],[uren / jaar weekend]]+Ruimtestaat[[#This Row],[uren / jaar werkdagen]]</f>
        <v>0</v>
      </c>
      <c r="AG227" s="103">
        <f>Ruimtestaat[[#This Row],[kosten / jaar weekend]]+Ruimtestaat[[#This Row],[kosten / jaar werkdagen]]</f>
        <v>0</v>
      </c>
      <c r="AH227" s="103"/>
      <c r="AI227" s="110" t="str">
        <f>IF(Ruimtestaat[[#This Row],[Frequentie werkdagen]]="","",_xlfn.CONCAT(Ruimtestaat[[#This Row],[Ruimte code]],"-",Ruimtestaat[[#This Row],[Frequentie werkdagen]]," ",Ruimtestaat[[#This Row],[Vloer code]]))</f>
        <v/>
      </c>
      <c r="AJ227" s="114" t="str">
        <f>_xlfn.IFNA(VLOOKUP($AI227,Programma!$F$3:$G$1101,2,0),"")</f>
        <v/>
      </c>
      <c r="AK227" s="114" t="str">
        <f>_xlfn.IFNA(VLOOKUP($AI227,Programma!$F$3:$H$1101,3,0),"")</f>
        <v/>
      </c>
      <c r="AL227" s="114" t="str">
        <f>_xlfn.IFNA(VLOOKUP($AI227,Programma!$F$3:$I$1101,4,0),"")</f>
        <v/>
      </c>
      <c r="AM227" s="114" t="str">
        <f>_xlfn.IFNA(VLOOKUP($AI227,Programma!$F$3:$J$1101,5,0),"")</f>
        <v/>
      </c>
      <c r="AN227" s="114" t="str">
        <f>_xlfn.IFNA(VLOOKUP($AI227,Programma!$F$3:$K$1101,6,0),"")</f>
        <v/>
      </c>
      <c r="AO227" s="114" t="str">
        <f>_xlfn.IFNA(VLOOKUP($AI227,Programma!$F$3:$L$1101,7,0),"")</f>
        <v/>
      </c>
      <c r="AP227" s="114" t="str">
        <f>_xlfn.IFNA(VLOOKUP($AI227,Programma!$F$3:$M$1101,8,0),"")</f>
        <v/>
      </c>
      <c r="AQ227" s="114" t="str">
        <f>_xlfn.IFNA(VLOOKUP($AI227,Programma!$F$3:$N$1101,9,0),"")</f>
        <v/>
      </c>
      <c r="AR227" s="114" t="str">
        <f>_xlfn.IFNA(VLOOKUP($AI227,Programma!$F$3:$O$1101,10,0),"")</f>
        <v/>
      </c>
      <c r="AS227" s="114" t="str">
        <f>_xlfn.IFNA(VLOOKUP($AI227,Programma!$F$3:$P$1101,11,0),"")</f>
        <v/>
      </c>
      <c r="AT227" s="114" t="str">
        <f>_xlfn.IFNA(VLOOKUP($AI227,Programma!$F$3:$Q$1101,12,0),"")</f>
        <v/>
      </c>
      <c r="AU227" s="114" t="str">
        <f>_xlfn.IFNA(VLOOKUP($AI227,Programma!$F$3:$R$1101,13,0),"")</f>
        <v/>
      </c>
      <c r="AV227" s="114" t="str">
        <f>_xlfn.IFNA(VLOOKUP($AI227,Programma!$F$3:$S$1101,14,0),"")</f>
        <v/>
      </c>
      <c r="AW227" s="114" t="str">
        <f>_xlfn.IFNA(VLOOKUP($AI227,Programma!$F$3:$T$1101,15,0),"")</f>
        <v/>
      </c>
      <c r="AX227" s="114" t="str">
        <f>_xlfn.IFNA(VLOOKUP($AI227,Programma!$F$3:$U$1101,16,0),"")</f>
        <v/>
      </c>
      <c r="AY227" s="114" t="str">
        <f>_xlfn.IFNA(VLOOKUP($AI227,Programma!$F$3:$V$1101,17,0),"")</f>
        <v/>
      </c>
      <c r="AZ227" s="114" t="str">
        <f>_xlfn.IFNA(VLOOKUP($AI227,Programma!$F$3:$W$1101,18,0),"")</f>
        <v/>
      </c>
      <c r="BA227" s="114" t="str">
        <f>_xlfn.IFNA(VLOOKUP($AI227,Programma!$F$3:$X$1101,19,0),"")</f>
        <v/>
      </c>
      <c r="BB227" s="114" t="str">
        <f>_xlfn.IFNA(VLOOKUP($AI227,Programma!$F$3:$Y$1101,20,0),"")</f>
        <v/>
      </c>
      <c r="BC227" s="111"/>
      <c r="BD227" s="110" t="str">
        <f>IF(Ruimtestaat[[#This Row],[Frequentie weekend]]="","",_xlfn.CONCAT(Ruimtestaat[[#This Row],[Ruimte code]],"-",Ruimtestaat[[#This Row],[Frequentie weekend]]," ",Ruimtestaat[[#This Row],[Vloer code]]))</f>
        <v/>
      </c>
      <c r="BE227" s="114" t="str">
        <f>_xlfn.IFNA(VLOOKUP($BD227,Programma!$F$3:$G$1101,2,0),"")</f>
        <v/>
      </c>
      <c r="BF227" s="114" t="str">
        <f>_xlfn.IFNA(VLOOKUP($BD227,Programma!$F$3:$H$1101,3,0),"")</f>
        <v/>
      </c>
      <c r="BG227" s="114" t="str">
        <f>_xlfn.IFNA(VLOOKUP($BD227,Programma!$F$3:$I$1101,4,0),"")</f>
        <v/>
      </c>
      <c r="BH227" s="114" t="str">
        <f>_xlfn.IFNA(VLOOKUP($BD227,Programma!$F$3:$J$1101,5,0),"")</f>
        <v/>
      </c>
      <c r="BI227" s="114" t="str">
        <f>_xlfn.IFNA(VLOOKUP($BD227,Programma!$F$3:$K$1101,6,0),"")</f>
        <v/>
      </c>
      <c r="BJ227" s="114" t="str">
        <f>_xlfn.IFNA(VLOOKUP($BD227,Programma!$F$3:$L$1101,7,0),"")</f>
        <v/>
      </c>
      <c r="BK227" s="114" t="str">
        <f>_xlfn.IFNA(VLOOKUP($BD227,Programma!$F$3:$M$1101,8,0),"")</f>
        <v/>
      </c>
      <c r="BL227" s="114" t="str">
        <f>_xlfn.IFNA(VLOOKUP($BD227,Programma!$F$3:$N$1101,9,0),"")</f>
        <v/>
      </c>
      <c r="BM227" s="114" t="str">
        <f>_xlfn.IFNA(VLOOKUP($BD227,Programma!$F$3:$O$1101,10,0),"")</f>
        <v/>
      </c>
      <c r="BN227" s="114" t="str">
        <f>_xlfn.IFNA(VLOOKUP($BD227,Programma!$F$3:$P$1101,11,0),"")</f>
        <v/>
      </c>
      <c r="BO227" s="114" t="str">
        <f>_xlfn.IFNA(VLOOKUP($BD227,Programma!$F$3:$Q$1101,12,0),"")</f>
        <v/>
      </c>
      <c r="BP227" s="114" t="str">
        <f>_xlfn.IFNA(VLOOKUP($BD227,Programma!$F$3:$R$1101,13,0),"")</f>
        <v/>
      </c>
      <c r="BQ227" s="114" t="str">
        <f>_xlfn.IFNA(VLOOKUP($BD227,Programma!$F$3:$S$1101,14,0),"")</f>
        <v/>
      </c>
      <c r="BR227" s="114" t="str">
        <f>_xlfn.IFNA(VLOOKUP($BD227,Programma!$F$3:$T$1101,15,0),"")</f>
        <v/>
      </c>
      <c r="BS227" s="114" t="str">
        <f>_xlfn.IFNA(VLOOKUP($BD227,Programma!$F$3:$U$1101,16,0),"")</f>
        <v/>
      </c>
      <c r="BT227" s="114" t="str">
        <f>_xlfn.IFNA(VLOOKUP($BD227,Programma!$F$3:$V$1101,17,0),"")</f>
        <v/>
      </c>
      <c r="BU227" s="114" t="str">
        <f>_xlfn.IFNA(VLOOKUP($BD227,Programma!$F$3:$W$1101,18,0),"")</f>
        <v/>
      </c>
      <c r="BV227" s="114" t="str">
        <f>_xlfn.IFNA(VLOOKUP($BD227,Programma!$F$3:$X$1101,19,0),"")</f>
        <v/>
      </c>
      <c r="BW227" s="114" t="str">
        <f>_xlfn.IFNA(VLOOKUP($BD227,Programma!$F$3:$Y$1101,20,0),"")</f>
        <v/>
      </c>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c r="GV227" s="28"/>
      <c r="GW227" s="28"/>
      <c r="GX227" s="28"/>
      <c r="GY227" s="28"/>
      <c r="GZ227" s="28"/>
      <c r="HA227" s="28"/>
      <c r="HB227" s="28"/>
      <c r="HC227" s="28"/>
      <c r="HD227" s="28"/>
      <c r="HE227" s="28"/>
      <c r="HF227" s="28"/>
      <c r="HG227" s="28"/>
      <c r="HH227" s="28"/>
      <c r="HI227" s="28"/>
      <c r="HJ227" s="28"/>
      <c r="HK227" s="28"/>
      <c r="HL227" s="28"/>
    </row>
    <row r="228" spans="1:220" ht="15" customHeight="1">
      <c r="A228" s="31">
        <v>5</v>
      </c>
      <c r="B228" s="105" t="str">
        <f>VLOOKUP(Ruimtestaat[[#This Row],[Code]],Locaties[[Code]:[Locatie]],2,FALSE)</f>
        <v>IKC Remigius</v>
      </c>
      <c r="C228" s="105" t="str">
        <f>VLOOKUP(Ruimtestaat[[#This Row],[Code]],Locaties[[#All],[Code]:[Adres]],4,FALSE)</f>
        <v>Liemersplein 1</v>
      </c>
      <c r="D228" s="105" t="str">
        <f>VLOOKUP(Ruimtestaat[[#This Row],[Code]],Locaties[[#All],[Code]:[Postcode]],5,FALSE)</f>
        <v xml:space="preserve">6921 HN </v>
      </c>
      <c r="E228" s="105" t="str">
        <f>VLOOKUP(Ruimtestaat[[#This Row],[Code]],Locaties[#All],6,FALSE)</f>
        <v>Duiven</v>
      </c>
      <c r="F228" s="73"/>
      <c r="G228" s="73" t="s">
        <v>1826</v>
      </c>
      <c r="H228" s="31" t="s">
        <v>1829</v>
      </c>
      <c r="I228" s="113" t="s">
        <v>1831</v>
      </c>
      <c r="J228" s="31">
        <v>16</v>
      </c>
      <c r="K228" s="113" t="str">
        <f>VLOOKUP(Ruimtestaat[[#This Row],[Ruimte code]],Ruimtegroepen[[#All],[Code]:[Ruimte omschrijving]],2,FALSE)</f>
        <v>Leslokalen</v>
      </c>
      <c r="L228" s="73" t="s">
        <v>102</v>
      </c>
      <c r="M228" s="273" t="s">
        <v>120</v>
      </c>
      <c r="N228" s="106">
        <v>42.5</v>
      </c>
      <c r="O228" s="112"/>
      <c r="P228" s="73"/>
      <c r="Q228" s="107" t="str">
        <f>VLOOKUP(Ruimtestaat[[#This Row],[Ruimte code]],Ruimtegroepen[],4,FALSE)</f>
        <v>Le</v>
      </c>
      <c r="R228" s="73">
        <v>40</v>
      </c>
      <c r="S228" s="73" t="s">
        <v>2</v>
      </c>
      <c r="T228" s="73">
        <f>IF(R228&gt;0,IF(RIGHT(Ruimtestaat[[#This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8" s="73">
        <f>IF(T228&gt;0,VLOOKUP($J228,Ruimtegroepen[],3,FALSE)*VLOOKUP($L228,Vloersoorten[],3,FALSE)*VLOOKUP($S228,Frequenties[],3,FALSE)*VLOOKUP($A228,Locaties[],3,FALSE),0)</f>
        <v>0</v>
      </c>
      <c r="V228" s="73">
        <f>Ruimtestaat[[#This Row],[Uitvoeringen werkdagen]]*Ruimtestaat[[#This Row],[Oppervlak (netto)]]</f>
        <v>8500</v>
      </c>
      <c r="W228" s="108">
        <f>IF(U228&gt;0,Ruimtestaat[[#This Row],[Prest. (m2 /jaar) werkdagen]]/Ruimtestaat[[#This Row],[Norm (m2/uur) werkdagen]],0)</f>
        <v>0</v>
      </c>
      <c r="X228" s="109">
        <f>Ruimtestaat[[#This Row],[uren / jaar werkdagen]]*Tariefsopbouw!$E$35</f>
        <v>0</v>
      </c>
      <c r="Y228" s="73"/>
      <c r="Z228" s="73">
        <f>IF(Ruimtestaat[[#This Row],[Frequentie weekend]]&gt;0,VALUE(LEFT(Y228,1))*R228,0)</f>
        <v>0</v>
      </c>
      <c r="AA228" s="72">
        <f>IF($Z228&gt;0,VLOOKUP($J228,Ruimtegroepen[],3,FALSE)*VLOOKUP($L228,Vloersoorten[],3,FALSE)*VLOOKUP($Y228,Frequenties[],3,FALSE)*VLOOKUP(Ruimtestaat[[#This Row],[Code]],Locaties[],3,FALSE),0)</f>
        <v>0</v>
      </c>
      <c r="AB228" s="72">
        <f>Ruimtestaat[[#This Row],[Uitvoeringen weekend]]*Ruimtestaat[[#This Row],[Oppervlak (netto)]]</f>
        <v>0</v>
      </c>
      <c r="AC228" s="72">
        <f>IF(AA228&gt;0,Ruimtestaat[[#This Row],[Prest. (m2 /jaar) weekend]]/Ruimtestaat[[#This Row],[Norm (m2/uur) weekend]],0)</f>
        <v>0</v>
      </c>
      <c r="AD228" s="109">
        <f>Ruimtestaat[[#This Row],[uren / jaar weekend]]*Tariefsopbouw!$D$40</f>
        <v>0</v>
      </c>
      <c r="AE228" s="108">
        <f>Ruimtestaat[[#This Row],[Prest. (m2 /jaar) weekend]]+Ruimtestaat[[#This Row],[Prest. (m2 /jaar) werkdagen]]</f>
        <v>8500</v>
      </c>
      <c r="AF228" s="108">
        <f>Ruimtestaat[[#This Row],[uren / jaar weekend]]+Ruimtestaat[[#This Row],[uren / jaar werkdagen]]</f>
        <v>0</v>
      </c>
      <c r="AG228" s="103">
        <f>Ruimtestaat[[#This Row],[kosten / jaar weekend]]+Ruimtestaat[[#This Row],[kosten / jaar werkdagen]]</f>
        <v>0</v>
      </c>
      <c r="AH228" s="103"/>
      <c r="AI228" s="110" t="str">
        <f>IF(Ruimtestaat[[#This Row],[Frequentie werkdagen]]="","",_xlfn.CONCAT(Ruimtestaat[[#This Row],[Ruimte code]],"-",Ruimtestaat[[#This Row],[Frequentie werkdagen]]," ",Ruimtestaat[[#This Row],[Vloer code]]))</f>
        <v>16-5w P</v>
      </c>
      <c r="AJ228" s="114" t="str">
        <f>_xlfn.IFNA(VLOOKUP($AI228,Programma!$F$3:$G$1101,2,0),"")</f>
        <v>_</v>
      </c>
      <c r="AK228" s="114" t="str">
        <f>_xlfn.IFNA(VLOOKUP($AI228,Programma!$F$3:$H$1101,3,0),"")</f>
        <v>_</v>
      </c>
      <c r="AL228" s="114" t="str">
        <f>_xlfn.IFNA(VLOOKUP($AI228,Programma!$F$3:$I$1101,4,0),"")</f>
        <v>4w</v>
      </c>
      <c r="AM228" s="114" t="str">
        <f>_xlfn.IFNA(VLOOKUP($AI228,Programma!$F$3:$J$1101,5,0),"")</f>
        <v>1w</v>
      </c>
      <c r="AN228" s="114" t="str">
        <f>_xlfn.IFNA(VLOOKUP($AI228,Programma!$F$3:$K$1101,6,0),"")</f>
        <v>1m</v>
      </c>
      <c r="AO228" s="114" t="str">
        <f>_xlfn.IFNA(VLOOKUP($AI228,Programma!$F$3:$L$1101,7,0),"")</f>
        <v>_</v>
      </c>
      <c r="AP228" s="114" t="str">
        <f>_xlfn.IFNA(VLOOKUP($AI228,Programma!$F$3:$M$1101,8,0),"")</f>
        <v>_</v>
      </c>
      <c r="AQ228" s="114" t="str">
        <f>_xlfn.IFNA(VLOOKUP($AI228,Programma!$F$3:$N$1101,9,0),"")</f>
        <v>_</v>
      </c>
      <c r="AR228" s="114" t="str">
        <f>_xlfn.IFNA(VLOOKUP($AI228,Programma!$F$3:$O$1101,10,0),"")</f>
        <v>5w</v>
      </c>
      <c r="AS228" s="114" t="str">
        <f>_xlfn.IFNA(VLOOKUP($AI228,Programma!$F$3:$P$1101,11,0),"")</f>
        <v>5w</v>
      </c>
      <c r="AT228" s="114" t="str">
        <f>_xlfn.IFNA(VLOOKUP($AI228,Programma!$F$3:$Q$1101,12,0),"")</f>
        <v>1w</v>
      </c>
      <c r="AU228" s="114" t="str">
        <f>_xlfn.IFNA(VLOOKUP($AI228,Programma!$F$3:$R$1101,13,0),"")</f>
        <v>1w</v>
      </c>
      <c r="AV228" s="114" t="str">
        <f>_xlfn.IFNA(VLOOKUP($AI228,Programma!$F$3:$S$1101,14,0),"")</f>
        <v>1m</v>
      </c>
      <c r="AW228" s="114" t="str">
        <f>_xlfn.IFNA(VLOOKUP($AI228,Programma!$F$3:$T$1101,15,0),"")</f>
        <v>2j</v>
      </c>
      <c r="AX228" s="114" t="str">
        <f>_xlfn.IFNA(VLOOKUP($AI228,Programma!$F$3:$U$1101,16,0),"")</f>
        <v>1j</v>
      </c>
      <c r="AY228" s="114" t="str">
        <f>_xlfn.IFNA(VLOOKUP($AI228,Programma!$F$3:$V$1101,17,0),"")</f>
        <v>_</v>
      </c>
      <c r="AZ228" s="114" t="str">
        <f>_xlfn.IFNA(VLOOKUP($AI228,Programma!$F$3:$W$1101,18,0),"")</f>
        <v>_</v>
      </c>
      <c r="BA228" s="114" t="str">
        <f>_xlfn.IFNA(VLOOKUP($AI228,Programma!$F$3:$X$1101,19,0),"")</f>
        <v>_</v>
      </c>
      <c r="BB228" s="114" t="str">
        <f>_xlfn.IFNA(VLOOKUP($AI228,Programma!$F$3:$Y$1101,20,0),"")</f>
        <v>_</v>
      </c>
      <c r="BC228" s="111"/>
      <c r="BD228" s="110" t="str">
        <f>IF(Ruimtestaat[[#This Row],[Frequentie weekend]]="","",_xlfn.CONCAT(Ruimtestaat[[#This Row],[Ruimte code]],"-",Ruimtestaat[[#This Row],[Frequentie weekend]]," ",Ruimtestaat[[#This Row],[Vloer code]]))</f>
        <v/>
      </c>
      <c r="BE228" s="114" t="str">
        <f>_xlfn.IFNA(VLOOKUP($BD228,Programma!$F$3:$G$1101,2,0),"")</f>
        <v/>
      </c>
      <c r="BF228" s="114" t="str">
        <f>_xlfn.IFNA(VLOOKUP($BD228,Programma!$F$3:$H$1101,3,0),"")</f>
        <v/>
      </c>
      <c r="BG228" s="114" t="str">
        <f>_xlfn.IFNA(VLOOKUP($BD228,Programma!$F$3:$I$1101,4,0),"")</f>
        <v/>
      </c>
      <c r="BH228" s="114" t="str">
        <f>_xlfn.IFNA(VLOOKUP($BD228,Programma!$F$3:$J$1101,5,0),"")</f>
        <v/>
      </c>
      <c r="BI228" s="114" t="str">
        <f>_xlfn.IFNA(VLOOKUP($BD228,Programma!$F$3:$K$1101,6,0),"")</f>
        <v/>
      </c>
      <c r="BJ228" s="114" t="str">
        <f>_xlfn.IFNA(VLOOKUP($BD228,Programma!$F$3:$L$1101,7,0),"")</f>
        <v/>
      </c>
      <c r="BK228" s="114" t="str">
        <f>_xlfn.IFNA(VLOOKUP($BD228,Programma!$F$3:$M$1101,8,0),"")</f>
        <v/>
      </c>
      <c r="BL228" s="114" t="str">
        <f>_xlfn.IFNA(VLOOKUP($BD228,Programma!$F$3:$N$1101,9,0),"")</f>
        <v/>
      </c>
      <c r="BM228" s="114" t="str">
        <f>_xlfn.IFNA(VLOOKUP($BD228,Programma!$F$3:$O$1101,10,0),"")</f>
        <v/>
      </c>
      <c r="BN228" s="114" t="str">
        <f>_xlfn.IFNA(VLOOKUP($BD228,Programma!$F$3:$P$1101,11,0),"")</f>
        <v/>
      </c>
      <c r="BO228" s="114" t="str">
        <f>_xlfn.IFNA(VLOOKUP($BD228,Programma!$F$3:$Q$1101,12,0),"")</f>
        <v/>
      </c>
      <c r="BP228" s="114" t="str">
        <f>_xlfn.IFNA(VLOOKUP($BD228,Programma!$F$3:$R$1101,13,0),"")</f>
        <v/>
      </c>
      <c r="BQ228" s="114" t="str">
        <f>_xlfn.IFNA(VLOOKUP($BD228,Programma!$F$3:$S$1101,14,0),"")</f>
        <v/>
      </c>
      <c r="BR228" s="114" t="str">
        <f>_xlfn.IFNA(VLOOKUP($BD228,Programma!$F$3:$T$1101,15,0),"")</f>
        <v/>
      </c>
      <c r="BS228" s="114" t="str">
        <f>_xlfn.IFNA(VLOOKUP($BD228,Programma!$F$3:$U$1101,16,0),"")</f>
        <v/>
      </c>
      <c r="BT228" s="114" t="str">
        <f>_xlfn.IFNA(VLOOKUP($BD228,Programma!$F$3:$V$1101,17,0),"")</f>
        <v/>
      </c>
      <c r="BU228" s="114" t="str">
        <f>_xlfn.IFNA(VLOOKUP($BD228,Programma!$F$3:$W$1101,18,0),"")</f>
        <v/>
      </c>
      <c r="BV228" s="114" t="str">
        <f>_xlfn.IFNA(VLOOKUP($BD228,Programma!$F$3:$X$1101,19,0),"")</f>
        <v/>
      </c>
      <c r="BW228" s="114" t="str">
        <f>_xlfn.IFNA(VLOOKUP($BD228,Programma!$F$3:$Y$1101,20,0),"")</f>
        <v/>
      </c>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c r="GV228" s="28"/>
      <c r="GW228" s="28"/>
      <c r="GX228" s="28"/>
      <c r="GY228" s="28"/>
      <c r="GZ228" s="28"/>
      <c r="HA228" s="28"/>
      <c r="HB228" s="28"/>
      <c r="HC228" s="28"/>
      <c r="HD228" s="28"/>
      <c r="HE228" s="28"/>
      <c r="HF228" s="28"/>
      <c r="HG228" s="28"/>
      <c r="HH228" s="28"/>
      <c r="HI228" s="28"/>
      <c r="HJ228" s="28"/>
      <c r="HK228" s="28"/>
      <c r="HL228" s="28"/>
    </row>
    <row r="229" spans="1:220" ht="15" customHeight="1">
      <c r="A229" s="31">
        <v>5</v>
      </c>
      <c r="B229" s="105" t="str">
        <f>VLOOKUP(Ruimtestaat[[#This Row],[Code]],Locaties[[Code]:[Locatie]],2,FALSE)</f>
        <v>IKC Remigius</v>
      </c>
      <c r="C229" s="105" t="str">
        <f>VLOOKUP(Ruimtestaat[[#This Row],[Code]],Locaties[[#All],[Code]:[Adres]],4,FALSE)</f>
        <v>Liemersplein 1</v>
      </c>
      <c r="D229" s="105" t="str">
        <f>VLOOKUP(Ruimtestaat[[#This Row],[Code]],Locaties[[#All],[Code]:[Postcode]],5,FALSE)</f>
        <v xml:space="preserve">6921 HN </v>
      </c>
      <c r="E229" s="105" t="str">
        <f>VLOOKUP(Ruimtestaat[[#This Row],[Code]],Locaties[#All],6,FALSE)</f>
        <v>Duiven</v>
      </c>
      <c r="F229" s="73"/>
      <c r="G229" s="73" t="s">
        <v>1826</v>
      </c>
      <c r="H229" s="31" t="s">
        <v>1830</v>
      </c>
      <c r="I229" s="113" t="s">
        <v>1831</v>
      </c>
      <c r="J229" s="31">
        <v>16</v>
      </c>
      <c r="K229" s="113" t="str">
        <f>VLOOKUP(Ruimtestaat[[#This Row],[Ruimte code]],Ruimtegroepen[[#All],[Code]:[Ruimte omschrijving]],2,FALSE)</f>
        <v>Leslokalen</v>
      </c>
      <c r="L229" s="73" t="s">
        <v>102</v>
      </c>
      <c r="M229" s="273" t="s">
        <v>120</v>
      </c>
      <c r="N229" s="106">
        <v>45.1</v>
      </c>
      <c r="O229" s="112"/>
      <c r="P229" s="112"/>
      <c r="Q229" s="107" t="str">
        <f>VLOOKUP(Ruimtestaat[[#This Row],[Ruimte code]],Ruimtegroepen[],4,FALSE)</f>
        <v>Le</v>
      </c>
      <c r="R229" s="73">
        <v>40</v>
      </c>
      <c r="S229" s="73" t="s">
        <v>2</v>
      </c>
      <c r="T229" s="73">
        <f>IF(R229&gt;0,IF(RIGHT(Ruimtestaat[[#This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9" s="73">
        <f>IF(T229&gt;0,VLOOKUP($J229,Ruimtegroepen[],3,FALSE)*VLOOKUP($L229,Vloersoorten[],3,FALSE)*VLOOKUP($S229,Frequenties[],3,FALSE)*VLOOKUP($A229,Locaties[],3,FALSE),0)</f>
        <v>0</v>
      </c>
      <c r="V229" s="73">
        <f>Ruimtestaat[[#This Row],[Uitvoeringen werkdagen]]*Ruimtestaat[[#This Row],[Oppervlak (netto)]]</f>
        <v>9020</v>
      </c>
      <c r="W229" s="108">
        <f>IF(U229&gt;0,Ruimtestaat[[#This Row],[Prest. (m2 /jaar) werkdagen]]/Ruimtestaat[[#This Row],[Norm (m2/uur) werkdagen]],0)</f>
        <v>0</v>
      </c>
      <c r="X229" s="109">
        <f>Ruimtestaat[[#This Row],[uren / jaar werkdagen]]*Tariefsopbouw!$E$35</f>
        <v>0</v>
      </c>
      <c r="Y229" s="73"/>
      <c r="Z229" s="73">
        <f>IF(Ruimtestaat[[#This Row],[Frequentie weekend]]&gt;0,VALUE(LEFT(Y229,1))*R229,0)</f>
        <v>0</v>
      </c>
      <c r="AA229" s="72">
        <f>IF($Z229&gt;0,VLOOKUP($J229,Ruimtegroepen[],3,FALSE)*VLOOKUP($L229,Vloersoorten[],3,FALSE)*VLOOKUP($Y229,Frequenties[],3,FALSE)*VLOOKUP(Ruimtestaat[[#This Row],[Code]],Locaties[],3,FALSE),0)</f>
        <v>0</v>
      </c>
      <c r="AB229" s="72">
        <f>Ruimtestaat[[#This Row],[Uitvoeringen weekend]]*Ruimtestaat[[#This Row],[Oppervlak (netto)]]</f>
        <v>0</v>
      </c>
      <c r="AC229" s="72">
        <f>IF(AA229&gt;0,Ruimtestaat[[#This Row],[Prest. (m2 /jaar) weekend]]/Ruimtestaat[[#This Row],[Norm (m2/uur) weekend]],0)</f>
        <v>0</v>
      </c>
      <c r="AD229" s="109">
        <f>Ruimtestaat[[#This Row],[uren / jaar weekend]]*Tariefsopbouw!$D$40</f>
        <v>0</v>
      </c>
      <c r="AE229" s="108">
        <f>Ruimtestaat[[#This Row],[Prest. (m2 /jaar) weekend]]+Ruimtestaat[[#This Row],[Prest. (m2 /jaar) werkdagen]]</f>
        <v>9020</v>
      </c>
      <c r="AF229" s="108">
        <f>Ruimtestaat[[#This Row],[uren / jaar weekend]]+Ruimtestaat[[#This Row],[uren / jaar werkdagen]]</f>
        <v>0</v>
      </c>
      <c r="AG229" s="103">
        <f>Ruimtestaat[[#This Row],[kosten / jaar weekend]]+Ruimtestaat[[#This Row],[kosten / jaar werkdagen]]</f>
        <v>0</v>
      </c>
      <c r="AH229" s="103"/>
      <c r="AI229" s="110" t="str">
        <f>IF(Ruimtestaat[[#This Row],[Frequentie werkdagen]]="","",_xlfn.CONCAT(Ruimtestaat[[#This Row],[Ruimte code]],"-",Ruimtestaat[[#This Row],[Frequentie werkdagen]]," ",Ruimtestaat[[#This Row],[Vloer code]]))</f>
        <v>16-5w P</v>
      </c>
      <c r="AJ229" s="114" t="str">
        <f>_xlfn.IFNA(VLOOKUP($AI229,Programma!$F$3:$G$1101,2,0),"")</f>
        <v>_</v>
      </c>
      <c r="AK229" s="114" t="str">
        <f>_xlfn.IFNA(VLOOKUP($AI229,Programma!$F$3:$H$1101,3,0),"")</f>
        <v>_</v>
      </c>
      <c r="AL229" s="114" t="str">
        <f>_xlfn.IFNA(VLOOKUP($AI229,Programma!$F$3:$I$1101,4,0),"")</f>
        <v>4w</v>
      </c>
      <c r="AM229" s="114" t="str">
        <f>_xlfn.IFNA(VLOOKUP($AI229,Programma!$F$3:$J$1101,5,0),"")</f>
        <v>1w</v>
      </c>
      <c r="AN229" s="114" t="str">
        <f>_xlfn.IFNA(VLOOKUP($AI229,Programma!$F$3:$K$1101,6,0),"")</f>
        <v>1m</v>
      </c>
      <c r="AO229" s="114" t="str">
        <f>_xlfn.IFNA(VLOOKUP($AI229,Programma!$F$3:$L$1101,7,0),"")</f>
        <v>_</v>
      </c>
      <c r="AP229" s="114" t="str">
        <f>_xlfn.IFNA(VLOOKUP($AI229,Programma!$F$3:$M$1101,8,0),"")</f>
        <v>_</v>
      </c>
      <c r="AQ229" s="114" t="str">
        <f>_xlfn.IFNA(VLOOKUP($AI229,Programma!$F$3:$N$1101,9,0),"")</f>
        <v>_</v>
      </c>
      <c r="AR229" s="114" t="str">
        <f>_xlfn.IFNA(VLOOKUP($AI229,Programma!$F$3:$O$1101,10,0),"")</f>
        <v>5w</v>
      </c>
      <c r="AS229" s="114" t="str">
        <f>_xlfn.IFNA(VLOOKUP($AI229,Programma!$F$3:$P$1101,11,0),"")</f>
        <v>5w</v>
      </c>
      <c r="AT229" s="114" t="str">
        <f>_xlfn.IFNA(VLOOKUP($AI229,Programma!$F$3:$Q$1101,12,0),"")</f>
        <v>1w</v>
      </c>
      <c r="AU229" s="114" t="str">
        <f>_xlfn.IFNA(VLOOKUP($AI229,Programma!$F$3:$R$1101,13,0),"")</f>
        <v>1w</v>
      </c>
      <c r="AV229" s="114" t="str">
        <f>_xlfn.IFNA(VLOOKUP($AI229,Programma!$F$3:$S$1101,14,0),"")</f>
        <v>1m</v>
      </c>
      <c r="AW229" s="114" t="str">
        <f>_xlfn.IFNA(VLOOKUP($AI229,Programma!$F$3:$T$1101,15,0),"")</f>
        <v>2j</v>
      </c>
      <c r="AX229" s="114" t="str">
        <f>_xlfn.IFNA(VLOOKUP($AI229,Programma!$F$3:$U$1101,16,0),"")</f>
        <v>1j</v>
      </c>
      <c r="AY229" s="114" t="str">
        <f>_xlfn.IFNA(VLOOKUP($AI229,Programma!$F$3:$V$1101,17,0),"")</f>
        <v>_</v>
      </c>
      <c r="AZ229" s="114" t="str">
        <f>_xlfn.IFNA(VLOOKUP($AI229,Programma!$F$3:$W$1101,18,0),"")</f>
        <v>_</v>
      </c>
      <c r="BA229" s="114" t="str">
        <f>_xlfn.IFNA(VLOOKUP($AI229,Programma!$F$3:$X$1101,19,0),"")</f>
        <v>_</v>
      </c>
      <c r="BB229" s="114" t="str">
        <f>_xlfn.IFNA(VLOOKUP($AI229,Programma!$F$3:$Y$1101,20,0),"")</f>
        <v>_</v>
      </c>
      <c r="BC229" s="111"/>
      <c r="BD229" s="110" t="str">
        <f>IF(Ruimtestaat[[#This Row],[Frequentie weekend]]="","",_xlfn.CONCAT(Ruimtestaat[[#This Row],[Ruimte code]],"-",Ruimtestaat[[#This Row],[Frequentie weekend]]," ",Ruimtestaat[[#This Row],[Vloer code]]))</f>
        <v/>
      </c>
      <c r="BE229" s="114" t="str">
        <f>_xlfn.IFNA(VLOOKUP($BD229,Programma!$F$3:$G$1101,2,0),"")</f>
        <v/>
      </c>
      <c r="BF229" s="114" t="str">
        <f>_xlfn.IFNA(VLOOKUP($BD229,Programma!$F$3:$H$1101,3,0),"")</f>
        <v/>
      </c>
      <c r="BG229" s="114" t="str">
        <f>_xlfn.IFNA(VLOOKUP($BD229,Programma!$F$3:$I$1101,4,0),"")</f>
        <v/>
      </c>
      <c r="BH229" s="114" t="str">
        <f>_xlfn.IFNA(VLOOKUP($BD229,Programma!$F$3:$J$1101,5,0),"")</f>
        <v/>
      </c>
      <c r="BI229" s="114" t="str">
        <f>_xlfn.IFNA(VLOOKUP($BD229,Programma!$F$3:$K$1101,6,0),"")</f>
        <v/>
      </c>
      <c r="BJ229" s="114" t="str">
        <f>_xlfn.IFNA(VLOOKUP($BD229,Programma!$F$3:$L$1101,7,0),"")</f>
        <v/>
      </c>
      <c r="BK229" s="114" t="str">
        <f>_xlfn.IFNA(VLOOKUP($BD229,Programma!$F$3:$M$1101,8,0),"")</f>
        <v/>
      </c>
      <c r="BL229" s="114" t="str">
        <f>_xlfn.IFNA(VLOOKUP($BD229,Programma!$F$3:$N$1101,9,0),"")</f>
        <v/>
      </c>
      <c r="BM229" s="114" t="str">
        <f>_xlfn.IFNA(VLOOKUP($BD229,Programma!$F$3:$O$1101,10,0),"")</f>
        <v/>
      </c>
      <c r="BN229" s="114" t="str">
        <f>_xlfn.IFNA(VLOOKUP($BD229,Programma!$F$3:$P$1101,11,0),"")</f>
        <v/>
      </c>
      <c r="BO229" s="114" t="str">
        <f>_xlfn.IFNA(VLOOKUP($BD229,Programma!$F$3:$Q$1101,12,0),"")</f>
        <v/>
      </c>
      <c r="BP229" s="114" t="str">
        <f>_xlfn.IFNA(VLOOKUP($BD229,Programma!$F$3:$R$1101,13,0),"")</f>
        <v/>
      </c>
      <c r="BQ229" s="114" t="str">
        <f>_xlfn.IFNA(VLOOKUP($BD229,Programma!$F$3:$S$1101,14,0),"")</f>
        <v/>
      </c>
      <c r="BR229" s="114" t="str">
        <f>_xlfn.IFNA(VLOOKUP($BD229,Programma!$F$3:$T$1101,15,0),"")</f>
        <v/>
      </c>
      <c r="BS229" s="114" t="str">
        <f>_xlfn.IFNA(VLOOKUP($BD229,Programma!$F$3:$U$1101,16,0),"")</f>
        <v/>
      </c>
      <c r="BT229" s="114" t="str">
        <f>_xlfn.IFNA(VLOOKUP($BD229,Programma!$F$3:$V$1101,17,0),"")</f>
        <v/>
      </c>
      <c r="BU229" s="114" t="str">
        <f>_xlfn.IFNA(VLOOKUP($BD229,Programma!$F$3:$W$1101,18,0),"")</f>
        <v/>
      </c>
      <c r="BV229" s="114" t="str">
        <f>_xlfn.IFNA(VLOOKUP($BD229,Programma!$F$3:$X$1101,19,0),"")</f>
        <v/>
      </c>
      <c r="BW229" s="114" t="str">
        <f>_xlfn.IFNA(VLOOKUP($BD229,Programma!$F$3:$Y$1101,20,0),"")</f>
        <v/>
      </c>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c r="FH229" s="28"/>
      <c r="FI229" s="28"/>
      <c r="FJ229" s="28"/>
      <c r="FK229" s="28"/>
      <c r="FL229" s="28"/>
      <c r="FM229" s="28"/>
      <c r="FN229" s="28"/>
      <c r="FO229" s="28"/>
      <c r="FP229" s="28"/>
      <c r="FQ229" s="28"/>
      <c r="FR229" s="28"/>
      <c r="FS229" s="28"/>
      <c r="FT229" s="28"/>
      <c r="FU229" s="28"/>
      <c r="FV229" s="28"/>
      <c r="FW229" s="28"/>
      <c r="FX229" s="28"/>
      <c r="FY229" s="28"/>
      <c r="FZ229" s="28"/>
      <c r="GA229" s="28"/>
      <c r="GB229" s="28"/>
      <c r="GC229" s="28"/>
      <c r="GD229" s="28"/>
      <c r="GE229" s="28"/>
      <c r="GF229" s="28"/>
      <c r="GG229" s="28"/>
      <c r="GH229" s="28"/>
      <c r="GI229" s="28"/>
      <c r="GJ229" s="28"/>
      <c r="GK229" s="28"/>
      <c r="GL229" s="28"/>
      <c r="GM229" s="28"/>
      <c r="GN229" s="28"/>
      <c r="GO229" s="28"/>
      <c r="GP229" s="28"/>
      <c r="GQ229" s="28"/>
      <c r="GR229" s="28"/>
      <c r="GS229" s="28"/>
      <c r="GT229" s="28"/>
      <c r="GU229" s="28"/>
      <c r="GV229" s="28"/>
      <c r="GW229" s="28"/>
      <c r="GX229" s="28"/>
      <c r="GY229" s="28"/>
      <c r="GZ229" s="28"/>
      <c r="HA229" s="28"/>
      <c r="HB229" s="28"/>
      <c r="HC229" s="28"/>
      <c r="HD229" s="28"/>
      <c r="HE229" s="28"/>
      <c r="HF229" s="28"/>
      <c r="HG229" s="28"/>
      <c r="HH229" s="28"/>
      <c r="HI229" s="28"/>
      <c r="HJ229" s="28"/>
      <c r="HK229" s="28"/>
      <c r="HL229" s="28"/>
    </row>
    <row r="230" spans="1:220" ht="15" customHeight="1">
      <c r="A230" s="31">
        <v>5</v>
      </c>
      <c r="B230" s="105" t="str">
        <f>VLOOKUP(Ruimtestaat[[#This Row],[Code]],Locaties[[Code]:[Locatie]],2,FALSE)</f>
        <v>IKC Remigius</v>
      </c>
      <c r="C230" s="105" t="str">
        <f>VLOOKUP(Ruimtestaat[[#This Row],[Code]],Locaties[[#All],[Code]:[Adres]],4,FALSE)</f>
        <v>Liemersplein 1</v>
      </c>
      <c r="D230" s="105" t="str">
        <f>VLOOKUP(Ruimtestaat[[#This Row],[Code]],Locaties[[#All],[Code]:[Postcode]],5,FALSE)</f>
        <v xml:space="preserve">6921 HN </v>
      </c>
      <c r="E230" s="105" t="str">
        <f>VLOOKUP(Ruimtestaat[[#This Row],[Code]],Locaties[#All],6,FALSE)</f>
        <v>Duiven</v>
      </c>
      <c r="F230" s="73"/>
      <c r="G230" s="73" t="s">
        <v>1826</v>
      </c>
      <c r="H230" s="31" t="s">
        <v>1832</v>
      </c>
      <c r="I230" s="113" t="s">
        <v>1831</v>
      </c>
      <c r="J230" s="31">
        <v>16</v>
      </c>
      <c r="K230" s="113" t="str">
        <f>VLOOKUP(Ruimtestaat[[#This Row],[Ruimte code]],Ruimtegroepen[[#All],[Code]:[Ruimte omschrijving]],2,FALSE)</f>
        <v>Leslokalen</v>
      </c>
      <c r="L230" s="73" t="s">
        <v>102</v>
      </c>
      <c r="M230" s="273" t="s">
        <v>120</v>
      </c>
      <c r="N230" s="106">
        <v>45.1</v>
      </c>
      <c r="O230" s="112"/>
      <c r="P230" s="112"/>
      <c r="Q230" s="107" t="str">
        <f>VLOOKUP(Ruimtestaat[[#This Row],[Ruimte code]],Ruimtegroepen[],4,FALSE)</f>
        <v>Le</v>
      </c>
      <c r="R230" s="73">
        <v>40</v>
      </c>
      <c r="S230" s="73" t="s">
        <v>2</v>
      </c>
      <c r="T230" s="73">
        <f>IF(R230&gt;0,IF(RIGHT(Ruimtestaat[[#This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0" s="73">
        <f>IF(T230&gt;0,VLOOKUP($J230,Ruimtegroepen[],3,FALSE)*VLOOKUP($L230,Vloersoorten[],3,FALSE)*VLOOKUP($S230,Frequenties[],3,FALSE)*VLOOKUP($A230,Locaties[],3,FALSE),0)</f>
        <v>0</v>
      </c>
      <c r="V230" s="73">
        <f>Ruimtestaat[[#This Row],[Uitvoeringen werkdagen]]*Ruimtestaat[[#This Row],[Oppervlak (netto)]]</f>
        <v>9020</v>
      </c>
      <c r="W230" s="108">
        <f>IF(U230&gt;0,Ruimtestaat[[#This Row],[Prest. (m2 /jaar) werkdagen]]/Ruimtestaat[[#This Row],[Norm (m2/uur) werkdagen]],0)</f>
        <v>0</v>
      </c>
      <c r="X230" s="109">
        <f>Ruimtestaat[[#This Row],[uren / jaar werkdagen]]*Tariefsopbouw!$E$35</f>
        <v>0</v>
      </c>
      <c r="Y230" s="73"/>
      <c r="Z230" s="73">
        <f>IF(Ruimtestaat[[#This Row],[Frequentie weekend]]&gt;0,VALUE(LEFT(Y230,1))*R230,0)</f>
        <v>0</v>
      </c>
      <c r="AA230" s="72">
        <f>IF($Z230&gt;0,VLOOKUP($J230,Ruimtegroepen[],3,FALSE)*VLOOKUP($L230,Vloersoorten[],3,FALSE)*VLOOKUP($Y230,Frequenties[],3,FALSE)*VLOOKUP(Ruimtestaat[[#This Row],[Code]],Locaties[],3,FALSE),0)</f>
        <v>0</v>
      </c>
      <c r="AB230" s="72">
        <f>Ruimtestaat[[#This Row],[Uitvoeringen weekend]]*Ruimtestaat[[#This Row],[Oppervlak (netto)]]</f>
        <v>0</v>
      </c>
      <c r="AC230" s="72">
        <f>IF(AA230&gt;0,Ruimtestaat[[#This Row],[Prest. (m2 /jaar) weekend]]/Ruimtestaat[[#This Row],[Norm (m2/uur) weekend]],0)</f>
        <v>0</v>
      </c>
      <c r="AD230" s="109">
        <f>Ruimtestaat[[#This Row],[uren / jaar weekend]]*Tariefsopbouw!$D$40</f>
        <v>0</v>
      </c>
      <c r="AE230" s="108">
        <f>Ruimtestaat[[#This Row],[Prest. (m2 /jaar) weekend]]+Ruimtestaat[[#This Row],[Prest. (m2 /jaar) werkdagen]]</f>
        <v>9020</v>
      </c>
      <c r="AF230" s="108">
        <f>Ruimtestaat[[#This Row],[uren / jaar weekend]]+Ruimtestaat[[#This Row],[uren / jaar werkdagen]]</f>
        <v>0</v>
      </c>
      <c r="AG230" s="103">
        <f>Ruimtestaat[[#This Row],[kosten / jaar weekend]]+Ruimtestaat[[#This Row],[kosten / jaar werkdagen]]</f>
        <v>0</v>
      </c>
      <c r="AH230" s="103"/>
      <c r="AI230" s="110" t="str">
        <f>IF(Ruimtestaat[[#This Row],[Frequentie werkdagen]]="","",_xlfn.CONCAT(Ruimtestaat[[#This Row],[Ruimte code]],"-",Ruimtestaat[[#This Row],[Frequentie werkdagen]]," ",Ruimtestaat[[#This Row],[Vloer code]]))</f>
        <v>16-5w P</v>
      </c>
      <c r="AJ230" s="114" t="str">
        <f>_xlfn.IFNA(VLOOKUP($AI230,Programma!$F$3:$G$1101,2,0),"")</f>
        <v>_</v>
      </c>
      <c r="AK230" s="114" t="str">
        <f>_xlfn.IFNA(VLOOKUP($AI230,Programma!$F$3:$H$1101,3,0),"")</f>
        <v>_</v>
      </c>
      <c r="AL230" s="114" t="str">
        <f>_xlfn.IFNA(VLOOKUP($AI230,Programma!$F$3:$I$1101,4,0),"")</f>
        <v>4w</v>
      </c>
      <c r="AM230" s="114" t="str">
        <f>_xlfn.IFNA(VLOOKUP($AI230,Programma!$F$3:$J$1101,5,0),"")</f>
        <v>1w</v>
      </c>
      <c r="AN230" s="114" t="str">
        <f>_xlfn.IFNA(VLOOKUP($AI230,Programma!$F$3:$K$1101,6,0),"")</f>
        <v>1m</v>
      </c>
      <c r="AO230" s="114" t="str">
        <f>_xlfn.IFNA(VLOOKUP($AI230,Programma!$F$3:$L$1101,7,0),"")</f>
        <v>_</v>
      </c>
      <c r="AP230" s="114" t="str">
        <f>_xlfn.IFNA(VLOOKUP($AI230,Programma!$F$3:$M$1101,8,0),"")</f>
        <v>_</v>
      </c>
      <c r="AQ230" s="114" t="str">
        <f>_xlfn.IFNA(VLOOKUP($AI230,Programma!$F$3:$N$1101,9,0),"")</f>
        <v>_</v>
      </c>
      <c r="AR230" s="114" t="str">
        <f>_xlfn.IFNA(VLOOKUP($AI230,Programma!$F$3:$O$1101,10,0),"")</f>
        <v>5w</v>
      </c>
      <c r="AS230" s="114" t="str">
        <f>_xlfn.IFNA(VLOOKUP($AI230,Programma!$F$3:$P$1101,11,0),"")</f>
        <v>5w</v>
      </c>
      <c r="AT230" s="114" t="str">
        <f>_xlfn.IFNA(VLOOKUP($AI230,Programma!$F$3:$Q$1101,12,0),"")</f>
        <v>1w</v>
      </c>
      <c r="AU230" s="114" t="str">
        <f>_xlfn.IFNA(VLOOKUP($AI230,Programma!$F$3:$R$1101,13,0),"")</f>
        <v>1w</v>
      </c>
      <c r="AV230" s="114" t="str">
        <f>_xlfn.IFNA(VLOOKUP($AI230,Programma!$F$3:$S$1101,14,0),"")</f>
        <v>1m</v>
      </c>
      <c r="AW230" s="114" t="str">
        <f>_xlfn.IFNA(VLOOKUP($AI230,Programma!$F$3:$T$1101,15,0),"")</f>
        <v>2j</v>
      </c>
      <c r="AX230" s="114" t="str">
        <f>_xlfn.IFNA(VLOOKUP($AI230,Programma!$F$3:$U$1101,16,0),"")</f>
        <v>1j</v>
      </c>
      <c r="AY230" s="114" t="str">
        <f>_xlfn.IFNA(VLOOKUP($AI230,Programma!$F$3:$V$1101,17,0),"")</f>
        <v>_</v>
      </c>
      <c r="AZ230" s="114" t="str">
        <f>_xlfn.IFNA(VLOOKUP($AI230,Programma!$F$3:$W$1101,18,0),"")</f>
        <v>_</v>
      </c>
      <c r="BA230" s="114" t="str">
        <f>_xlfn.IFNA(VLOOKUP($AI230,Programma!$F$3:$X$1101,19,0),"")</f>
        <v>_</v>
      </c>
      <c r="BB230" s="114" t="str">
        <f>_xlfn.IFNA(VLOOKUP($AI230,Programma!$F$3:$Y$1101,20,0),"")</f>
        <v>_</v>
      </c>
      <c r="BC230" s="111"/>
      <c r="BD230" s="110" t="str">
        <f>IF(Ruimtestaat[[#This Row],[Frequentie weekend]]="","",_xlfn.CONCAT(Ruimtestaat[[#This Row],[Ruimte code]],"-",Ruimtestaat[[#This Row],[Frequentie weekend]]," ",Ruimtestaat[[#This Row],[Vloer code]]))</f>
        <v/>
      </c>
      <c r="BE230" s="114" t="str">
        <f>_xlfn.IFNA(VLOOKUP($BD230,Programma!$F$3:$G$1101,2,0),"")</f>
        <v/>
      </c>
      <c r="BF230" s="114" t="str">
        <f>_xlfn.IFNA(VLOOKUP($BD230,Programma!$F$3:$H$1101,3,0),"")</f>
        <v/>
      </c>
      <c r="BG230" s="114" t="str">
        <f>_xlfn.IFNA(VLOOKUP($BD230,Programma!$F$3:$I$1101,4,0),"")</f>
        <v/>
      </c>
      <c r="BH230" s="114" t="str">
        <f>_xlfn.IFNA(VLOOKUP($BD230,Programma!$F$3:$J$1101,5,0),"")</f>
        <v/>
      </c>
      <c r="BI230" s="114" t="str">
        <f>_xlfn.IFNA(VLOOKUP($BD230,Programma!$F$3:$K$1101,6,0),"")</f>
        <v/>
      </c>
      <c r="BJ230" s="114" t="str">
        <f>_xlfn.IFNA(VLOOKUP($BD230,Programma!$F$3:$L$1101,7,0),"")</f>
        <v/>
      </c>
      <c r="BK230" s="114" t="str">
        <f>_xlfn.IFNA(VLOOKUP($BD230,Programma!$F$3:$M$1101,8,0),"")</f>
        <v/>
      </c>
      <c r="BL230" s="114" t="str">
        <f>_xlfn.IFNA(VLOOKUP($BD230,Programma!$F$3:$N$1101,9,0),"")</f>
        <v/>
      </c>
      <c r="BM230" s="114" t="str">
        <f>_xlfn.IFNA(VLOOKUP($BD230,Programma!$F$3:$O$1101,10,0),"")</f>
        <v/>
      </c>
      <c r="BN230" s="114" t="str">
        <f>_xlfn.IFNA(VLOOKUP($BD230,Programma!$F$3:$P$1101,11,0),"")</f>
        <v/>
      </c>
      <c r="BO230" s="114" t="str">
        <f>_xlfn.IFNA(VLOOKUP($BD230,Programma!$F$3:$Q$1101,12,0),"")</f>
        <v/>
      </c>
      <c r="BP230" s="114" t="str">
        <f>_xlfn.IFNA(VLOOKUP($BD230,Programma!$F$3:$R$1101,13,0),"")</f>
        <v/>
      </c>
      <c r="BQ230" s="114" t="str">
        <f>_xlfn.IFNA(VLOOKUP($BD230,Programma!$F$3:$S$1101,14,0),"")</f>
        <v/>
      </c>
      <c r="BR230" s="114" t="str">
        <f>_xlfn.IFNA(VLOOKUP($BD230,Programma!$F$3:$T$1101,15,0),"")</f>
        <v/>
      </c>
      <c r="BS230" s="114" t="str">
        <f>_xlfn.IFNA(VLOOKUP($BD230,Programma!$F$3:$U$1101,16,0),"")</f>
        <v/>
      </c>
      <c r="BT230" s="114" t="str">
        <f>_xlfn.IFNA(VLOOKUP($BD230,Programma!$F$3:$V$1101,17,0),"")</f>
        <v/>
      </c>
      <c r="BU230" s="114" t="str">
        <f>_xlfn.IFNA(VLOOKUP($BD230,Programma!$F$3:$W$1101,18,0),"")</f>
        <v/>
      </c>
      <c r="BV230" s="114" t="str">
        <f>_xlfn.IFNA(VLOOKUP($BD230,Programma!$F$3:$X$1101,19,0),"")</f>
        <v/>
      </c>
      <c r="BW230" s="114" t="str">
        <f>_xlfn.IFNA(VLOOKUP($BD230,Programma!$F$3:$Y$1101,20,0),"")</f>
        <v/>
      </c>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c r="ET230" s="28"/>
      <c r="EU230" s="28"/>
      <c r="EV230" s="28"/>
      <c r="EW230" s="28"/>
      <c r="EX230" s="28"/>
      <c r="EY230" s="28"/>
      <c r="EZ230" s="28"/>
      <c r="FA230" s="28"/>
      <c r="FB230" s="28"/>
      <c r="FC230" s="28"/>
      <c r="FD230" s="28"/>
      <c r="FE230" s="28"/>
      <c r="FF230" s="28"/>
      <c r="FG230" s="28"/>
      <c r="FH230" s="28"/>
      <c r="FI230" s="28"/>
      <c r="FJ230" s="28"/>
      <c r="FK230" s="28"/>
      <c r="FL230" s="28"/>
      <c r="FM230" s="28"/>
      <c r="FN230" s="28"/>
      <c r="FO230" s="28"/>
      <c r="FP230" s="28"/>
      <c r="FQ230" s="28"/>
      <c r="FR230" s="28"/>
      <c r="FS230" s="28"/>
      <c r="FT230" s="28"/>
      <c r="FU230" s="28"/>
      <c r="FV230" s="28"/>
      <c r="FW230" s="28"/>
      <c r="FX230" s="28"/>
      <c r="FY230" s="28"/>
      <c r="FZ230" s="28"/>
      <c r="GA230" s="28"/>
      <c r="GB230" s="28"/>
      <c r="GC230" s="28"/>
      <c r="GD230" s="28"/>
      <c r="GE230" s="28"/>
      <c r="GF230" s="28"/>
      <c r="GG230" s="28"/>
      <c r="GH230" s="28"/>
      <c r="GI230" s="28"/>
      <c r="GJ230" s="28"/>
      <c r="GK230" s="28"/>
      <c r="GL230" s="28"/>
      <c r="GM230" s="28"/>
      <c r="GN230" s="28"/>
      <c r="GO230" s="28"/>
      <c r="GP230" s="28"/>
      <c r="GQ230" s="28"/>
      <c r="GR230" s="28"/>
      <c r="GS230" s="28"/>
      <c r="GT230" s="28"/>
      <c r="GU230" s="28"/>
      <c r="GV230" s="28"/>
      <c r="GW230" s="28"/>
      <c r="GX230" s="28"/>
      <c r="GY230" s="28"/>
      <c r="GZ230" s="28"/>
      <c r="HA230" s="28"/>
      <c r="HB230" s="28"/>
      <c r="HC230" s="28"/>
      <c r="HD230" s="28"/>
      <c r="HE230" s="28"/>
      <c r="HF230" s="28"/>
      <c r="HG230" s="28"/>
      <c r="HH230" s="28"/>
      <c r="HI230" s="28"/>
      <c r="HJ230" s="28"/>
      <c r="HK230" s="28"/>
      <c r="HL230" s="28"/>
    </row>
    <row r="231" spans="1:220" ht="15" customHeight="1">
      <c r="A231" s="31">
        <v>5</v>
      </c>
      <c r="B231" s="105" t="str">
        <f>VLOOKUP(Ruimtestaat[[#This Row],[Code]],Locaties[[Code]:[Locatie]],2,FALSE)</f>
        <v>IKC Remigius</v>
      </c>
      <c r="C231" s="105" t="str">
        <f>VLOOKUP(Ruimtestaat[[#This Row],[Code]],Locaties[[#All],[Code]:[Adres]],4,FALSE)</f>
        <v>Liemersplein 1</v>
      </c>
      <c r="D231" s="105" t="str">
        <f>VLOOKUP(Ruimtestaat[[#This Row],[Code]],Locaties[[#All],[Code]:[Postcode]],5,FALSE)</f>
        <v xml:space="preserve">6921 HN </v>
      </c>
      <c r="E231" s="105" t="str">
        <f>VLOOKUP(Ruimtestaat[[#This Row],[Code]],Locaties[#All],6,FALSE)</f>
        <v>Duiven</v>
      </c>
      <c r="F231" s="73"/>
      <c r="G231" s="73" t="s">
        <v>1826</v>
      </c>
      <c r="H231" s="31" t="s">
        <v>1833</v>
      </c>
      <c r="I231" s="113" t="s">
        <v>1831</v>
      </c>
      <c r="J231" s="31">
        <v>16</v>
      </c>
      <c r="K231" s="113" t="str">
        <f>VLOOKUP(Ruimtestaat[[#This Row],[Ruimte code]],Ruimtegroepen[[#All],[Code]:[Ruimte omschrijving]],2,FALSE)</f>
        <v>Leslokalen</v>
      </c>
      <c r="L231" s="73" t="s">
        <v>102</v>
      </c>
      <c r="M231" s="273" t="s">
        <v>120</v>
      </c>
      <c r="N231" s="106">
        <v>42.2</v>
      </c>
      <c r="O231" s="112"/>
      <c r="P231" s="73"/>
      <c r="Q231" s="107" t="str">
        <f>VLOOKUP(Ruimtestaat[[#This Row],[Ruimte code]],Ruimtegroepen[],4,FALSE)</f>
        <v>Le</v>
      </c>
      <c r="R231" s="73">
        <v>40</v>
      </c>
      <c r="S231" s="73" t="s">
        <v>2</v>
      </c>
      <c r="T231" s="73">
        <f>IF(R231&gt;0,IF(RIGHT(Ruimtestaat[[#This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1" s="73">
        <f>IF(T231&gt;0,VLOOKUP($J231,Ruimtegroepen[],3,FALSE)*VLOOKUP($L231,Vloersoorten[],3,FALSE)*VLOOKUP($S231,Frequenties[],3,FALSE)*VLOOKUP($A231,Locaties[],3,FALSE),0)</f>
        <v>0</v>
      </c>
      <c r="V231" s="73">
        <f>Ruimtestaat[[#This Row],[Uitvoeringen werkdagen]]*Ruimtestaat[[#This Row],[Oppervlak (netto)]]</f>
        <v>8440</v>
      </c>
      <c r="W231" s="108">
        <f>IF(U231&gt;0,Ruimtestaat[[#This Row],[Prest. (m2 /jaar) werkdagen]]/Ruimtestaat[[#This Row],[Norm (m2/uur) werkdagen]],0)</f>
        <v>0</v>
      </c>
      <c r="X231" s="109">
        <f>Ruimtestaat[[#This Row],[uren / jaar werkdagen]]*Tariefsopbouw!$E$35</f>
        <v>0</v>
      </c>
      <c r="Y231" s="73"/>
      <c r="Z231" s="73">
        <f>IF(Ruimtestaat[[#This Row],[Frequentie weekend]]&gt;0,VALUE(LEFT(Y231,1))*R231,0)</f>
        <v>0</v>
      </c>
      <c r="AA231" s="72">
        <f>IF($Z231&gt;0,VLOOKUP($J231,Ruimtegroepen[],3,FALSE)*VLOOKUP($L231,Vloersoorten[],3,FALSE)*VLOOKUP($Y231,Frequenties[],3,FALSE)*VLOOKUP(Ruimtestaat[[#This Row],[Code]],Locaties[],3,FALSE),0)</f>
        <v>0</v>
      </c>
      <c r="AB231" s="72">
        <f>Ruimtestaat[[#This Row],[Uitvoeringen weekend]]*Ruimtestaat[[#This Row],[Oppervlak (netto)]]</f>
        <v>0</v>
      </c>
      <c r="AC231" s="72">
        <f>IF(AA231&gt;0,Ruimtestaat[[#This Row],[Prest. (m2 /jaar) weekend]]/Ruimtestaat[[#This Row],[Norm (m2/uur) weekend]],0)</f>
        <v>0</v>
      </c>
      <c r="AD231" s="109">
        <f>Ruimtestaat[[#This Row],[uren / jaar weekend]]*Tariefsopbouw!$D$40</f>
        <v>0</v>
      </c>
      <c r="AE231" s="108">
        <f>Ruimtestaat[[#This Row],[Prest. (m2 /jaar) weekend]]+Ruimtestaat[[#This Row],[Prest. (m2 /jaar) werkdagen]]</f>
        <v>8440</v>
      </c>
      <c r="AF231" s="108">
        <f>Ruimtestaat[[#This Row],[uren / jaar weekend]]+Ruimtestaat[[#This Row],[uren / jaar werkdagen]]</f>
        <v>0</v>
      </c>
      <c r="AG231" s="103">
        <f>Ruimtestaat[[#This Row],[kosten / jaar weekend]]+Ruimtestaat[[#This Row],[kosten / jaar werkdagen]]</f>
        <v>0</v>
      </c>
      <c r="AH231" s="103"/>
      <c r="AI231" s="110" t="str">
        <f>IF(Ruimtestaat[[#This Row],[Frequentie werkdagen]]="","",_xlfn.CONCAT(Ruimtestaat[[#This Row],[Ruimte code]],"-",Ruimtestaat[[#This Row],[Frequentie werkdagen]]," ",Ruimtestaat[[#This Row],[Vloer code]]))</f>
        <v>16-5w P</v>
      </c>
      <c r="AJ231" s="114" t="str">
        <f>_xlfn.IFNA(VLOOKUP($AI231,Programma!$F$3:$G$1101,2,0),"")</f>
        <v>_</v>
      </c>
      <c r="AK231" s="114" t="str">
        <f>_xlfn.IFNA(VLOOKUP($AI231,Programma!$F$3:$H$1101,3,0),"")</f>
        <v>_</v>
      </c>
      <c r="AL231" s="114" t="str">
        <f>_xlfn.IFNA(VLOOKUP($AI231,Programma!$F$3:$I$1101,4,0),"")</f>
        <v>4w</v>
      </c>
      <c r="AM231" s="114" t="str">
        <f>_xlfn.IFNA(VLOOKUP($AI231,Programma!$F$3:$J$1101,5,0),"")</f>
        <v>1w</v>
      </c>
      <c r="AN231" s="114" t="str">
        <f>_xlfn.IFNA(VLOOKUP($AI231,Programma!$F$3:$K$1101,6,0),"")</f>
        <v>1m</v>
      </c>
      <c r="AO231" s="114" t="str">
        <f>_xlfn.IFNA(VLOOKUP($AI231,Programma!$F$3:$L$1101,7,0),"")</f>
        <v>_</v>
      </c>
      <c r="AP231" s="114" t="str">
        <f>_xlfn.IFNA(VLOOKUP($AI231,Programma!$F$3:$M$1101,8,0),"")</f>
        <v>_</v>
      </c>
      <c r="AQ231" s="114" t="str">
        <f>_xlfn.IFNA(VLOOKUP($AI231,Programma!$F$3:$N$1101,9,0),"")</f>
        <v>_</v>
      </c>
      <c r="AR231" s="114" t="str">
        <f>_xlfn.IFNA(VLOOKUP($AI231,Programma!$F$3:$O$1101,10,0),"")</f>
        <v>5w</v>
      </c>
      <c r="AS231" s="114" t="str">
        <f>_xlfn.IFNA(VLOOKUP($AI231,Programma!$F$3:$P$1101,11,0),"")</f>
        <v>5w</v>
      </c>
      <c r="AT231" s="114" t="str">
        <f>_xlfn.IFNA(VLOOKUP($AI231,Programma!$F$3:$Q$1101,12,0),"")</f>
        <v>1w</v>
      </c>
      <c r="AU231" s="114" t="str">
        <f>_xlfn.IFNA(VLOOKUP($AI231,Programma!$F$3:$R$1101,13,0),"")</f>
        <v>1w</v>
      </c>
      <c r="AV231" s="114" t="str">
        <f>_xlfn.IFNA(VLOOKUP($AI231,Programma!$F$3:$S$1101,14,0),"")</f>
        <v>1m</v>
      </c>
      <c r="AW231" s="114" t="str">
        <f>_xlfn.IFNA(VLOOKUP($AI231,Programma!$F$3:$T$1101,15,0),"")</f>
        <v>2j</v>
      </c>
      <c r="AX231" s="114" t="str">
        <f>_xlfn.IFNA(VLOOKUP($AI231,Programma!$F$3:$U$1101,16,0),"")</f>
        <v>1j</v>
      </c>
      <c r="AY231" s="114" t="str">
        <f>_xlfn.IFNA(VLOOKUP($AI231,Programma!$F$3:$V$1101,17,0),"")</f>
        <v>_</v>
      </c>
      <c r="AZ231" s="114" t="str">
        <f>_xlfn.IFNA(VLOOKUP($AI231,Programma!$F$3:$W$1101,18,0),"")</f>
        <v>_</v>
      </c>
      <c r="BA231" s="114" t="str">
        <f>_xlfn.IFNA(VLOOKUP($AI231,Programma!$F$3:$X$1101,19,0),"")</f>
        <v>_</v>
      </c>
      <c r="BB231" s="114" t="str">
        <f>_xlfn.IFNA(VLOOKUP($AI231,Programma!$F$3:$Y$1101,20,0),"")</f>
        <v>_</v>
      </c>
      <c r="BC231" s="111"/>
      <c r="BD231" s="110" t="str">
        <f>IF(Ruimtestaat[[#This Row],[Frequentie weekend]]="","",_xlfn.CONCAT(Ruimtestaat[[#This Row],[Ruimte code]],"-",Ruimtestaat[[#This Row],[Frequentie weekend]]," ",Ruimtestaat[[#This Row],[Vloer code]]))</f>
        <v/>
      </c>
      <c r="BE231" s="114" t="str">
        <f>_xlfn.IFNA(VLOOKUP($BD231,Programma!$F$3:$G$1101,2,0),"")</f>
        <v/>
      </c>
      <c r="BF231" s="114" t="str">
        <f>_xlfn.IFNA(VLOOKUP($BD231,Programma!$F$3:$H$1101,3,0),"")</f>
        <v/>
      </c>
      <c r="BG231" s="114" t="str">
        <f>_xlfn.IFNA(VLOOKUP($BD231,Programma!$F$3:$I$1101,4,0),"")</f>
        <v/>
      </c>
      <c r="BH231" s="114" t="str">
        <f>_xlfn.IFNA(VLOOKUP($BD231,Programma!$F$3:$J$1101,5,0),"")</f>
        <v/>
      </c>
      <c r="BI231" s="114" t="str">
        <f>_xlfn.IFNA(VLOOKUP($BD231,Programma!$F$3:$K$1101,6,0),"")</f>
        <v/>
      </c>
      <c r="BJ231" s="114" t="str">
        <f>_xlfn.IFNA(VLOOKUP($BD231,Programma!$F$3:$L$1101,7,0),"")</f>
        <v/>
      </c>
      <c r="BK231" s="114" t="str">
        <f>_xlfn.IFNA(VLOOKUP($BD231,Programma!$F$3:$M$1101,8,0),"")</f>
        <v/>
      </c>
      <c r="BL231" s="114" t="str">
        <f>_xlfn.IFNA(VLOOKUP($BD231,Programma!$F$3:$N$1101,9,0),"")</f>
        <v/>
      </c>
      <c r="BM231" s="114" t="str">
        <f>_xlfn.IFNA(VLOOKUP($BD231,Programma!$F$3:$O$1101,10,0),"")</f>
        <v/>
      </c>
      <c r="BN231" s="114" t="str">
        <f>_xlfn.IFNA(VLOOKUP($BD231,Programma!$F$3:$P$1101,11,0),"")</f>
        <v/>
      </c>
      <c r="BO231" s="114" t="str">
        <f>_xlfn.IFNA(VLOOKUP($BD231,Programma!$F$3:$Q$1101,12,0),"")</f>
        <v/>
      </c>
      <c r="BP231" s="114" t="str">
        <f>_xlfn.IFNA(VLOOKUP($BD231,Programma!$F$3:$R$1101,13,0),"")</f>
        <v/>
      </c>
      <c r="BQ231" s="114" t="str">
        <f>_xlfn.IFNA(VLOOKUP($BD231,Programma!$F$3:$S$1101,14,0),"")</f>
        <v/>
      </c>
      <c r="BR231" s="114" t="str">
        <f>_xlfn.IFNA(VLOOKUP($BD231,Programma!$F$3:$T$1101,15,0),"")</f>
        <v/>
      </c>
      <c r="BS231" s="114" t="str">
        <f>_xlfn.IFNA(VLOOKUP($BD231,Programma!$F$3:$U$1101,16,0),"")</f>
        <v/>
      </c>
      <c r="BT231" s="114" t="str">
        <f>_xlfn.IFNA(VLOOKUP($BD231,Programma!$F$3:$V$1101,17,0),"")</f>
        <v/>
      </c>
      <c r="BU231" s="114" t="str">
        <f>_xlfn.IFNA(VLOOKUP($BD231,Programma!$F$3:$W$1101,18,0),"")</f>
        <v/>
      </c>
      <c r="BV231" s="114" t="str">
        <f>_xlfn.IFNA(VLOOKUP($BD231,Programma!$F$3:$X$1101,19,0),"")</f>
        <v/>
      </c>
      <c r="BW231" s="114" t="str">
        <f>_xlfn.IFNA(VLOOKUP($BD231,Programma!$F$3:$Y$1101,20,0),"")</f>
        <v/>
      </c>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c r="ET231" s="28"/>
      <c r="EU231" s="28"/>
      <c r="EV231" s="28"/>
      <c r="EW231" s="28"/>
      <c r="EX231" s="28"/>
      <c r="EY231" s="28"/>
      <c r="EZ231" s="28"/>
      <c r="FA231" s="28"/>
      <c r="FB231" s="28"/>
      <c r="FC231" s="28"/>
      <c r="FD231" s="28"/>
      <c r="FE231" s="28"/>
      <c r="FF231" s="28"/>
      <c r="FG231" s="28"/>
      <c r="FH231" s="28"/>
      <c r="FI231" s="28"/>
      <c r="FJ231" s="28"/>
      <c r="FK231" s="28"/>
      <c r="FL231" s="28"/>
      <c r="FM231" s="28"/>
      <c r="FN231" s="28"/>
      <c r="FO231" s="28"/>
      <c r="FP231" s="28"/>
      <c r="FQ231" s="28"/>
      <c r="FR231" s="28"/>
      <c r="FS231" s="28"/>
      <c r="FT231" s="28"/>
      <c r="FU231" s="28"/>
      <c r="FV231" s="28"/>
      <c r="FW231" s="28"/>
      <c r="FX231" s="28"/>
      <c r="FY231" s="28"/>
      <c r="FZ231" s="28"/>
      <c r="GA231" s="28"/>
      <c r="GB231" s="28"/>
      <c r="GC231" s="28"/>
      <c r="GD231" s="28"/>
      <c r="GE231" s="28"/>
      <c r="GF231" s="28"/>
      <c r="GG231" s="28"/>
      <c r="GH231" s="28"/>
      <c r="GI231" s="28"/>
      <c r="GJ231" s="28"/>
      <c r="GK231" s="28"/>
      <c r="GL231" s="28"/>
      <c r="GM231" s="28"/>
      <c r="GN231" s="28"/>
      <c r="GO231" s="28"/>
      <c r="GP231" s="28"/>
      <c r="GQ231" s="28"/>
      <c r="GR231" s="28"/>
      <c r="GS231" s="28"/>
      <c r="GT231" s="28"/>
      <c r="GU231" s="28"/>
      <c r="GV231" s="28"/>
      <c r="GW231" s="28"/>
      <c r="GX231" s="28"/>
      <c r="GY231" s="28"/>
      <c r="GZ231" s="28"/>
      <c r="HA231" s="28"/>
      <c r="HB231" s="28"/>
      <c r="HC231" s="28"/>
      <c r="HD231" s="28"/>
      <c r="HE231" s="28"/>
      <c r="HF231" s="28"/>
      <c r="HG231" s="28"/>
      <c r="HH231" s="28"/>
      <c r="HI231" s="28"/>
      <c r="HJ231" s="28"/>
      <c r="HK231" s="28"/>
      <c r="HL231" s="28"/>
    </row>
    <row r="232" spans="1:220" ht="15" customHeight="1">
      <c r="A232" s="31">
        <v>5</v>
      </c>
      <c r="B232" s="105" t="str">
        <f>VLOOKUP(Ruimtestaat[[#This Row],[Code]],Locaties[[Code]:[Locatie]],2,FALSE)</f>
        <v>IKC Remigius</v>
      </c>
      <c r="C232" s="105" t="str">
        <f>VLOOKUP(Ruimtestaat[[#This Row],[Code]],Locaties[[#All],[Code]:[Adres]],4,FALSE)</f>
        <v>Liemersplein 1</v>
      </c>
      <c r="D232" s="105" t="str">
        <f>VLOOKUP(Ruimtestaat[[#This Row],[Code]],Locaties[[#All],[Code]:[Postcode]],5,FALSE)</f>
        <v xml:space="preserve">6921 HN </v>
      </c>
      <c r="E232" s="105" t="str">
        <f>VLOOKUP(Ruimtestaat[[#This Row],[Code]],Locaties[#All],6,FALSE)</f>
        <v>Duiven</v>
      </c>
      <c r="F232" s="73"/>
      <c r="G232" s="31" t="s">
        <v>1826</v>
      </c>
      <c r="H232" s="31" t="s">
        <v>1834</v>
      </c>
      <c r="I232" s="113" t="s">
        <v>1836</v>
      </c>
      <c r="J232" s="31">
        <v>1</v>
      </c>
      <c r="K232" s="113" t="str">
        <f>VLOOKUP(Ruimtestaat[[#This Row],[Ruimte code]],Ruimtegroepen[[#All],[Code]:[Ruimte omschrijving]],2,FALSE)</f>
        <v>Magazijnen/bergingen</v>
      </c>
      <c r="L232" s="73" t="s">
        <v>102</v>
      </c>
      <c r="M232" s="273" t="s">
        <v>120</v>
      </c>
      <c r="N232" s="106">
        <v>2</v>
      </c>
      <c r="O232" s="112"/>
      <c r="P232" s="112"/>
      <c r="Q232" s="107" t="str">
        <f>VLOOKUP(Ruimtestaat[[#This Row],[Ruimte code]],Ruimtegroepen[],4,FALSE)</f>
        <v>Ve</v>
      </c>
      <c r="R232" s="73">
        <v>40</v>
      </c>
      <c r="S232" s="73" t="s">
        <v>16</v>
      </c>
      <c r="T232" s="73">
        <f>IF(R232&gt;0,IF(RIGHT(Ruimtestaat[[#This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2" s="73">
        <f>IF(T232&gt;0,VLOOKUP($J232,Ruimtegroepen[],3,FALSE)*VLOOKUP($L232,Vloersoorten[],3,FALSE)*VLOOKUP($S232,Frequenties[],3,FALSE)*VLOOKUP($A232,Locaties[],3,FALSE),0)</f>
        <v>0</v>
      </c>
      <c r="V232" s="73">
        <f>Ruimtestaat[[#This Row],[Uitvoeringen werkdagen]]*Ruimtestaat[[#This Row],[Oppervlak (netto)]]</f>
        <v>24</v>
      </c>
      <c r="W232" s="108">
        <f>IF(U232&gt;0,Ruimtestaat[[#This Row],[Prest. (m2 /jaar) werkdagen]]/Ruimtestaat[[#This Row],[Norm (m2/uur) werkdagen]],0)</f>
        <v>0</v>
      </c>
      <c r="X232" s="109">
        <f>Ruimtestaat[[#This Row],[uren / jaar werkdagen]]*Tariefsopbouw!$E$35</f>
        <v>0</v>
      </c>
      <c r="Y232" s="73"/>
      <c r="Z232" s="73">
        <f>IF(Ruimtestaat[[#This Row],[Frequentie weekend]]&gt;0,VALUE(LEFT(Y232,1))*R232,0)</f>
        <v>0</v>
      </c>
      <c r="AA232" s="72">
        <f>IF($Z232&gt;0,VLOOKUP($J232,Ruimtegroepen[],3,FALSE)*VLOOKUP($L232,Vloersoorten[],3,FALSE)*VLOOKUP($Y232,Frequenties[],3,FALSE)*VLOOKUP(Ruimtestaat[[#This Row],[Code]],Locaties[],3,FALSE),0)</f>
        <v>0</v>
      </c>
      <c r="AB232" s="72">
        <f>Ruimtestaat[[#This Row],[Uitvoeringen weekend]]*Ruimtestaat[[#This Row],[Oppervlak (netto)]]</f>
        <v>0</v>
      </c>
      <c r="AC232" s="72">
        <f>IF(AA232&gt;0,Ruimtestaat[[#This Row],[Prest. (m2 /jaar) weekend]]/Ruimtestaat[[#This Row],[Norm (m2/uur) weekend]],0)</f>
        <v>0</v>
      </c>
      <c r="AD232" s="109">
        <f>Ruimtestaat[[#This Row],[uren / jaar weekend]]*Tariefsopbouw!$D$40</f>
        <v>0</v>
      </c>
      <c r="AE232" s="108">
        <f>Ruimtestaat[[#This Row],[Prest. (m2 /jaar) weekend]]+Ruimtestaat[[#This Row],[Prest. (m2 /jaar) werkdagen]]</f>
        <v>24</v>
      </c>
      <c r="AF232" s="108">
        <f>Ruimtestaat[[#This Row],[uren / jaar weekend]]+Ruimtestaat[[#This Row],[uren / jaar werkdagen]]</f>
        <v>0</v>
      </c>
      <c r="AG232" s="103">
        <f>Ruimtestaat[[#This Row],[kosten / jaar weekend]]+Ruimtestaat[[#This Row],[kosten / jaar werkdagen]]</f>
        <v>0</v>
      </c>
      <c r="AH232" s="103"/>
      <c r="AI232" s="110" t="str">
        <f>IF(Ruimtestaat[[#This Row],[Frequentie werkdagen]]="","",_xlfn.CONCAT(Ruimtestaat[[#This Row],[Ruimte code]],"-",Ruimtestaat[[#This Row],[Frequentie werkdagen]]," ",Ruimtestaat[[#This Row],[Vloer code]]))</f>
        <v>1-1m P</v>
      </c>
      <c r="AJ232" s="114" t="str">
        <f>_xlfn.IFNA(VLOOKUP($AI232,Programma!$F$3:$G$1101,2,0),"")</f>
        <v>_</v>
      </c>
      <c r="AK232" s="114" t="str">
        <f>_xlfn.IFNA(VLOOKUP($AI232,Programma!$F$3:$H$1101,3,0),"")</f>
        <v>_</v>
      </c>
      <c r="AL232" s="114" t="str">
        <f>_xlfn.IFNA(VLOOKUP($AI232,Programma!$F$3:$I$1101,4,0),"")</f>
        <v>1m</v>
      </c>
      <c r="AM232" s="114" t="str">
        <f>_xlfn.IFNA(VLOOKUP($AI232,Programma!$F$3:$J$1101,5,0),"")</f>
        <v>1m</v>
      </c>
      <c r="AN232" s="114" t="str">
        <f>_xlfn.IFNA(VLOOKUP($AI232,Programma!$F$3:$K$1101,6,0),"")</f>
        <v>1j</v>
      </c>
      <c r="AO232" s="114" t="str">
        <f>_xlfn.IFNA(VLOOKUP($AI232,Programma!$F$3:$L$1101,7,0),"")</f>
        <v>_</v>
      </c>
      <c r="AP232" s="114" t="str">
        <f>_xlfn.IFNA(VLOOKUP($AI232,Programma!$F$3:$M$1101,8,0),"")</f>
        <v>_</v>
      </c>
      <c r="AQ232" s="114" t="str">
        <f>_xlfn.IFNA(VLOOKUP($AI232,Programma!$F$3:$N$1101,9,0),"")</f>
        <v>_</v>
      </c>
      <c r="AR232" s="114" t="str">
        <f>_xlfn.IFNA(VLOOKUP($AI232,Programma!$F$3:$O$1101,10,0),"")</f>
        <v>_</v>
      </c>
      <c r="AS232" s="114" t="str">
        <f>_xlfn.IFNA(VLOOKUP($AI232,Programma!$F$3:$P$1101,11,0),"")</f>
        <v>_</v>
      </c>
      <c r="AT232" s="114" t="str">
        <f>_xlfn.IFNA(VLOOKUP($AI232,Programma!$F$3:$Q$1101,12,0),"")</f>
        <v>_</v>
      </c>
      <c r="AU232" s="114" t="str">
        <f>_xlfn.IFNA(VLOOKUP($AI232,Programma!$F$3:$R$1101,13,0),"")</f>
        <v>_</v>
      </c>
      <c r="AV232" s="114" t="str">
        <f>_xlfn.IFNA(VLOOKUP($AI232,Programma!$F$3:$S$1101,14,0),"")</f>
        <v>1m</v>
      </c>
      <c r="AW232" s="114" t="str">
        <f>_xlfn.IFNA(VLOOKUP($AI232,Programma!$F$3:$T$1101,15,0),"")</f>
        <v>4j</v>
      </c>
      <c r="AX232" s="114" t="str">
        <f>_xlfn.IFNA(VLOOKUP($AI232,Programma!$F$3:$U$1101,16,0),"")</f>
        <v>4j</v>
      </c>
      <c r="AY232" s="114" t="str">
        <f>_xlfn.IFNA(VLOOKUP($AI232,Programma!$F$3:$V$1101,17,0),"")</f>
        <v>_</v>
      </c>
      <c r="AZ232" s="114" t="str">
        <f>_xlfn.IFNA(VLOOKUP($AI232,Programma!$F$3:$W$1101,18,0),"")</f>
        <v>_</v>
      </c>
      <c r="BA232" s="114" t="str">
        <f>_xlfn.IFNA(VLOOKUP($AI232,Programma!$F$3:$X$1101,19,0),"")</f>
        <v>_</v>
      </c>
      <c r="BB232" s="114" t="str">
        <f>_xlfn.IFNA(VLOOKUP($AI232,Programma!$F$3:$Y$1101,20,0),"")</f>
        <v>_</v>
      </c>
      <c r="BC232" s="111"/>
      <c r="BD232" s="110" t="str">
        <f>IF(Ruimtestaat[[#This Row],[Frequentie weekend]]="","",_xlfn.CONCAT(Ruimtestaat[[#This Row],[Ruimte code]],"-",Ruimtestaat[[#This Row],[Frequentie weekend]]," ",Ruimtestaat[[#This Row],[Vloer code]]))</f>
        <v/>
      </c>
      <c r="BE232" s="114" t="str">
        <f>_xlfn.IFNA(VLOOKUP($BD232,Programma!$F$3:$G$1101,2,0),"")</f>
        <v/>
      </c>
      <c r="BF232" s="114" t="str">
        <f>_xlfn.IFNA(VLOOKUP($BD232,Programma!$F$3:$H$1101,3,0),"")</f>
        <v/>
      </c>
      <c r="BG232" s="114" t="str">
        <f>_xlfn.IFNA(VLOOKUP($BD232,Programma!$F$3:$I$1101,4,0),"")</f>
        <v/>
      </c>
      <c r="BH232" s="114" t="str">
        <f>_xlfn.IFNA(VLOOKUP($BD232,Programma!$F$3:$J$1101,5,0),"")</f>
        <v/>
      </c>
      <c r="BI232" s="114" t="str">
        <f>_xlfn.IFNA(VLOOKUP($BD232,Programma!$F$3:$K$1101,6,0),"")</f>
        <v/>
      </c>
      <c r="BJ232" s="114" t="str">
        <f>_xlfn.IFNA(VLOOKUP($BD232,Programma!$F$3:$L$1101,7,0),"")</f>
        <v/>
      </c>
      <c r="BK232" s="114" t="str">
        <f>_xlfn.IFNA(VLOOKUP($BD232,Programma!$F$3:$M$1101,8,0),"")</f>
        <v/>
      </c>
      <c r="BL232" s="114" t="str">
        <f>_xlfn.IFNA(VLOOKUP($BD232,Programma!$F$3:$N$1101,9,0),"")</f>
        <v/>
      </c>
      <c r="BM232" s="114" t="str">
        <f>_xlfn.IFNA(VLOOKUP($BD232,Programma!$F$3:$O$1101,10,0),"")</f>
        <v/>
      </c>
      <c r="BN232" s="114" t="str">
        <f>_xlfn.IFNA(VLOOKUP($BD232,Programma!$F$3:$P$1101,11,0),"")</f>
        <v/>
      </c>
      <c r="BO232" s="114" t="str">
        <f>_xlfn.IFNA(VLOOKUP($BD232,Programma!$F$3:$Q$1101,12,0),"")</f>
        <v/>
      </c>
      <c r="BP232" s="114" t="str">
        <f>_xlfn.IFNA(VLOOKUP($BD232,Programma!$F$3:$R$1101,13,0),"")</f>
        <v/>
      </c>
      <c r="BQ232" s="114" t="str">
        <f>_xlfn.IFNA(VLOOKUP($BD232,Programma!$F$3:$S$1101,14,0),"")</f>
        <v/>
      </c>
      <c r="BR232" s="114" t="str">
        <f>_xlfn.IFNA(VLOOKUP($BD232,Programma!$F$3:$T$1101,15,0),"")</f>
        <v/>
      </c>
      <c r="BS232" s="114" t="str">
        <f>_xlfn.IFNA(VLOOKUP($BD232,Programma!$F$3:$U$1101,16,0),"")</f>
        <v/>
      </c>
      <c r="BT232" s="114" t="str">
        <f>_xlfn.IFNA(VLOOKUP($BD232,Programma!$F$3:$V$1101,17,0),"")</f>
        <v/>
      </c>
      <c r="BU232" s="114" t="str">
        <f>_xlfn.IFNA(VLOOKUP($BD232,Programma!$F$3:$W$1101,18,0),"")</f>
        <v/>
      </c>
      <c r="BV232" s="114" t="str">
        <f>_xlfn.IFNA(VLOOKUP($BD232,Programma!$F$3:$X$1101,19,0),"")</f>
        <v/>
      </c>
      <c r="BW232" s="114" t="str">
        <f>_xlfn.IFNA(VLOOKUP($BD232,Programma!$F$3:$Y$1101,20,0),"")</f>
        <v/>
      </c>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c r="DB232" s="28"/>
      <c r="DC232" s="28"/>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c r="EA232" s="28"/>
      <c r="EB232" s="28"/>
      <c r="EC232" s="28"/>
      <c r="ED232" s="28"/>
      <c r="EE232" s="28"/>
      <c r="EF232" s="28"/>
      <c r="EG232" s="28"/>
      <c r="EH232" s="28"/>
      <c r="EI232" s="28"/>
      <c r="EJ232" s="28"/>
      <c r="EK232" s="28"/>
      <c r="EL232" s="28"/>
      <c r="EM232" s="28"/>
      <c r="EN232" s="28"/>
      <c r="EO232" s="28"/>
      <c r="EP232" s="28"/>
      <c r="EQ232" s="28"/>
      <c r="ER232" s="28"/>
      <c r="ES232" s="28"/>
      <c r="ET232" s="28"/>
      <c r="EU232" s="28"/>
      <c r="EV232" s="28"/>
      <c r="EW232" s="28"/>
      <c r="EX232" s="28"/>
      <c r="EY232" s="28"/>
      <c r="EZ232" s="28"/>
      <c r="FA232" s="28"/>
      <c r="FB232" s="28"/>
      <c r="FC232" s="28"/>
      <c r="FD232" s="28"/>
      <c r="FE232" s="28"/>
      <c r="FF232" s="28"/>
      <c r="FG232" s="28"/>
      <c r="FH232" s="28"/>
      <c r="FI232" s="28"/>
      <c r="FJ232" s="28"/>
      <c r="FK232" s="28"/>
      <c r="FL232" s="28"/>
      <c r="FM232" s="28"/>
      <c r="FN232" s="28"/>
      <c r="FO232" s="28"/>
      <c r="FP232" s="28"/>
      <c r="FQ232" s="28"/>
      <c r="FR232" s="28"/>
      <c r="FS232" s="28"/>
      <c r="FT232" s="28"/>
      <c r="FU232" s="28"/>
      <c r="FV232" s="28"/>
      <c r="FW232" s="28"/>
      <c r="FX232" s="28"/>
      <c r="FY232" s="28"/>
      <c r="FZ232" s="28"/>
      <c r="GA232" s="28"/>
      <c r="GB232" s="28"/>
      <c r="GC232" s="28"/>
      <c r="GD232" s="28"/>
      <c r="GE232" s="28"/>
      <c r="GF232" s="28"/>
      <c r="GG232" s="28"/>
      <c r="GH232" s="28"/>
      <c r="GI232" s="28"/>
      <c r="GJ232" s="28"/>
      <c r="GK232" s="28"/>
      <c r="GL232" s="28"/>
      <c r="GM232" s="28"/>
      <c r="GN232" s="28"/>
      <c r="GO232" s="28"/>
      <c r="GP232" s="28"/>
      <c r="GQ232" s="28"/>
      <c r="GR232" s="28"/>
      <c r="GS232" s="28"/>
      <c r="GT232" s="28"/>
      <c r="GU232" s="28"/>
      <c r="GV232" s="28"/>
      <c r="GW232" s="28"/>
      <c r="GX232" s="28"/>
      <c r="GY232" s="28"/>
      <c r="GZ232" s="28"/>
      <c r="HA232" s="28"/>
      <c r="HB232" s="28"/>
      <c r="HC232" s="28"/>
      <c r="HD232" s="28"/>
      <c r="HE232" s="28"/>
      <c r="HF232" s="28"/>
      <c r="HG232" s="28"/>
      <c r="HH232" s="28"/>
      <c r="HI232" s="28"/>
      <c r="HJ232" s="28"/>
      <c r="HK232" s="28"/>
      <c r="HL232" s="28"/>
    </row>
    <row r="233" spans="1:220" ht="15" customHeight="1">
      <c r="A233" s="31">
        <v>5</v>
      </c>
      <c r="B233" s="105" t="str">
        <f>VLOOKUP(Ruimtestaat[[#This Row],[Code]],Locaties[[Code]:[Locatie]],2,FALSE)</f>
        <v>IKC Remigius</v>
      </c>
      <c r="C233" s="105" t="str">
        <f>VLOOKUP(Ruimtestaat[[#This Row],[Code]],Locaties[[#All],[Code]:[Adres]],4,FALSE)</f>
        <v>Liemersplein 1</v>
      </c>
      <c r="D233" s="105" t="str">
        <f>VLOOKUP(Ruimtestaat[[#This Row],[Code]],Locaties[[#All],[Code]:[Postcode]],5,FALSE)</f>
        <v xml:space="preserve">6921 HN </v>
      </c>
      <c r="E233" s="105" t="str">
        <f>VLOOKUP(Ruimtestaat[[#This Row],[Code]],Locaties[#All],6,FALSE)</f>
        <v>Duiven</v>
      </c>
      <c r="F233" s="73"/>
      <c r="G233" s="31" t="s">
        <v>1826</v>
      </c>
      <c r="H233" s="31" t="s">
        <v>1835</v>
      </c>
      <c r="I233" s="113" t="s">
        <v>1836</v>
      </c>
      <c r="J233" s="31">
        <v>1</v>
      </c>
      <c r="K233" s="113" t="str">
        <f>VLOOKUP(Ruimtestaat[[#This Row],[Ruimte code]],Ruimtegroepen[[#All],[Code]:[Ruimte omschrijving]],2,FALSE)</f>
        <v>Magazijnen/bergingen</v>
      </c>
      <c r="L233" s="73" t="s">
        <v>102</v>
      </c>
      <c r="M233" s="273" t="s">
        <v>120</v>
      </c>
      <c r="N233" s="106">
        <v>1.9</v>
      </c>
      <c r="O233" s="112"/>
      <c r="P233" s="112"/>
      <c r="Q233" s="107" t="str">
        <f>VLOOKUP(Ruimtestaat[[#This Row],[Ruimte code]],Ruimtegroepen[],4,FALSE)</f>
        <v>Ve</v>
      </c>
      <c r="R233" s="73">
        <v>40</v>
      </c>
      <c r="S233" s="73" t="s">
        <v>16</v>
      </c>
      <c r="T233" s="73">
        <f>IF(R233&gt;0,IF(RIGHT(Ruimtestaat[[#This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3" s="73">
        <f>IF(T233&gt;0,VLOOKUP($J233,Ruimtegroepen[],3,FALSE)*VLOOKUP($L233,Vloersoorten[],3,FALSE)*VLOOKUP($S233,Frequenties[],3,FALSE)*VLOOKUP($A233,Locaties[],3,FALSE),0)</f>
        <v>0</v>
      </c>
      <c r="V233" s="73">
        <f>Ruimtestaat[[#This Row],[Uitvoeringen werkdagen]]*Ruimtestaat[[#This Row],[Oppervlak (netto)]]</f>
        <v>22.799999999999997</v>
      </c>
      <c r="W233" s="108">
        <f>IF(U233&gt;0,Ruimtestaat[[#This Row],[Prest. (m2 /jaar) werkdagen]]/Ruimtestaat[[#This Row],[Norm (m2/uur) werkdagen]],0)</f>
        <v>0</v>
      </c>
      <c r="X233" s="109">
        <f>Ruimtestaat[[#This Row],[uren / jaar werkdagen]]*Tariefsopbouw!$E$35</f>
        <v>0</v>
      </c>
      <c r="Y233" s="73"/>
      <c r="Z233" s="73">
        <f>IF(Ruimtestaat[[#This Row],[Frequentie weekend]]&gt;0,VALUE(LEFT(Y233,1))*R233,0)</f>
        <v>0</v>
      </c>
      <c r="AA233" s="72">
        <f>IF($Z233&gt;0,VLOOKUP($J233,Ruimtegroepen[],3,FALSE)*VLOOKUP($L233,Vloersoorten[],3,FALSE)*VLOOKUP($Y233,Frequenties[],3,FALSE)*VLOOKUP(Ruimtestaat[[#This Row],[Code]],Locaties[],3,FALSE),0)</f>
        <v>0</v>
      </c>
      <c r="AB233" s="72">
        <f>Ruimtestaat[[#This Row],[Uitvoeringen weekend]]*Ruimtestaat[[#This Row],[Oppervlak (netto)]]</f>
        <v>0</v>
      </c>
      <c r="AC233" s="72">
        <f>IF(AA233&gt;0,Ruimtestaat[[#This Row],[Prest. (m2 /jaar) weekend]]/Ruimtestaat[[#This Row],[Norm (m2/uur) weekend]],0)</f>
        <v>0</v>
      </c>
      <c r="AD233" s="109">
        <f>Ruimtestaat[[#This Row],[uren / jaar weekend]]*Tariefsopbouw!$D$40</f>
        <v>0</v>
      </c>
      <c r="AE233" s="108">
        <f>Ruimtestaat[[#This Row],[Prest. (m2 /jaar) weekend]]+Ruimtestaat[[#This Row],[Prest. (m2 /jaar) werkdagen]]</f>
        <v>22.799999999999997</v>
      </c>
      <c r="AF233" s="108">
        <f>Ruimtestaat[[#This Row],[uren / jaar weekend]]+Ruimtestaat[[#This Row],[uren / jaar werkdagen]]</f>
        <v>0</v>
      </c>
      <c r="AG233" s="103">
        <f>Ruimtestaat[[#This Row],[kosten / jaar weekend]]+Ruimtestaat[[#This Row],[kosten / jaar werkdagen]]</f>
        <v>0</v>
      </c>
      <c r="AH233" s="103"/>
      <c r="AI233" s="110" t="str">
        <f>IF(Ruimtestaat[[#This Row],[Frequentie werkdagen]]="","",_xlfn.CONCAT(Ruimtestaat[[#This Row],[Ruimte code]],"-",Ruimtestaat[[#This Row],[Frequentie werkdagen]]," ",Ruimtestaat[[#This Row],[Vloer code]]))</f>
        <v>1-1m P</v>
      </c>
      <c r="AJ233" s="114" t="str">
        <f>_xlfn.IFNA(VLOOKUP($AI233,Programma!$F$3:$G$1101,2,0),"")</f>
        <v>_</v>
      </c>
      <c r="AK233" s="114" t="str">
        <f>_xlfn.IFNA(VLOOKUP($AI233,Programma!$F$3:$H$1101,3,0),"")</f>
        <v>_</v>
      </c>
      <c r="AL233" s="114" t="str">
        <f>_xlfn.IFNA(VLOOKUP($AI233,Programma!$F$3:$I$1101,4,0),"")</f>
        <v>1m</v>
      </c>
      <c r="AM233" s="114" t="str">
        <f>_xlfn.IFNA(VLOOKUP($AI233,Programma!$F$3:$J$1101,5,0),"")</f>
        <v>1m</v>
      </c>
      <c r="AN233" s="114" t="str">
        <f>_xlfn.IFNA(VLOOKUP($AI233,Programma!$F$3:$K$1101,6,0),"")</f>
        <v>1j</v>
      </c>
      <c r="AO233" s="114" t="str">
        <f>_xlfn.IFNA(VLOOKUP($AI233,Programma!$F$3:$L$1101,7,0),"")</f>
        <v>_</v>
      </c>
      <c r="AP233" s="114" t="str">
        <f>_xlfn.IFNA(VLOOKUP($AI233,Programma!$F$3:$M$1101,8,0),"")</f>
        <v>_</v>
      </c>
      <c r="AQ233" s="114" t="str">
        <f>_xlfn.IFNA(VLOOKUP($AI233,Programma!$F$3:$N$1101,9,0),"")</f>
        <v>_</v>
      </c>
      <c r="AR233" s="114" t="str">
        <f>_xlfn.IFNA(VLOOKUP($AI233,Programma!$F$3:$O$1101,10,0),"")</f>
        <v>_</v>
      </c>
      <c r="AS233" s="114" t="str">
        <f>_xlfn.IFNA(VLOOKUP($AI233,Programma!$F$3:$P$1101,11,0),"")</f>
        <v>_</v>
      </c>
      <c r="AT233" s="114" t="str">
        <f>_xlfn.IFNA(VLOOKUP($AI233,Programma!$F$3:$Q$1101,12,0),"")</f>
        <v>_</v>
      </c>
      <c r="AU233" s="114" t="str">
        <f>_xlfn.IFNA(VLOOKUP($AI233,Programma!$F$3:$R$1101,13,0),"")</f>
        <v>_</v>
      </c>
      <c r="AV233" s="114" t="str">
        <f>_xlfn.IFNA(VLOOKUP($AI233,Programma!$F$3:$S$1101,14,0),"")</f>
        <v>1m</v>
      </c>
      <c r="AW233" s="114" t="str">
        <f>_xlfn.IFNA(VLOOKUP($AI233,Programma!$F$3:$T$1101,15,0),"")</f>
        <v>4j</v>
      </c>
      <c r="AX233" s="114" t="str">
        <f>_xlfn.IFNA(VLOOKUP($AI233,Programma!$F$3:$U$1101,16,0),"")</f>
        <v>4j</v>
      </c>
      <c r="AY233" s="114" t="str">
        <f>_xlfn.IFNA(VLOOKUP($AI233,Programma!$F$3:$V$1101,17,0),"")</f>
        <v>_</v>
      </c>
      <c r="AZ233" s="114" t="str">
        <f>_xlfn.IFNA(VLOOKUP($AI233,Programma!$F$3:$W$1101,18,0),"")</f>
        <v>_</v>
      </c>
      <c r="BA233" s="114" t="str">
        <f>_xlfn.IFNA(VLOOKUP($AI233,Programma!$F$3:$X$1101,19,0),"")</f>
        <v>_</v>
      </c>
      <c r="BB233" s="114" t="str">
        <f>_xlfn.IFNA(VLOOKUP($AI233,Programma!$F$3:$Y$1101,20,0),"")</f>
        <v>_</v>
      </c>
      <c r="BC233" s="111"/>
      <c r="BD233" s="110" t="str">
        <f>IF(Ruimtestaat[[#This Row],[Frequentie weekend]]="","",_xlfn.CONCAT(Ruimtestaat[[#This Row],[Ruimte code]],"-",Ruimtestaat[[#This Row],[Frequentie weekend]]," ",Ruimtestaat[[#This Row],[Vloer code]]))</f>
        <v/>
      </c>
      <c r="BE233" s="114" t="str">
        <f>_xlfn.IFNA(VLOOKUP($BD233,Programma!$F$3:$G$1101,2,0),"")</f>
        <v/>
      </c>
      <c r="BF233" s="114" t="str">
        <f>_xlfn.IFNA(VLOOKUP($BD233,Programma!$F$3:$H$1101,3,0),"")</f>
        <v/>
      </c>
      <c r="BG233" s="114" t="str">
        <f>_xlfn.IFNA(VLOOKUP($BD233,Programma!$F$3:$I$1101,4,0),"")</f>
        <v/>
      </c>
      <c r="BH233" s="114" t="str">
        <f>_xlfn.IFNA(VLOOKUP($BD233,Programma!$F$3:$J$1101,5,0),"")</f>
        <v/>
      </c>
      <c r="BI233" s="114" t="str">
        <f>_xlfn.IFNA(VLOOKUP($BD233,Programma!$F$3:$K$1101,6,0),"")</f>
        <v/>
      </c>
      <c r="BJ233" s="114" t="str">
        <f>_xlfn.IFNA(VLOOKUP($BD233,Programma!$F$3:$L$1101,7,0),"")</f>
        <v/>
      </c>
      <c r="BK233" s="114" t="str">
        <f>_xlfn.IFNA(VLOOKUP($BD233,Programma!$F$3:$M$1101,8,0),"")</f>
        <v/>
      </c>
      <c r="BL233" s="114" t="str">
        <f>_xlfn.IFNA(VLOOKUP($BD233,Programma!$F$3:$N$1101,9,0),"")</f>
        <v/>
      </c>
      <c r="BM233" s="114" t="str">
        <f>_xlfn.IFNA(VLOOKUP($BD233,Programma!$F$3:$O$1101,10,0),"")</f>
        <v/>
      </c>
      <c r="BN233" s="114" t="str">
        <f>_xlfn.IFNA(VLOOKUP($BD233,Programma!$F$3:$P$1101,11,0),"")</f>
        <v/>
      </c>
      <c r="BO233" s="114" t="str">
        <f>_xlfn.IFNA(VLOOKUP($BD233,Programma!$F$3:$Q$1101,12,0),"")</f>
        <v/>
      </c>
      <c r="BP233" s="114" t="str">
        <f>_xlfn.IFNA(VLOOKUP($BD233,Programma!$F$3:$R$1101,13,0),"")</f>
        <v/>
      </c>
      <c r="BQ233" s="114" t="str">
        <f>_xlfn.IFNA(VLOOKUP($BD233,Programma!$F$3:$S$1101,14,0),"")</f>
        <v/>
      </c>
      <c r="BR233" s="114" t="str">
        <f>_xlfn.IFNA(VLOOKUP($BD233,Programma!$F$3:$T$1101,15,0),"")</f>
        <v/>
      </c>
      <c r="BS233" s="114" t="str">
        <f>_xlfn.IFNA(VLOOKUP($BD233,Programma!$F$3:$U$1101,16,0),"")</f>
        <v/>
      </c>
      <c r="BT233" s="114" t="str">
        <f>_xlfn.IFNA(VLOOKUP($BD233,Programma!$F$3:$V$1101,17,0),"")</f>
        <v/>
      </c>
      <c r="BU233" s="114" t="str">
        <f>_xlfn.IFNA(VLOOKUP($BD233,Programma!$F$3:$W$1101,18,0),"")</f>
        <v/>
      </c>
      <c r="BV233" s="114" t="str">
        <f>_xlfn.IFNA(VLOOKUP($BD233,Programma!$F$3:$X$1101,19,0),"")</f>
        <v/>
      </c>
      <c r="BW233" s="114" t="str">
        <f>_xlfn.IFNA(VLOOKUP($BD233,Programma!$F$3:$Y$1101,20,0),"")</f>
        <v/>
      </c>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c r="EO233" s="28"/>
      <c r="EP233" s="28"/>
      <c r="EQ233" s="28"/>
      <c r="ER233" s="28"/>
      <c r="ES233" s="28"/>
      <c r="ET233" s="28"/>
      <c r="EU233" s="28"/>
      <c r="EV233" s="28"/>
      <c r="EW233" s="28"/>
      <c r="EX233" s="28"/>
      <c r="EY233" s="28"/>
      <c r="EZ233" s="28"/>
      <c r="FA233" s="28"/>
      <c r="FB233" s="28"/>
      <c r="FC233" s="28"/>
      <c r="FD233" s="28"/>
      <c r="FE233" s="28"/>
      <c r="FF233" s="28"/>
      <c r="FG233" s="28"/>
      <c r="FH233" s="28"/>
      <c r="FI233" s="28"/>
      <c r="FJ233" s="28"/>
      <c r="FK233" s="28"/>
      <c r="FL233" s="28"/>
      <c r="FM233" s="28"/>
      <c r="FN233" s="28"/>
      <c r="FO233" s="28"/>
      <c r="FP233" s="28"/>
      <c r="FQ233" s="28"/>
      <c r="FR233" s="28"/>
      <c r="FS233" s="28"/>
      <c r="FT233" s="28"/>
      <c r="FU233" s="28"/>
      <c r="FV233" s="28"/>
      <c r="FW233" s="28"/>
      <c r="FX233" s="28"/>
      <c r="FY233" s="28"/>
      <c r="FZ233" s="28"/>
      <c r="GA233" s="28"/>
      <c r="GB233" s="28"/>
      <c r="GC233" s="28"/>
      <c r="GD233" s="28"/>
      <c r="GE233" s="28"/>
      <c r="GF233" s="28"/>
      <c r="GG233" s="28"/>
      <c r="GH233" s="28"/>
      <c r="GI233" s="28"/>
      <c r="GJ233" s="28"/>
      <c r="GK233" s="28"/>
      <c r="GL233" s="28"/>
      <c r="GM233" s="28"/>
      <c r="GN233" s="28"/>
      <c r="GO233" s="28"/>
      <c r="GP233" s="28"/>
      <c r="GQ233" s="28"/>
      <c r="GR233" s="28"/>
      <c r="GS233" s="28"/>
      <c r="GT233" s="28"/>
      <c r="GU233" s="28"/>
      <c r="GV233" s="28"/>
      <c r="GW233" s="28"/>
      <c r="GX233" s="28"/>
      <c r="GY233" s="28"/>
      <c r="GZ233" s="28"/>
      <c r="HA233" s="28"/>
      <c r="HB233" s="28"/>
      <c r="HC233" s="28"/>
      <c r="HD233" s="28"/>
      <c r="HE233" s="28"/>
      <c r="HF233" s="28"/>
      <c r="HG233" s="28"/>
      <c r="HH233" s="28"/>
      <c r="HI233" s="28"/>
      <c r="HJ233" s="28"/>
      <c r="HK233" s="28"/>
      <c r="HL233" s="28"/>
    </row>
    <row r="234" spans="1:220" ht="15" customHeight="1">
      <c r="A234" s="31">
        <v>5</v>
      </c>
      <c r="B234" s="105" t="str">
        <f>VLOOKUP(Ruimtestaat[[#This Row],[Code]],Locaties[[Code]:[Locatie]],2,FALSE)</f>
        <v>IKC Remigius</v>
      </c>
      <c r="C234" s="105" t="str">
        <f>VLOOKUP(Ruimtestaat[[#This Row],[Code]],Locaties[[#All],[Code]:[Adres]],4,FALSE)</f>
        <v>Liemersplein 1</v>
      </c>
      <c r="D234" s="105" t="str">
        <f>VLOOKUP(Ruimtestaat[[#This Row],[Code]],Locaties[[#All],[Code]:[Postcode]],5,FALSE)</f>
        <v xml:space="preserve">6921 HN </v>
      </c>
      <c r="E234" s="105" t="str">
        <f>VLOOKUP(Ruimtestaat[[#This Row],[Code]],Locaties[#All],6,FALSE)</f>
        <v>Duiven</v>
      </c>
      <c r="F234" s="73"/>
      <c r="G234" s="31" t="s">
        <v>1826</v>
      </c>
      <c r="H234" s="31" t="s">
        <v>1837</v>
      </c>
      <c r="I234" s="113" t="s">
        <v>1838</v>
      </c>
      <c r="J234" s="31">
        <v>5</v>
      </c>
      <c r="K234" s="113" t="str">
        <f>VLOOKUP(Ruimtestaat[[#This Row],[Ruimte code]],Ruimtegroepen[[#All],[Code]:[Ruimte omschrijving]],2,FALSE)</f>
        <v>Sanitair</v>
      </c>
      <c r="L234" s="73" t="s">
        <v>101</v>
      </c>
      <c r="M234" s="273" t="s">
        <v>1893</v>
      </c>
      <c r="N234" s="106">
        <v>5.4</v>
      </c>
      <c r="O234" s="112"/>
      <c r="P234" s="73"/>
      <c r="Q234" s="107" t="str">
        <f>VLOOKUP(Ruimtestaat[[#This Row],[Ruimte code]],Ruimtegroepen[],4,FALSE)</f>
        <v>Sa</v>
      </c>
      <c r="R234" s="73">
        <v>40</v>
      </c>
      <c r="S234" s="73" t="s">
        <v>2</v>
      </c>
      <c r="T234" s="73">
        <f>IF(R234&gt;0,IF(RIGHT(Ruimtestaat[[#This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4" s="73">
        <f>IF(T234&gt;0,VLOOKUP($J234,Ruimtegroepen[],3,FALSE)*VLOOKUP($L234,Vloersoorten[],3,FALSE)*VLOOKUP($S234,Frequenties[],3,FALSE)*VLOOKUP($A234,Locaties[],3,FALSE),0)</f>
        <v>0</v>
      </c>
      <c r="V234" s="73">
        <f>Ruimtestaat[[#This Row],[Uitvoeringen werkdagen]]*Ruimtestaat[[#This Row],[Oppervlak (netto)]]</f>
        <v>1080</v>
      </c>
      <c r="W234" s="108">
        <f>IF(U234&gt;0,Ruimtestaat[[#This Row],[Prest. (m2 /jaar) werkdagen]]/Ruimtestaat[[#This Row],[Norm (m2/uur) werkdagen]],0)</f>
        <v>0</v>
      </c>
      <c r="X234" s="109">
        <f>Ruimtestaat[[#This Row],[uren / jaar werkdagen]]*Tariefsopbouw!$E$35</f>
        <v>0</v>
      </c>
      <c r="Y234" s="73"/>
      <c r="Z234" s="73">
        <f>IF(Ruimtestaat[[#This Row],[Frequentie weekend]]&gt;0,VALUE(LEFT(Y234,1))*R234,0)</f>
        <v>0</v>
      </c>
      <c r="AA234" s="72">
        <f>IF($Z234&gt;0,VLOOKUP($J234,Ruimtegroepen[],3,FALSE)*VLOOKUP($L234,Vloersoorten[],3,FALSE)*VLOOKUP($Y234,Frequenties[],3,FALSE)*VLOOKUP(Ruimtestaat[[#This Row],[Code]],Locaties[],3,FALSE),0)</f>
        <v>0</v>
      </c>
      <c r="AB234" s="72">
        <f>Ruimtestaat[[#This Row],[Uitvoeringen weekend]]*Ruimtestaat[[#This Row],[Oppervlak (netto)]]</f>
        <v>0</v>
      </c>
      <c r="AC234" s="72">
        <f>IF(AA234&gt;0,Ruimtestaat[[#This Row],[Prest. (m2 /jaar) weekend]]/Ruimtestaat[[#This Row],[Norm (m2/uur) weekend]],0)</f>
        <v>0</v>
      </c>
      <c r="AD234" s="109">
        <f>Ruimtestaat[[#This Row],[uren / jaar weekend]]*Tariefsopbouw!$D$40</f>
        <v>0</v>
      </c>
      <c r="AE234" s="108">
        <f>Ruimtestaat[[#This Row],[Prest. (m2 /jaar) weekend]]+Ruimtestaat[[#This Row],[Prest. (m2 /jaar) werkdagen]]</f>
        <v>1080</v>
      </c>
      <c r="AF234" s="108">
        <f>Ruimtestaat[[#This Row],[uren / jaar weekend]]+Ruimtestaat[[#This Row],[uren / jaar werkdagen]]</f>
        <v>0</v>
      </c>
      <c r="AG234" s="103">
        <f>Ruimtestaat[[#This Row],[kosten / jaar weekend]]+Ruimtestaat[[#This Row],[kosten / jaar werkdagen]]</f>
        <v>0</v>
      </c>
      <c r="AH234" s="103"/>
      <c r="AI234" s="110" t="str">
        <f>IF(Ruimtestaat[[#This Row],[Frequentie werkdagen]]="","",_xlfn.CONCAT(Ruimtestaat[[#This Row],[Ruimte code]],"-",Ruimtestaat[[#This Row],[Frequentie werkdagen]]," ",Ruimtestaat[[#This Row],[Vloer code]]))</f>
        <v>5-5w S</v>
      </c>
      <c r="AJ234" s="114" t="str">
        <f>_xlfn.IFNA(VLOOKUP($AI234,Programma!$F$3:$G$1101,2,0),"")</f>
        <v>_</v>
      </c>
      <c r="AK234" s="114" t="str">
        <f>_xlfn.IFNA(VLOOKUP($AI234,Programma!$F$3:$H$1101,3,0),"")</f>
        <v>_</v>
      </c>
      <c r="AL234" s="114" t="str">
        <f>_xlfn.IFNA(VLOOKUP($AI234,Programma!$F$3:$I$1101,4,0),"")</f>
        <v>_</v>
      </c>
      <c r="AM234" s="114" t="str">
        <f>_xlfn.IFNA(VLOOKUP($AI234,Programma!$F$3:$J$1101,5,0),"")</f>
        <v>4w</v>
      </c>
      <c r="AN234" s="114" t="str">
        <f>_xlfn.IFNA(VLOOKUP($AI234,Programma!$F$3:$K$1101,6,0),"")</f>
        <v>1w</v>
      </c>
      <c r="AO234" s="114" t="str">
        <f>_xlfn.IFNA(VLOOKUP($AI234,Programma!$F$3:$L$1101,7,0),"")</f>
        <v>_</v>
      </c>
      <c r="AP234" s="114" t="str">
        <f>_xlfn.IFNA(VLOOKUP($AI234,Programma!$F$3:$M$1101,8,0),"")</f>
        <v>_</v>
      </c>
      <c r="AQ234" s="114" t="str">
        <f>_xlfn.IFNA(VLOOKUP($AI234,Programma!$F$3:$N$1101,9,0),"")</f>
        <v>_</v>
      </c>
      <c r="AR234" s="114" t="str">
        <f>_xlfn.IFNA(VLOOKUP($AI234,Programma!$F$3:$O$1101,10,0),"")</f>
        <v>_</v>
      </c>
      <c r="AS234" s="114" t="str">
        <f>_xlfn.IFNA(VLOOKUP($AI234,Programma!$F$3:$P$1101,11,0),"")</f>
        <v>_</v>
      </c>
      <c r="AT234" s="114" t="str">
        <f>_xlfn.IFNA(VLOOKUP($AI234,Programma!$F$3:$Q$1101,12,0),"")</f>
        <v>_</v>
      </c>
      <c r="AU234" s="114" t="str">
        <f>_xlfn.IFNA(VLOOKUP($AI234,Programma!$F$3:$R$1101,13,0),"")</f>
        <v>_</v>
      </c>
      <c r="AV234" s="114" t="str">
        <f>_xlfn.IFNA(VLOOKUP($AI234,Programma!$F$3:$S$1101,14,0),"")</f>
        <v>_</v>
      </c>
      <c r="AW234" s="114" t="str">
        <f>_xlfn.IFNA(VLOOKUP($AI234,Programma!$F$3:$T$1101,15,0),"")</f>
        <v>_</v>
      </c>
      <c r="AX234" s="114" t="str">
        <f>_xlfn.IFNA(VLOOKUP($AI234,Programma!$F$3:$U$1101,16,0),"")</f>
        <v>_</v>
      </c>
      <c r="AY234" s="114" t="str">
        <f>_xlfn.IFNA(VLOOKUP($AI234,Programma!$F$3:$V$1101,17,0),"")</f>
        <v>_</v>
      </c>
      <c r="AZ234" s="114" t="str">
        <f>_xlfn.IFNA(VLOOKUP($AI234,Programma!$F$3:$W$1101,18,0),"")</f>
        <v>4w</v>
      </c>
      <c r="BA234" s="114" t="str">
        <f>_xlfn.IFNA(VLOOKUP($AI234,Programma!$F$3:$X$1101,19,0),"")</f>
        <v>1w</v>
      </c>
      <c r="BB234" s="114" t="str">
        <f>_xlfn.IFNA(VLOOKUP($AI234,Programma!$F$3:$Y$1101,20,0),"")</f>
        <v>_</v>
      </c>
      <c r="BC234" s="111"/>
      <c r="BD234" s="110" t="str">
        <f>IF(Ruimtestaat[[#This Row],[Frequentie weekend]]="","",_xlfn.CONCAT(Ruimtestaat[[#This Row],[Ruimte code]],"-",Ruimtestaat[[#This Row],[Frequentie weekend]]," ",Ruimtestaat[[#This Row],[Vloer code]]))</f>
        <v/>
      </c>
      <c r="BE234" s="114" t="str">
        <f>_xlfn.IFNA(VLOOKUP($BD234,Programma!$F$3:$G$1101,2,0),"")</f>
        <v/>
      </c>
      <c r="BF234" s="114" t="str">
        <f>_xlfn.IFNA(VLOOKUP($BD234,Programma!$F$3:$H$1101,3,0),"")</f>
        <v/>
      </c>
      <c r="BG234" s="114" t="str">
        <f>_xlfn.IFNA(VLOOKUP($BD234,Programma!$F$3:$I$1101,4,0),"")</f>
        <v/>
      </c>
      <c r="BH234" s="114" t="str">
        <f>_xlfn.IFNA(VLOOKUP($BD234,Programma!$F$3:$J$1101,5,0),"")</f>
        <v/>
      </c>
      <c r="BI234" s="114" t="str">
        <f>_xlfn.IFNA(VLOOKUP($BD234,Programma!$F$3:$K$1101,6,0),"")</f>
        <v/>
      </c>
      <c r="BJ234" s="114" t="str">
        <f>_xlfn.IFNA(VLOOKUP($BD234,Programma!$F$3:$L$1101,7,0),"")</f>
        <v/>
      </c>
      <c r="BK234" s="114" t="str">
        <f>_xlfn.IFNA(VLOOKUP($BD234,Programma!$F$3:$M$1101,8,0),"")</f>
        <v/>
      </c>
      <c r="BL234" s="114" t="str">
        <f>_xlfn.IFNA(VLOOKUP($BD234,Programma!$F$3:$N$1101,9,0),"")</f>
        <v/>
      </c>
      <c r="BM234" s="114" t="str">
        <f>_xlfn.IFNA(VLOOKUP($BD234,Programma!$F$3:$O$1101,10,0),"")</f>
        <v/>
      </c>
      <c r="BN234" s="114" t="str">
        <f>_xlfn.IFNA(VLOOKUP($BD234,Programma!$F$3:$P$1101,11,0),"")</f>
        <v/>
      </c>
      <c r="BO234" s="114" t="str">
        <f>_xlfn.IFNA(VLOOKUP($BD234,Programma!$F$3:$Q$1101,12,0),"")</f>
        <v/>
      </c>
      <c r="BP234" s="114" t="str">
        <f>_xlfn.IFNA(VLOOKUP($BD234,Programma!$F$3:$R$1101,13,0),"")</f>
        <v/>
      </c>
      <c r="BQ234" s="114" t="str">
        <f>_xlfn.IFNA(VLOOKUP($BD234,Programma!$F$3:$S$1101,14,0),"")</f>
        <v/>
      </c>
      <c r="BR234" s="114" t="str">
        <f>_xlfn.IFNA(VLOOKUP($BD234,Programma!$F$3:$T$1101,15,0),"")</f>
        <v/>
      </c>
      <c r="BS234" s="114" t="str">
        <f>_xlfn.IFNA(VLOOKUP($BD234,Programma!$F$3:$U$1101,16,0),"")</f>
        <v/>
      </c>
      <c r="BT234" s="114" t="str">
        <f>_xlfn.IFNA(VLOOKUP($BD234,Programma!$F$3:$V$1101,17,0),"")</f>
        <v/>
      </c>
      <c r="BU234" s="114" t="str">
        <f>_xlfn.IFNA(VLOOKUP($BD234,Programma!$F$3:$W$1101,18,0),"")</f>
        <v/>
      </c>
      <c r="BV234" s="114" t="str">
        <f>_xlfn.IFNA(VLOOKUP($BD234,Programma!$F$3:$X$1101,19,0),"")</f>
        <v/>
      </c>
      <c r="BW234" s="114" t="str">
        <f>_xlfn.IFNA(VLOOKUP($BD234,Programma!$F$3:$Y$1101,20,0),"")</f>
        <v/>
      </c>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c r="EA234" s="28"/>
      <c r="EB234" s="28"/>
      <c r="EC234" s="28"/>
      <c r="ED234" s="28"/>
      <c r="EE234" s="28"/>
      <c r="EF234" s="28"/>
      <c r="EG234" s="28"/>
      <c r="EH234" s="28"/>
      <c r="EI234" s="28"/>
      <c r="EJ234" s="28"/>
      <c r="EK234" s="28"/>
      <c r="EL234" s="28"/>
      <c r="EM234" s="28"/>
      <c r="EN234" s="28"/>
      <c r="EO234" s="28"/>
      <c r="EP234" s="28"/>
      <c r="EQ234" s="28"/>
      <c r="ER234" s="28"/>
      <c r="ES234" s="28"/>
      <c r="ET234" s="28"/>
      <c r="EU234" s="28"/>
      <c r="EV234" s="28"/>
      <c r="EW234" s="28"/>
      <c r="EX234" s="28"/>
      <c r="EY234" s="28"/>
      <c r="EZ234" s="28"/>
      <c r="FA234" s="28"/>
      <c r="FB234" s="28"/>
      <c r="FC234" s="28"/>
      <c r="FD234" s="28"/>
      <c r="FE234" s="28"/>
      <c r="FF234" s="28"/>
      <c r="FG234" s="28"/>
      <c r="FH234" s="28"/>
      <c r="FI234" s="28"/>
      <c r="FJ234" s="28"/>
      <c r="FK234" s="28"/>
      <c r="FL234" s="28"/>
      <c r="FM234" s="28"/>
      <c r="FN234" s="28"/>
      <c r="FO234" s="28"/>
      <c r="FP234" s="28"/>
      <c r="FQ234" s="28"/>
      <c r="FR234" s="28"/>
      <c r="FS234" s="28"/>
      <c r="FT234" s="28"/>
      <c r="FU234" s="28"/>
      <c r="FV234" s="28"/>
      <c r="FW234" s="28"/>
      <c r="FX234" s="28"/>
      <c r="FY234" s="28"/>
      <c r="FZ234" s="28"/>
      <c r="GA234" s="28"/>
      <c r="GB234" s="28"/>
      <c r="GC234" s="28"/>
      <c r="GD234" s="28"/>
      <c r="GE234" s="28"/>
      <c r="GF234" s="28"/>
      <c r="GG234" s="28"/>
      <c r="GH234" s="28"/>
      <c r="GI234" s="28"/>
      <c r="GJ234" s="28"/>
      <c r="GK234" s="28"/>
      <c r="GL234" s="28"/>
      <c r="GM234" s="28"/>
      <c r="GN234" s="28"/>
      <c r="GO234" s="28"/>
      <c r="GP234" s="28"/>
      <c r="GQ234" s="28"/>
      <c r="GR234" s="28"/>
      <c r="GS234" s="28"/>
      <c r="GT234" s="28"/>
      <c r="GU234" s="28"/>
      <c r="GV234" s="28"/>
      <c r="GW234" s="28"/>
      <c r="GX234" s="28"/>
      <c r="GY234" s="28"/>
      <c r="GZ234" s="28"/>
      <c r="HA234" s="28"/>
      <c r="HB234" s="28"/>
      <c r="HC234" s="28"/>
      <c r="HD234" s="28"/>
      <c r="HE234" s="28"/>
      <c r="HF234" s="28"/>
      <c r="HG234" s="28"/>
      <c r="HH234" s="28"/>
      <c r="HI234" s="28"/>
      <c r="HJ234" s="28"/>
      <c r="HK234" s="28"/>
      <c r="HL234" s="28"/>
    </row>
    <row r="235" spans="1:220" ht="15" customHeight="1">
      <c r="A235" s="31">
        <v>5</v>
      </c>
      <c r="B235" s="105" t="str">
        <f>VLOOKUP(Ruimtestaat[[#This Row],[Code]],Locaties[[Code]:[Locatie]],2,FALSE)</f>
        <v>IKC Remigius</v>
      </c>
      <c r="C235" s="105" t="str">
        <f>VLOOKUP(Ruimtestaat[[#This Row],[Code]],Locaties[[#All],[Code]:[Adres]],4,FALSE)</f>
        <v>Liemersplein 1</v>
      </c>
      <c r="D235" s="105" t="str">
        <f>VLOOKUP(Ruimtestaat[[#This Row],[Code]],Locaties[[#All],[Code]:[Postcode]],5,FALSE)</f>
        <v xml:space="preserve">6921 HN </v>
      </c>
      <c r="E235" s="105" t="str">
        <f>VLOOKUP(Ruimtestaat[[#This Row],[Code]],Locaties[#All],6,FALSE)</f>
        <v>Duiven</v>
      </c>
      <c r="F235" s="73"/>
      <c r="G235" s="31" t="s">
        <v>1826</v>
      </c>
      <c r="H235" s="31" t="s">
        <v>1839</v>
      </c>
      <c r="I235" s="113" t="s">
        <v>1838</v>
      </c>
      <c r="J235" s="31">
        <v>5</v>
      </c>
      <c r="K235" s="113" t="str">
        <f>VLOOKUP(Ruimtestaat[[#This Row],[Ruimte code]],Ruimtegroepen[[#All],[Code]:[Ruimte omschrijving]],2,FALSE)</f>
        <v>Sanitair</v>
      </c>
      <c r="L235" s="73" t="s">
        <v>101</v>
      </c>
      <c r="M235" s="273" t="s">
        <v>1893</v>
      </c>
      <c r="N235" s="106">
        <v>5.3</v>
      </c>
      <c r="O235" s="112"/>
      <c r="P235" s="112"/>
      <c r="Q235" s="107" t="str">
        <f>VLOOKUP(Ruimtestaat[[#This Row],[Ruimte code]],Ruimtegroepen[],4,FALSE)</f>
        <v>Sa</v>
      </c>
      <c r="R235" s="73">
        <v>40</v>
      </c>
      <c r="S235" s="73" t="s">
        <v>2</v>
      </c>
      <c r="T235" s="73">
        <f>IF(R235&gt;0,IF(RIGHT(Ruimtestaat[[#This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5" s="73">
        <f>IF(T235&gt;0,VLOOKUP($J235,Ruimtegroepen[],3,FALSE)*VLOOKUP($L235,Vloersoorten[],3,FALSE)*VLOOKUP($S235,Frequenties[],3,FALSE)*VLOOKUP($A235,Locaties[],3,FALSE),0)</f>
        <v>0</v>
      </c>
      <c r="V235" s="73">
        <f>Ruimtestaat[[#This Row],[Uitvoeringen werkdagen]]*Ruimtestaat[[#This Row],[Oppervlak (netto)]]</f>
        <v>1060</v>
      </c>
      <c r="W235" s="108">
        <f>IF(U235&gt;0,Ruimtestaat[[#This Row],[Prest. (m2 /jaar) werkdagen]]/Ruimtestaat[[#This Row],[Norm (m2/uur) werkdagen]],0)</f>
        <v>0</v>
      </c>
      <c r="X235" s="109">
        <f>Ruimtestaat[[#This Row],[uren / jaar werkdagen]]*Tariefsopbouw!$E$35</f>
        <v>0</v>
      </c>
      <c r="Y235" s="73"/>
      <c r="Z235" s="73">
        <f>IF(Ruimtestaat[[#This Row],[Frequentie weekend]]&gt;0,VALUE(LEFT(Y235,1))*R235,0)</f>
        <v>0</v>
      </c>
      <c r="AA235" s="72">
        <f>IF($Z235&gt;0,VLOOKUP($J235,Ruimtegroepen[],3,FALSE)*VLOOKUP($L235,Vloersoorten[],3,FALSE)*VLOOKUP($Y235,Frequenties[],3,FALSE)*VLOOKUP(Ruimtestaat[[#This Row],[Code]],Locaties[],3,FALSE),0)</f>
        <v>0</v>
      </c>
      <c r="AB235" s="72">
        <f>Ruimtestaat[[#This Row],[Uitvoeringen weekend]]*Ruimtestaat[[#This Row],[Oppervlak (netto)]]</f>
        <v>0</v>
      </c>
      <c r="AC235" s="72">
        <f>IF(AA235&gt;0,Ruimtestaat[[#This Row],[Prest. (m2 /jaar) weekend]]/Ruimtestaat[[#This Row],[Norm (m2/uur) weekend]],0)</f>
        <v>0</v>
      </c>
      <c r="AD235" s="109">
        <f>Ruimtestaat[[#This Row],[uren / jaar weekend]]*Tariefsopbouw!$D$40</f>
        <v>0</v>
      </c>
      <c r="AE235" s="108">
        <f>Ruimtestaat[[#This Row],[Prest. (m2 /jaar) weekend]]+Ruimtestaat[[#This Row],[Prest. (m2 /jaar) werkdagen]]</f>
        <v>1060</v>
      </c>
      <c r="AF235" s="108">
        <f>Ruimtestaat[[#This Row],[uren / jaar weekend]]+Ruimtestaat[[#This Row],[uren / jaar werkdagen]]</f>
        <v>0</v>
      </c>
      <c r="AG235" s="103">
        <f>Ruimtestaat[[#This Row],[kosten / jaar weekend]]+Ruimtestaat[[#This Row],[kosten / jaar werkdagen]]</f>
        <v>0</v>
      </c>
      <c r="AH235" s="103"/>
      <c r="AI235" s="110" t="str">
        <f>IF(Ruimtestaat[[#This Row],[Frequentie werkdagen]]="","",_xlfn.CONCAT(Ruimtestaat[[#This Row],[Ruimte code]],"-",Ruimtestaat[[#This Row],[Frequentie werkdagen]]," ",Ruimtestaat[[#This Row],[Vloer code]]))</f>
        <v>5-5w S</v>
      </c>
      <c r="AJ235" s="114" t="str">
        <f>_xlfn.IFNA(VLOOKUP($AI235,Programma!$F$3:$G$1101,2,0),"")</f>
        <v>_</v>
      </c>
      <c r="AK235" s="114" t="str">
        <f>_xlfn.IFNA(VLOOKUP($AI235,Programma!$F$3:$H$1101,3,0),"")</f>
        <v>_</v>
      </c>
      <c r="AL235" s="114" t="str">
        <f>_xlfn.IFNA(VLOOKUP($AI235,Programma!$F$3:$I$1101,4,0),"")</f>
        <v>_</v>
      </c>
      <c r="AM235" s="114" t="str">
        <f>_xlfn.IFNA(VLOOKUP($AI235,Programma!$F$3:$J$1101,5,0),"")</f>
        <v>4w</v>
      </c>
      <c r="AN235" s="114" t="str">
        <f>_xlfn.IFNA(VLOOKUP($AI235,Programma!$F$3:$K$1101,6,0),"")</f>
        <v>1w</v>
      </c>
      <c r="AO235" s="114" t="str">
        <f>_xlfn.IFNA(VLOOKUP($AI235,Programma!$F$3:$L$1101,7,0),"")</f>
        <v>_</v>
      </c>
      <c r="AP235" s="114" t="str">
        <f>_xlfn.IFNA(VLOOKUP($AI235,Programma!$F$3:$M$1101,8,0),"")</f>
        <v>_</v>
      </c>
      <c r="AQ235" s="114" t="str">
        <f>_xlfn.IFNA(VLOOKUP($AI235,Programma!$F$3:$N$1101,9,0),"")</f>
        <v>_</v>
      </c>
      <c r="AR235" s="114" t="str">
        <f>_xlfn.IFNA(VLOOKUP($AI235,Programma!$F$3:$O$1101,10,0),"")</f>
        <v>_</v>
      </c>
      <c r="AS235" s="114" t="str">
        <f>_xlfn.IFNA(VLOOKUP($AI235,Programma!$F$3:$P$1101,11,0),"")</f>
        <v>_</v>
      </c>
      <c r="AT235" s="114" t="str">
        <f>_xlfn.IFNA(VLOOKUP($AI235,Programma!$F$3:$Q$1101,12,0),"")</f>
        <v>_</v>
      </c>
      <c r="AU235" s="114" t="str">
        <f>_xlfn.IFNA(VLOOKUP($AI235,Programma!$F$3:$R$1101,13,0),"")</f>
        <v>_</v>
      </c>
      <c r="AV235" s="114" t="str">
        <f>_xlfn.IFNA(VLOOKUP($AI235,Programma!$F$3:$S$1101,14,0),"")</f>
        <v>_</v>
      </c>
      <c r="AW235" s="114" t="str">
        <f>_xlfn.IFNA(VLOOKUP($AI235,Programma!$F$3:$T$1101,15,0),"")</f>
        <v>_</v>
      </c>
      <c r="AX235" s="114" t="str">
        <f>_xlfn.IFNA(VLOOKUP($AI235,Programma!$F$3:$U$1101,16,0),"")</f>
        <v>_</v>
      </c>
      <c r="AY235" s="114" t="str">
        <f>_xlfn.IFNA(VLOOKUP($AI235,Programma!$F$3:$V$1101,17,0),"")</f>
        <v>_</v>
      </c>
      <c r="AZ235" s="114" t="str">
        <f>_xlfn.IFNA(VLOOKUP($AI235,Programma!$F$3:$W$1101,18,0),"")</f>
        <v>4w</v>
      </c>
      <c r="BA235" s="114" t="str">
        <f>_xlfn.IFNA(VLOOKUP($AI235,Programma!$F$3:$X$1101,19,0),"")</f>
        <v>1w</v>
      </c>
      <c r="BB235" s="114" t="str">
        <f>_xlfn.IFNA(VLOOKUP($AI235,Programma!$F$3:$Y$1101,20,0),"")</f>
        <v>_</v>
      </c>
      <c r="BC235" s="111"/>
      <c r="BD235" s="110" t="str">
        <f>IF(Ruimtestaat[[#This Row],[Frequentie weekend]]="","",_xlfn.CONCAT(Ruimtestaat[[#This Row],[Ruimte code]],"-",Ruimtestaat[[#This Row],[Frequentie weekend]]," ",Ruimtestaat[[#This Row],[Vloer code]]))</f>
        <v/>
      </c>
      <c r="BE235" s="114" t="str">
        <f>_xlfn.IFNA(VLOOKUP($BD235,Programma!$F$3:$G$1101,2,0),"")</f>
        <v/>
      </c>
      <c r="BF235" s="114" t="str">
        <f>_xlfn.IFNA(VLOOKUP($BD235,Programma!$F$3:$H$1101,3,0),"")</f>
        <v/>
      </c>
      <c r="BG235" s="114" t="str">
        <f>_xlfn.IFNA(VLOOKUP($BD235,Programma!$F$3:$I$1101,4,0),"")</f>
        <v/>
      </c>
      <c r="BH235" s="114" t="str">
        <f>_xlfn.IFNA(VLOOKUP($BD235,Programma!$F$3:$J$1101,5,0),"")</f>
        <v/>
      </c>
      <c r="BI235" s="114" t="str">
        <f>_xlfn.IFNA(VLOOKUP($BD235,Programma!$F$3:$K$1101,6,0),"")</f>
        <v/>
      </c>
      <c r="BJ235" s="114" t="str">
        <f>_xlfn.IFNA(VLOOKUP($BD235,Programma!$F$3:$L$1101,7,0),"")</f>
        <v/>
      </c>
      <c r="BK235" s="114" t="str">
        <f>_xlfn.IFNA(VLOOKUP($BD235,Programma!$F$3:$M$1101,8,0),"")</f>
        <v/>
      </c>
      <c r="BL235" s="114" t="str">
        <f>_xlfn.IFNA(VLOOKUP($BD235,Programma!$F$3:$N$1101,9,0),"")</f>
        <v/>
      </c>
      <c r="BM235" s="114" t="str">
        <f>_xlfn.IFNA(VLOOKUP($BD235,Programma!$F$3:$O$1101,10,0),"")</f>
        <v/>
      </c>
      <c r="BN235" s="114" t="str">
        <f>_xlfn.IFNA(VLOOKUP($BD235,Programma!$F$3:$P$1101,11,0),"")</f>
        <v/>
      </c>
      <c r="BO235" s="114" t="str">
        <f>_xlfn.IFNA(VLOOKUP($BD235,Programma!$F$3:$Q$1101,12,0),"")</f>
        <v/>
      </c>
      <c r="BP235" s="114" t="str">
        <f>_xlfn.IFNA(VLOOKUP($BD235,Programma!$F$3:$R$1101,13,0),"")</f>
        <v/>
      </c>
      <c r="BQ235" s="114" t="str">
        <f>_xlfn.IFNA(VLOOKUP($BD235,Programma!$F$3:$S$1101,14,0),"")</f>
        <v/>
      </c>
      <c r="BR235" s="114" t="str">
        <f>_xlfn.IFNA(VLOOKUP($BD235,Programma!$F$3:$T$1101,15,0),"")</f>
        <v/>
      </c>
      <c r="BS235" s="114" t="str">
        <f>_xlfn.IFNA(VLOOKUP($BD235,Programma!$F$3:$U$1101,16,0),"")</f>
        <v/>
      </c>
      <c r="BT235" s="114" t="str">
        <f>_xlfn.IFNA(VLOOKUP($BD235,Programma!$F$3:$V$1101,17,0),"")</f>
        <v/>
      </c>
      <c r="BU235" s="114" t="str">
        <f>_xlfn.IFNA(VLOOKUP($BD235,Programma!$F$3:$W$1101,18,0),"")</f>
        <v/>
      </c>
      <c r="BV235" s="114" t="str">
        <f>_xlfn.IFNA(VLOOKUP($BD235,Programma!$F$3:$X$1101,19,0),"")</f>
        <v/>
      </c>
      <c r="BW235" s="114" t="str">
        <f>_xlfn.IFNA(VLOOKUP($BD235,Programma!$F$3:$Y$1101,20,0),"")</f>
        <v/>
      </c>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c r="GV235" s="28"/>
      <c r="GW235" s="28"/>
      <c r="GX235" s="28"/>
      <c r="GY235" s="28"/>
      <c r="GZ235" s="28"/>
      <c r="HA235" s="28"/>
      <c r="HB235" s="28"/>
      <c r="HC235" s="28"/>
      <c r="HD235" s="28"/>
      <c r="HE235" s="28"/>
      <c r="HF235" s="28"/>
      <c r="HG235" s="28"/>
      <c r="HH235" s="28"/>
      <c r="HI235" s="28"/>
      <c r="HJ235" s="28"/>
      <c r="HK235" s="28"/>
      <c r="HL235" s="28"/>
    </row>
    <row r="236" spans="1:220" ht="15" customHeight="1">
      <c r="A236" s="31">
        <v>5</v>
      </c>
      <c r="B236" s="105" t="str">
        <f>VLOOKUP(Ruimtestaat[[#This Row],[Code]],Locaties[[Code]:[Locatie]],2,FALSE)</f>
        <v>IKC Remigius</v>
      </c>
      <c r="C236" s="105" t="str">
        <f>VLOOKUP(Ruimtestaat[[#This Row],[Code]],Locaties[[#All],[Code]:[Adres]],4,FALSE)</f>
        <v>Liemersplein 1</v>
      </c>
      <c r="D236" s="105" t="str">
        <f>VLOOKUP(Ruimtestaat[[#This Row],[Code]],Locaties[[#All],[Code]:[Postcode]],5,FALSE)</f>
        <v xml:space="preserve">6921 HN </v>
      </c>
      <c r="E236" s="105" t="str">
        <f>VLOOKUP(Ruimtestaat[[#This Row],[Code]],Locaties[#All],6,FALSE)</f>
        <v>Duiven</v>
      </c>
      <c r="F236" s="73"/>
      <c r="G236" s="31" t="s">
        <v>1826</v>
      </c>
      <c r="H236" s="31" t="s">
        <v>1840</v>
      </c>
      <c r="I236" s="113" t="s">
        <v>1813</v>
      </c>
      <c r="J236" s="31">
        <v>1</v>
      </c>
      <c r="K236" s="113" t="str">
        <f>VLOOKUP(Ruimtestaat[[#This Row],[Ruimte code]],Ruimtegroepen[[#All],[Code]:[Ruimte omschrijving]],2,FALSE)</f>
        <v>Magazijnen/bergingen</v>
      </c>
      <c r="L236" s="73" t="s">
        <v>102</v>
      </c>
      <c r="M236" s="273" t="s">
        <v>120</v>
      </c>
      <c r="N236" s="106">
        <v>1.2</v>
      </c>
      <c r="O236" s="112"/>
      <c r="P236" s="112"/>
      <c r="Q236" s="107" t="str">
        <f>VLOOKUP(Ruimtestaat[[#This Row],[Ruimte code]],Ruimtegroepen[],4,FALSE)</f>
        <v>Ve</v>
      </c>
      <c r="R236" s="73">
        <v>40</v>
      </c>
      <c r="S236" s="73" t="s">
        <v>16</v>
      </c>
      <c r="T236" s="73">
        <f>IF(R236&gt;0,IF(RIGHT(Ruimtestaat[[#This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6" s="73">
        <f>IF(T236&gt;0,VLOOKUP($J236,Ruimtegroepen[],3,FALSE)*VLOOKUP($L236,Vloersoorten[],3,FALSE)*VLOOKUP($S236,Frequenties[],3,FALSE)*VLOOKUP($A236,Locaties[],3,FALSE),0)</f>
        <v>0</v>
      </c>
      <c r="V236" s="73">
        <f>Ruimtestaat[[#This Row],[Uitvoeringen werkdagen]]*Ruimtestaat[[#This Row],[Oppervlak (netto)]]</f>
        <v>14.399999999999999</v>
      </c>
      <c r="W236" s="108">
        <f>IF(U236&gt;0,Ruimtestaat[[#This Row],[Prest. (m2 /jaar) werkdagen]]/Ruimtestaat[[#This Row],[Norm (m2/uur) werkdagen]],0)</f>
        <v>0</v>
      </c>
      <c r="X236" s="109">
        <f>Ruimtestaat[[#This Row],[uren / jaar werkdagen]]*Tariefsopbouw!$E$35</f>
        <v>0</v>
      </c>
      <c r="Y236" s="73"/>
      <c r="Z236" s="73">
        <f>IF(Ruimtestaat[[#This Row],[Frequentie weekend]]&gt;0,VALUE(LEFT(Y236,1))*R236,0)</f>
        <v>0</v>
      </c>
      <c r="AA236" s="72">
        <f>IF($Z236&gt;0,VLOOKUP($J236,Ruimtegroepen[],3,FALSE)*VLOOKUP($L236,Vloersoorten[],3,FALSE)*VLOOKUP($Y236,Frequenties[],3,FALSE)*VLOOKUP(Ruimtestaat[[#This Row],[Code]],Locaties[],3,FALSE),0)</f>
        <v>0</v>
      </c>
      <c r="AB236" s="72">
        <f>Ruimtestaat[[#This Row],[Uitvoeringen weekend]]*Ruimtestaat[[#This Row],[Oppervlak (netto)]]</f>
        <v>0</v>
      </c>
      <c r="AC236" s="72">
        <f>IF(AA236&gt;0,Ruimtestaat[[#This Row],[Prest. (m2 /jaar) weekend]]/Ruimtestaat[[#This Row],[Norm (m2/uur) weekend]],0)</f>
        <v>0</v>
      </c>
      <c r="AD236" s="109">
        <f>Ruimtestaat[[#This Row],[uren / jaar weekend]]*Tariefsopbouw!$D$40</f>
        <v>0</v>
      </c>
      <c r="AE236" s="108">
        <f>Ruimtestaat[[#This Row],[Prest. (m2 /jaar) weekend]]+Ruimtestaat[[#This Row],[Prest. (m2 /jaar) werkdagen]]</f>
        <v>14.399999999999999</v>
      </c>
      <c r="AF236" s="108">
        <f>Ruimtestaat[[#This Row],[uren / jaar weekend]]+Ruimtestaat[[#This Row],[uren / jaar werkdagen]]</f>
        <v>0</v>
      </c>
      <c r="AG236" s="103">
        <f>Ruimtestaat[[#This Row],[kosten / jaar weekend]]+Ruimtestaat[[#This Row],[kosten / jaar werkdagen]]</f>
        <v>0</v>
      </c>
      <c r="AH236" s="103"/>
      <c r="AI236" s="110" t="str">
        <f>IF(Ruimtestaat[[#This Row],[Frequentie werkdagen]]="","",_xlfn.CONCAT(Ruimtestaat[[#This Row],[Ruimte code]],"-",Ruimtestaat[[#This Row],[Frequentie werkdagen]]," ",Ruimtestaat[[#This Row],[Vloer code]]))</f>
        <v>1-1m P</v>
      </c>
      <c r="AJ236" s="114" t="str">
        <f>_xlfn.IFNA(VLOOKUP($AI236,Programma!$F$3:$G$1101,2,0),"")</f>
        <v>_</v>
      </c>
      <c r="AK236" s="114" t="str">
        <f>_xlfn.IFNA(VLOOKUP($AI236,Programma!$F$3:$H$1101,3,0),"")</f>
        <v>_</v>
      </c>
      <c r="AL236" s="114" t="str">
        <f>_xlfn.IFNA(VLOOKUP($AI236,Programma!$F$3:$I$1101,4,0),"")</f>
        <v>1m</v>
      </c>
      <c r="AM236" s="114" t="str">
        <f>_xlfn.IFNA(VLOOKUP($AI236,Programma!$F$3:$J$1101,5,0),"")</f>
        <v>1m</v>
      </c>
      <c r="AN236" s="114" t="str">
        <f>_xlfn.IFNA(VLOOKUP($AI236,Programma!$F$3:$K$1101,6,0),"")</f>
        <v>1j</v>
      </c>
      <c r="AO236" s="114" t="str">
        <f>_xlfn.IFNA(VLOOKUP($AI236,Programma!$F$3:$L$1101,7,0),"")</f>
        <v>_</v>
      </c>
      <c r="AP236" s="114" t="str">
        <f>_xlfn.IFNA(VLOOKUP($AI236,Programma!$F$3:$M$1101,8,0),"")</f>
        <v>_</v>
      </c>
      <c r="AQ236" s="114" t="str">
        <f>_xlfn.IFNA(VLOOKUP($AI236,Programma!$F$3:$N$1101,9,0),"")</f>
        <v>_</v>
      </c>
      <c r="AR236" s="114" t="str">
        <f>_xlfn.IFNA(VLOOKUP($AI236,Programma!$F$3:$O$1101,10,0),"")</f>
        <v>_</v>
      </c>
      <c r="AS236" s="114" t="str">
        <f>_xlfn.IFNA(VLOOKUP($AI236,Programma!$F$3:$P$1101,11,0),"")</f>
        <v>_</v>
      </c>
      <c r="AT236" s="114" t="str">
        <f>_xlfn.IFNA(VLOOKUP($AI236,Programma!$F$3:$Q$1101,12,0),"")</f>
        <v>_</v>
      </c>
      <c r="AU236" s="114" t="str">
        <f>_xlfn.IFNA(VLOOKUP($AI236,Programma!$F$3:$R$1101,13,0),"")</f>
        <v>_</v>
      </c>
      <c r="AV236" s="114" t="str">
        <f>_xlfn.IFNA(VLOOKUP($AI236,Programma!$F$3:$S$1101,14,0),"")</f>
        <v>1m</v>
      </c>
      <c r="AW236" s="114" t="str">
        <f>_xlfn.IFNA(VLOOKUP($AI236,Programma!$F$3:$T$1101,15,0),"")</f>
        <v>4j</v>
      </c>
      <c r="AX236" s="114" t="str">
        <f>_xlfn.IFNA(VLOOKUP($AI236,Programma!$F$3:$U$1101,16,0),"")</f>
        <v>4j</v>
      </c>
      <c r="AY236" s="114" t="str">
        <f>_xlfn.IFNA(VLOOKUP($AI236,Programma!$F$3:$V$1101,17,0),"")</f>
        <v>_</v>
      </c>
      <c r="AZ236" s="114" t="str">
        <f>_xlfn.IFNA(VLOOKUP($AI236,Programma!$F$3:$W$1101,18,0),"")</f>
        <v>_</v>
      </c>
      <c r="BA236" s="114" t="str">
        <f>_xlfn.IFNA(VLOOKUP($AI236,Programma!$F$3:$X$1101,19,0),"")</f>
        <v>_</v>
      </c>
      <c r="BB236" s="114" t="str">
        <f>_xlfn.IFNA(VLOOKUP($AI236,Programma!$F$3:$Y$1101,20,0),"")</f>
        <v>_</v>
      </c>
      <c r="BC236" s="111"/>
      <c r="BD236" s="110" t="str">
        <f>IF(Ruimtestaat[[#This Row],[Frequentie weekend]]="","",_xlfn.CONCAT(Ruimtestaat[[#This Row],[Ruimte code]],"-",Ruimtestaat[[#This Row],[Frequentie weekend]]," ",Ruimtestaat[[#This Row],[Vloer code]]))</f>
        <v/>
      </c>
      <c r="BE236" s="114" t="str">
        <f>_xlfn.IFNA(VLOOKUP($BD236,Programma!$F$3:$G$1101,2,0),"")</f>
        <v/>
      </c>
      <c r="BF236" s="114" t="str">
        <f>_xlfn.IFNA(VLOOKUP($BD236,Programma!$F$3:$H$1101,3,0),"")</f>
        <v/>
      </c>
      <c r="BG236" s="114" t="str">
        <f>_xlfn.IFNA(VLOOKUP($BD236,Programma!$F$3:$I$1101,4,0),"")</f>
        <v/>
      </c>
      <c r="BH236" s="114" t="str">
        <f>_xlfn.IFNA(VLOOKUP($BD236,Programma!$F$3:$J$1101,5,0),"")</f>
        <v/>
      </c>
      <c r="BI236" s="114" t="str">
        <f>_xlfn.IFNA(VLOOKUP($BD236,Programma!$F$3:$K$1101,6,0),"")</f>
        <v/>
      </c>
      <c r="BJ236" s="114" t="str">
        <f>_xlfn.IFNA(VLOOKUP($BD236,Programma!$F$3:$L$1101,7,0),"")</f>
        <v/>
      </c>
      <c r="BK236" s="114" t="str">
        <f>_xlfn.IFNA(VLOOKUP($BD236,Programma!$F$3:$M$1101,8,0),"")</f>
        <v/>
      </c>
      <c r="BL236" s="114" t="str">
        <f>_xlfn.IFNA(VLOOKUP($BD236,Programma!$F$3:$N$1101,9,0),"")</f>
        <v/>
      </c>
      <c r="BM236" s="114" t="str">
        <f>_xlfn.IFNA(VLOOKUP($BD236,Programma!$F$3:$O$1101,10,0),"")</f>
        <v/>
      </c>
      <c r="BN236" s="114" t="str">
        <f>_xlfn.IFNA(VLOOKUP($BD236,Programma!$F$3:$P$1101,11,0),"")</f>
        <v/>
      </c>
      <c r="BO236" s="114" t="str">
        <f>_xlfn.IFNA(VLOOKUP($BD236,Programma!$F$3:$Q$1101,12,0),"")</f>
        <v/>
      </c>
      <c r="BP236" s="114" t="str">
        <f>_xlfn.IFNA(VLOOKUP($BD236,Programma!$F$3:$R$1101,13,0),"")</f>
        <v/>
      </c>
      <c r="BQ236" s="114" t="str">
        <f>_xlfn.IFNA(VLOOKUP($BD236,Programma!$F$3:$S$1101,14,0),"")</f>
        <v/>
      </c>
      <c r="BR236" s="114" t="str">
        <f>_xlfn.IFNA(VLOOKUP($BD236,Programma!$F$3:$T$1101,15,0),"")</f>
        <v/>
      </c>
      <c r="BS236" s="114" t="str">
        <f>_xlfn.IFNA(VLOOKUP($BD236,Programma!$F$3:$U$1101,16,0),"")</f>
        <v/>
      </c>
      <c r="BT236" s="114" t="str">
        <f>_xlfn.IFNA(VLOOKUP($BD236,Programma!$F$3:$V$1101,17,0),"")</f>
        <v/>
      </c>
      <c r="BU236" s="114" t="str">
        <f>_xlfn.IFNA(VLOOKUP($BD236,Programma!$F$3:$W$1101,18,0),"")</f>
        <v/>
      </c>
      <c r="BV236" s="114" t="str">
        <f>_xlfn.IFNA(VLOOKUP($BD236,Programma!$F$3:$X$1101,19,0),"")</f>
        <v/>
      </c>
      <c r="BW236" s="114" t="str">
        <f>_xlfn.IFNA(VLOOKUP($BD236,Programma!$F$3:$Y$1101,20,0),"")</f>
        <v/>
      </c>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8"/>
      <c r="FJ236" s="28"/>
      <c r="FK236" s="28"/>
      <c r="FL236" s="28"/>
      <c r="FM236" s="28"/>
      <c r="FN236" s="28"/>
      <c r="FO236" s="28"/>
      <c r="FP236" s="28"/>
      <c r="FQ236" s="28"/>
      <c r="FR236" s="28"/>
      <c r="FS236" s="28"/>
      <c r="FT236" s="28"/>
      <c r="FU236" s="28"/>
      <c r="FV236" s="28"/>
      <c r="FW236" s="28"/>
      <c r="FX236" s="28"/>
      <c r="FY236" s="28"/>
      <c r="FZ236" s="28"/>
      <c r="GA236" s="28"/>
      <c r="GB236" s="28"/>
      <c r="GC236" s="28"/>
      <c r="GD236" s="28"/>
      <c r="GE236" s="28"/>
      <c r="GF236" s="28"/>
      <c r="GG236" s="28"/>
      <c r="GH236" s="28"/>
      <c r="GI236" s="28"/>
      <c r="GJ236" s="28"/>
      <c r="GK236" s="28"/>
      <c r="GL236" s="28"/>
      <c r="GM236" s="28"/>
      <c r="GN236" s="28"/>
      <c r="GO236" s="28"/>
      <c r="GP236" s="28"/>
      <c r="GQ236" s="28"/>
      <c r="GR236" s="28"/>
      <c r="GS236" s="28"/>
      <c r="GT236" s="28"/>
      <c r="GU236" s="28"/>
      <c r="GV236" s="28"/>
      <c r="GW236" s="28"/>
      <c r="GX236" s="28"/>
      <c r="GY236" s="28"/>
      <c r="GZ236" s="28"/>
      <c r="HA236" s="28"/>
      <c r="HB236" s="28"/>
      <c r="HC236" s="28"/>
      <c r="HD236" s="28"/>
      <c r="HE236" s="28"/>
      <c r="HF236" s="28"/>
      <c r="HG236" s="28"/>
      <c r="HH236" s="28"/>
      <c r="HI236" s="28"/>
      <c r="HJ236" s="28"/>
      <c r="HK236" s="28"/>
      <c r="HL236" s="28"/>
    </row>
    <row r="237" spans="1:220" ht="15" customHeight="1">
      <c r="A237" s="31">
        <v>5</v>
      </c>
      <c r="B237" s="105" t="str">
        <f>VLOOKUP(Ruimtestaat[[#This Row],[Code]],Locaties[[Code]:[Locatie]],2,FALSE)</f>
        <v>IKC Remigius</v>
      </c>
      <c r="C237" s="105" t="str">
        <f>VLOOKUP(Ruimtestaat[[#This Row],[Code]],Locaties[[#All],[Code]:[Adres]],4,FALSE)</f>
        <v>Liemersplein 1</v>
      </c>
      <c r="D237" s="105" t="str">
        <f>VLOOKUP(Ruimtestaat[[#This Row],[Code]],Locaties[[#All],[Code]:[Postcode]],5,FALSE)</f>
        <v xml:space="preserve">6921 HN </v>
      </c>
      <c r="E237" s="105" t="str">
        <f>VLOOKUP(Ruimtestaat[[#This Row],[Code]],Locaties[#All],6,FALSE)</f>
        <v>Duiven</v>
      </c>
      <c r="F237" s="73"/>
      <c r="G237" s="31" t="s">
        <v>1826</v>
      </c>
      <c r="H237" s="31" t="s">
        <v>1841</v>
      </c>
      <c r="I237" s="113" t="s">
        <v>1813</v>
      </c>
      <c r="J237" s="31">
        <v>1</v>
      </c>
      <c r="K237" s="113" t="str">
        <f>VLOOKUP(Ruimtestaat[[#This Row],[Ruimte code]],Ruimtegroepen[[#All],[Code]:[Ruimte omschrijving]],2,FALSE)</f>
        <v>Magazijnen/bergingen</v>
      </c>
      <c r="L237" s="73" t="s">
        <v>102</v>
      </c>
      <c r="M237" s="273" t="s">
        <v>120</v>
      </c>
      <c r="N237" s="106">
        <v>1.2</v>
      </c>
      <c r="O237" s="112"/>
      <c r="P237" s="73"/>
      <c r="Q237" s="107" t="str">
        <f>VLOOKUP(Ruimtestaat[[#This Row],[Ruimte code]],Ruimtegroepen[],4,FALSE)</f>
        <v>Ve</v>
      </c>
      <c r="R237" s="73">
        <v>40</v>
      </c>
      <c r="S237" s="73" t="s">
        <v>16</v>
      </c>
      <c r="T237" s="73">
        <f>IF(R237&gt;0,IF(RIGHT(Ruimtestaat[[#This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7" s="73">
        <f>IF(T237&gt;0,VLOOKUP($J237,Ruimtegroepen[],3,FALSE)*VLOOKUP($L237,Vloersoorten[],3,FALSE)*VLOOKUP($S237,Frequenties[],3,FALSE)*VLOOKUP($A237,Locaties[],3,FALSE),0)</f>
        <v>0</v>
      </c>
      <c r="V237" s="73">
        <f>Ruimtestaat[[#This Row],[Uitvoeringen werkdagen]]*Ruimtestaat[[#This Row],[Oppervlak (netto)]]</f>
        <v>14.399999999999999</v>
      </c>
      <c r="W237" s="108">
        <f>IF(U237&gt;0,Ruimtestaat[[#This Row],[Prest. (m2 /jaar) werkdagen]]/Ruimtestaat[[#This Row],[Norm (m2/uur) werkdagen]],0)</f>
        <v>0</v>
      </c>
      <c r="X237" s="109">
        <f>Ruimtestaat[[#This Row],[uren / jaar werkdagen]]*Tariefsopbouw!$E$35</f>
        <v>0</v>
      </c>
      <c r="Y237" s="73"/>
      <c r="Z237" s="73">
        <f>IF(Ruimtestaat[[#This Row],[Frequentie weekend]]&gt;0,VALUE(LEFT(Y237,1))*R237,0)</f>
        <v>0</v>
      </c>
      <c r="AA237" s="72">
        <f>IF($Z237&gt;0,VLOOKUP($J237,Ruimtegroepen[],3,FALSE)*VLOOKUP($L237,Vloersoorten[],3,FALSE)*VLOOKUP($Y237,Frequenties[],3,FALSE)*VLOOKUP(Ruimtestaat[[#This Row],[Code]],Locaties[],3,FALSE),0)</f>
        <v>0</v>
      </c>
      <c r="AB237" s="72">
        <f>Ruimtestaat[[#This Row],[Uitvoeringen weekend]]*Ruimtestaat[[#This Row],[Oppervlak (netto)]]</f>
        <v>0</v>
      </c>
      <c r="AC237" s="72">
        <f>IF(AA237&gt;0,Ruimtestaat[[#This Row],[Prest. (m2 /jaar) weekend]]/Ruimtestaat[[#This Row],[Norm (m2/uur) weekend]],0)</f>
        <v>0</v>
      </c>
      <c r="AD237" s="109">
        <f>Ruimtestaat[[#This Row],[uren / jaar weekend]]*Tariefsopbouw!$D$40</f>
        <v>0</v>
      </c>
      <c r="AE237" s="108">
        <f>Ruimtestaat[[#This Row],[Prest. (m2 /jaar) weekend]]+Ruimtestaat[[#This Row],[Prest. (m2 /jaar) werkdagen]]</f>
        <v>14.399999999999999</v>
      </c>
      <c r="AF237" s="108">
        <f>Ruimtestaat[[#This Row],[uren / jaar weekend]]+Ruimtestaat[[#This Row],[uren / jaar werkdagen]]</f>
        <v>0</v>
      </c>
      <c r="AG237" s="103">
        <f>Ruimtestaat[[#This Row],[kosten / jaar weekend]]+Ruimtestaat[[#This Row],[kosten / jaar werkdagen]]</f>
        <v>0</v>
      </c>
      <c r="AH237" s="103"/>
      <c r="AI237" s="110" t="str">
        <f>IF(Ruimtestaat[[#This Row],[Frequentie werkdagen]]="","",_xlfn.CONCAT(Ruimtestaat[[#This Row],[Ruimte code]],"-",Ruimtestaat[[#This Row],[Frequentie werkdagen]]," ",Ruimtestaat[[#This Row],[Vloer code]]))</f>
        <v>1-1m P</v>
      </c>
      <c r="AJ237" s="114" t="str">
        <f>_xlfn.IFNA(VLOOKUP($AI237,Programma!$F$3:$G$1101,2,0),"")</f>
        <v>_</v>
      </c>
      <c r="AK237" s="114" t="str">
        <f>_xlfn.IFNA(VLOOKUP($AI237,Programma!$F$3:$H$1101,3,0),"")</f>
        <v>_</v>
      </c>
      <c r="AL237" s="114" t="str">
        <f>_xlfn.IFNA(VLOOKUP($AI237,Programma!$F$3:$I$1101,4,0),"")</f>
        <v>1m</v>
      </c>
      <c r="AM237" s="114" t="str">
        <f>_xlfn.IFNA(VLOOKUP($AI237,Programma!$F$3:$J$1101,5,0),"")</f>
        <v>1m</v>
      </c>
      <c r="AN237" s="114" t="str">
        <f>_xlfn.IFNA(VLOOKUP($AI237,Programma!$F$3:$K$1101,6,0),"")</f>
        <v>1j</v>
      </c>
      <c r="AO237" s="114" t="str">
        <f>_xlfn.IFNA(VLOOKUP($AI237,Programma!$F$3:$L$1101,7,0),"")</f>
        <v>_</v>
      </c>
      <c r="AP237" s="114" t="str">
        <f>_xlfn.IFNA(VLOOKUP($AI237,Programma!$F$3:$M$1101,8,0),"")</f>
        <v>_</v>
      </c>
      <c r="AQ237" s="114" t="str">
        <f>_xlfn.IFNA(VLOOKUP($AI237,Programma!$F$3:$N$1101,9,0),"")</f>
        <v>_</v>
      </c>
      <c r="AR237" s="114" t="str">
        <f>_xlfn.IFNA(VLOOKUP($AI237,Programma!$F$3:$O$1101,10,0),"")</f>
        <v>_</v>
      </c>
      <c r="AS237" s="114" t="str">
        <f>_xlfn.IFNA(VLOOKUP($AI237,Programma!$F$3:$P$1101,11,0),"")</f>
        <v>_</v>
      </c>
      <c r="AT237" s="114" t="str">
        <f>_xlfn.IFNA(VLOOKUP($AI237,Programma!$F$3:$Q$1101,12,0),"")</f>
        <v>_</v>
      </c>
      <c r="AU237" s="114" t="str">
        <f>_xlfn.IFNA(VLOOKUP($AI237,Programma!$F$3:$R$1101,13,0),"")</f>
        <v>_</v>
      </c>
      <c r="AV237" s="114" t="str">
        <f>_xlfn.IFNA(VLOOKUP($AI237,Programma!$F$3:$S$1101,14,0),"")</f>
        <v>1m</v>
      </c>
      <c r="AW237" s="114" t="str">
        <f>_xlfn.IFNA(VLOOKUP($AI237,Programma!$F$3:$T$1101,15,0),"")</f>
        <v>4j</v>
      </c>
      <c r="AX237" s="114" t="str">
        <f>_xlfn.IFNA(VLOOKUP($AI237,Programma!$F$3:$U$1101,16,0),"")</f>
        <v>4j</v>
      </c>
      <c r="AY237" s="114" t="str">
        <f>_xlfn.IFNA(VLOOKUP($AI237,Programma!$F$3:$V$1101,17,0),"")</f>
        <v>_</v>
      </c>
      <c r="AZ237" s="114" t="str">
        <f>_xlfn.IFNA(VLOOKUP($AI237,Programma!$F$3:$W$1101,18,0),"")</f>
        <v>_</v>
      </c>
      <c r="BA237" s="114" t="str">
        <f>_xlfn.IFNA(VLOOKUP($AI237,Programma!$F$3:$X$1101,19,0),"")</f>
        <v>_</v>
      </c>
      <c r="BB237" s="114" t="str">
        <f>_xlfn.IFNA(VLOOKUP($AI237,Programma!$F$3:$Y$1101,20,0),"")</f>
        <v>_</v>
      </c>
      <c r="BC237" s="111"/>
      <c r="BD237" s="110" t="str">
        <f>IF(Ruimtestaat[[#This Row],[Frequentie weekend]]="","",_xlfn.CONCAT(Ruimtestaat[[#This Row],[Ruimte code]],"-",Ruimtestaat[[#This Row],[Frequentie weekend]]," ",Ruimtestaat[[#This Row],[Vloer code]]))</f>
        <v/>
      </c>
      <c r="BE237" s="114" t="str">
        <f>_xlfn.IFNA(VLOOKUP($BD237,Programma!$F$3:$G$1101,2,0),"")</f>
        <v/>
      </c>
      <c r="BF237" s="114" t="str">
        <f>_xlfn.IFNA(VLOOKUP($BD237,Programma!$F$3:$H$1101,3,0),"")</f>
        <v/>
      </c>
      <c r="BG237" s="114" t="str">
        <f>_xlfn.IFNA(VLOOKUP($BD237,Programma!$F$3:$I$1101,4,0),"")</f>
        <v/>
      </c>
      <c r="BH237" s="114" t="str">
        <f>_xlfn.IFNA(VLOOKUP($BD237,Programma!$F$3:$J$1101,5,0),"")</f>
        <v/>
      </c>
      <c r="BI237" s="114" t="str">
        <f>_xlfn.IFNA(VLOOKUP($BD237,Programma!$F$3:$K$1101,6,0),"")</f>
        <v/>
      </c>
      <c r="BJ237" s="114" t="str">
        <f>_xlfn.IFNA(VLOOKUP($BD237,Programma!$F$3:$L$1101,7,0),"")</f>
        <v/>
      </c>
      <c r="BK237" s="114" t="str">
        <f>_xlfn.IFNA(VLOOKUP($BD237,Programma!$F$3:$M$1101,8,0),"")</f>
        <v/>
      </c>
      <c r="BL237" s="114" t="str">
        <f>_xlfn.IFNA(VLOOKUP($BD237,Programma!$F$3:$N$1101,9,0),"")</f>
        <v/>
      </c>
      <c r="BM237" s="114" t="str">
        <f>_xlfn.IFNA(VLOOKUP($BD237,Programma!$F$3:$O$1101,10,0),"")</f>
        <v/>
      </c>
      <c r="BN237" s="114" t="str">
        <f>_xlfn.IFNA(VLOOKUP($BD237,Programma!$F$3:$P$1101,11,0),"")</f>
        <v/>
      </c>
      <c r="BO237" s="114" t="str">
        <f>_xlfn.IFNA(VLOOKUP($BD237,Programma!$F$3:$Q$1101,12,0),"")</f>
        <v/>
      </c>
      <c r="BP237" s="114" t="str">
        <f>_xlfn.IFNA(VLOOKUP($BD237,Programma!$F$3:$R$1101,13,0),"")</f>
        <v/>
      </c>
      <c r="BQ237" s="114" t="str">
        <f>_xlfn.IFNA(VLOOKUP($BD237,Programma!$F$3:$S$1101,14,0),"")</f>
        <v/>
      </c>
      <c r="BR237" s="114" t="str">
        <f>_xlfn.IFNA(VLOOKUP($BD237,Programma!$F$3:$T$1101,15,0),"")</f>
        <v/>
      </c>
      <c r="BS237" s="114" t="str">
        <f>_xlfn.IFNA(VLOOKUP($BD237,Programma!$F$3:$U$1101,16,0),"")</f>
        <v/>
      </c>
      <c r="BT237" s="114" t="str">
        <f>_xlfn.IFNA(VLOOKUP($BD237,Programma!$F$3:$V$1101,17,0),"")</f>
        <v/>
      </c>
      <c r="BU237" s="114" t="str">
        <f>_xlfn.IFNA(VLOOKUP($BD237,Programma!$F$3:$W$1101,18,0),"")</f>
        <v/>
      </c>
      <c r="BV237" s="114" t="str">
        <f>_xlfn.IFNA(VLOOKUP($BD237,Programma!$F$3:$X$1101,19,0),"")</f>
        <v/>
      </c>
      <c r="BW237" s="114" t="str">
        <f>_xlfn.IFNA(VLOOKUP($BD237,Programma!$F$3:$Y$1101,20,0),"")</f>
        <v/>
      </c>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c r="EV237" s="28"/>
      <c r="EW237" s="28"/>
      <c r="EX237" s="28"/>
      <c r="EY237" s="28"/>
      <c r="EZ237" s="28"/>
      <c r="FA237" s="28"/>
      <c r="FB237" s="28"/>
      <c r="FC237" s="28"/>
      <c r="FD237" s="28"/>
      <c r="FE237" s="28"/>
      <c r="FF237" s="28"/>
      <c r="FG237" s="28"/>
      <c r="FH237" s="28"/>
      <c r="FI237" s="28"/>
      <c r="FJ237" s="28"/>
      <c r="FK237" s="28"/>
      <c r="FL237" s="28"/>
      <c r="FM237" s="28"/>
      <c r="FN237" s="28"/>
      <c r="FO237" s="28"/>
      <c r="FP237" s="28"/>
      <c r="FQ237" s="28"/>
      <c r="FR237" s="28"/>
      <c r="FS237" s="28"/>
      <c r="FT237" s="28"/>
      <c r="FU237" s="28"/>
      <c r="FV237" s="28"/>
      <c r="FW237" s="28"/>
      <c r="FX237" s="28"/>
      <c r="FY237" s="28"/>
      <c r="FZ237" s="28"/>
      <c r="GA237" s="28"/>
      <c r="GB237" s="28"/>
      <c r="GC237" s="28"/>
      <c r="GD237" s="28"/>
      <c r="GE237" s="28"/>
      <c r="GF237" s="28"/>
      <c r="GG237" s="28"/>
      <c r="GH237" s="28"/>
      <c r="GI237" s="28"/>
      <c r="GJ237" s="28"/>
      <c r="GK237" s="28"/>
      <c r="GL237" s="28"/>
      <c r="GM237" s="28"/>
      <c r="GN237" s="28"/>
      <c r="GO237" s="28"/>
      <c r="GP237" s="28"/>
      <c r="GQ237" s="28"/>
      <c r="GR237" s="28"/>
      <c r="GS237" s="28"/>
      <c r="GT237" s="28"/>
      <c r="GU237" s="28"/>
      <c r="GV237" s="28"/>
      <c r="GW237" s="28"/>
      <c r="GX237" s="28"/>
      <c r="GY237" s="28"/>
      <c r="GZ237" s="28"/>
      <c r="HA237" s="28"/>
      <c r="HB237" s="28"/>
      <c r="HC237" s="28"/>
      <c r="HD237" s="28"/>
      <c r="HE237" s="28"/>
      <c r="HF237" s="28"/>
      <c r="HG237" s="28"/>
      <c r="HH237" s="28"/>
      <c r="HI237" s="28"/>
      <c r="HJ237" s="28"/>
      <c r="HK237" s="28"/>
      <c r="HL237" s="28"/>
    </row>
    <row r="238" spans="1:220" ht="15" customHeight="1">
      <c r="A238" s="31">
        <v>5</v>
      </c>
      <c r="B238" s="105" t="str">
        <f>VLOOKUP(Ruimtestaat[[#This Row],[Code]],Locaties[[Code]:[Locatie]],2,FALSE)</f>
        <v>IKC Remigius</v>
      </c>
      <c r="C238" s="105" t="str">
        <f>VLOOKUP(Ruimtestaat[[#This Row],[Code]],Locaties[[#All],[Code]:[Adres]],4,FALSE)</f>
        <v>Liemersplein 1</v>
      </c>
      <c r="D238" s="105" t="str">
        <f>VLOOKUP(Ruimtestaat[[#This Row],[Code]],Locaties[[#All],[Code]:[Postcode]],5,FALSE)</f>
        <v xml:space="preserve">6921 HN </v>
      </c>
      <c r="E238" s="105" t="str">
        <f>VLOOKUP(Ruimtestaat[[#This Row],[Code]],Locaties[#All],6,FALSE)</f>
        <v>Duiven</v>
      </c>
      <c r="F238" s="73"/>
      <c r="G238" s="31" t="s">
        <v>1826</v>
      </c>
      <c r="H238" s="31" t="s">
        <v>1842</v>
      </c>
      <c r="I238" s="113" t="s">
        <v>1844</v>
      </c>
      <c r="J238" s="31">
        <v>16</v>
      </c>
      <c r="K238" s="113" t="str">
        <f>VLOOKUP(Ruimtestaat[[#This Row],[Ruimte code]],Ruimtegroepen[[#All],[Code]:[Ruimte omschrijving]],2,FALSE)</f>
        <v>Leslokalen</v>
      </c>
      <c r="L238" s="73" t="s">
        <v>102</v>
      </c>
      <c r="M238" s="273" t="s">
        <v>120</v>
      </c>
      <c r="N238" s="106">
        <v>45.9</v>
      </c>
      <c r="O238" s="112"/>
      <c r="P238" s="112"/>
      <c r="Q238" s="107" t="str">
        <f>VLOOKUP(Ruimtestaat[[#This Row],[Ruimte code]],Ruimtegroepen[],4,FALSE)</f>
        <v>Le</v>
      </c>
      <c r="R238" s="73">
        <v>40</v>
      </c>
      <c r="S238" s="73" t="s">
        <v>2</v>
      </c>
      <c r="T238" s="73">
        <f>IF(R238&gt;0,IF(RIGHT(Ruimtestaat[[#This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8" s="73">
        <f>IF(T238&gt;0,VLOOKUP($J238,Ruimtegroepen[],3,FALSE)*VLOOKUP($L238,Vloersoorten[],3,FALSE)*VLOOKUP($S238,Frequenties[],3,FALSE)*VLOOKUP($A238,Locaties[],3,FALSE),0)</f>
        <v>0</v>
      </c>
      <c r="V238" s="73">
        <f>Ruimtestaat[[#This Row],[Uitvoeringen werkdagen]]*Ruimtestaat[[#This Row],[Oppervlak (netto)]]</f>
        <v>9180</v>
      </c>
      <c r="W238" s="108">
        <f>IF(U238&gt;0,Ruimtestaat[[#This Row],[Prest. (m2 /jaar) werkdagen]]/Ruimtestaat[[#This Row],[Norm (m2/uur) werkdagen]],0)</f>
        <v>0</v>
      </c>
      <c r="X238" s="109">
        <f>Ruimtestaat[[#This Row],[uren / jaar werkdagen]]*Tariefsopbouw!$E$35</f>
        <v>0</v>
      </c>
      <c r="Y238" s="73"/>
      <c r="Z238" s="73">
        <f>IF(Ruimtestaat[[#This Row],[Frequentie weekend]]&gt;0,VALUE(LEFT(Y238,1))*R238,0)</f>
        <v>0</v>
      </c>
      <c r="AA238" s="72">
        <f>IF($Z238&gt;0,VLOOKUP($J238,Ruimtegroepen[],3,FALSE)*VLOOKUP($L238,Vloersoorten[],3,FALSE)*VLOOKUP($Y238,Frequenties[],3,FALSE)*VLOOKUP(Ruimtestaat[[#This Row],[Code]],Locaties[],3,FALSE),0)</f>
        <v>0</v>
      </c>
      <c r="AB238" s="72">
        <f>Ruimtestaat[[#This Row],[Uitvoeringen weekend]]*Ruimtestaat[[#This Row],[Oppervlak (netto)]]</f>
        <v>0</v>
      </c>
      <c r="AC238" s="72">
        <f>IF(AA238&gt;0,Ruimtestaat[[#This Row],[Prest. (m2 /jaar) weekend]]/Ruimtestaat[[#This Row],[Norm (m2/uur) weekend]],0)</f>
        <v>0</v>
      </c>
      <c r="AD238" s="109">
        <f>Ruimtestaat[[#This Row],[uren / jaar weekend]]*Tariefsopbouw!$D$40</f>
        <v>0</v>
      </c>
      <c r="AE238" s="108">
        <f>Ruimtestaat[[#This Row],[Prest. (m2 /jaar) weekend]]+Ruimtestaat[[#This Row],[Prest. (m2 /jaar) werkdagen]]</f>
        <v>9180</v>
      </c>
      <c r="AF238" s="108">
        <f>Ruimtestaat[[#This Row],[uren / jaar weekend]]+Ruimtestaat[[#This Row],[uren / jaar werkdagen]]</f>
        <v>0</v>
      </c>
      <c r="AG238" s="103">
        <f>Ruimtestaat[[#This Row],[kosten / jaar weekend]]+Ruimtestaat[[#This Row],[kosten / jaar werkdagen]]</f>
        <v>0</v>
      </c>
      <c r="AH238" s="103"/>
      <c r="AI238" s="110" t="str">
        <f>IF(Ruimtestaat[[#This Row],[Frequentie werkdagen]]="","",_xlfn.CONCAT(Ruimtestaat[[#This Row],[Ruimte code]],"-",Ruimtestaat[[#This Row],[Frequentie werkdagen]]," ",Ruimtestaat[[#This Row],[Vloer code]]))</f>
        <v>16-5w P</v>
      </c>
      <c r="AJ238" s="114" t="str">
        <f>_xlfn.IFNA(VLOOKUP($AI238,Programma!$F$3:$G$1101,2,0),"")</f>
        <v>_</v>
      </c>
      <c r="AK238" s="114" t="str">
        <f>_xlfn.IFNA(VLOOKUP($AI238,Programma!$F$3:$H$1101,3,0),"")</f>
        <v>_</v>
      </c>
      <c r="AL238" s="114" t="str">
        <f>_xlfn.IFNA(VLOOKUP($AI238,Programma!$F$3:$I$1101,4,0),"")</f>
        <v>4w</v>
      </c>
      <c r="AM238" s="114" t="str">
        <f>_xlfn.IFNA(VLOOKUP($AI238,Programma!$F$3:$J$1101,5,0),"")</f>
        <v>1w</v>
      </c>
      <c r="AN238" s="114" t="str">
        <f>_xlfn.IFNA(VLOOKUP($AI238,Programma!$F$3:$K$1101,6,0),"")</f>
        <v>1m</v>
      </c>
      <c r="AO238" s="114" t="str">
        <f>_xlfn.IFNA(VLOOKUP($AI238,Programma!$F$3:$L$1101,7,0),"")</f>
        <v>_</v>
      </c>
      <c r="AP238" s="114" t="str">
        <f>_xlfn.IFNA(VLOOKUP($AI238,Programma!$F$3:$M$1101,8,0),"")</f>
        <v>_</v>
      </c>
      <c r="AQ238" s="114" t="str">
        <f>_xlfn.IFNA(VLOOKUP($AI238,Programma!$F$3:$N$1101,9,0),"")</f>
        <v>_</v>
      </c>
      <c r="AR238" s="114" t="str">
        <f>_xlfn.IFNA(VLOOKUP($AI238,Programma!$F$3:$O$1101,10,0),"")</f>
        <v>5w</v>
      </c>
      <c r="AS238" s="114" t="str">
        <f>_xlfn.IFNA(VLOOKUP($AI238,Programma!$F$3:$P$1101,11,0),"")</f>
        <v>5w</v>
      </c>
      <c r="AT238" s="114" t="str">
        <f>_xlfn.IFNA(VLOOKUP($AI238,Programma!$F$3:$Q$1101,12,0),"")</f>
        <v>1w</v>
      </c>
      <c r="AU238" s="114" t="str">
        <f>_xlfn.IFNA(VLOOKUP($AI238,Programma!$F$3:$R$1101,13,0),"")</f>
        <v>1w</v>
      </c>
      <c r="AV238" s="114" t="str">
        <f>_xlfn.IFNA(VLOOKUP($AI238,Programma!$F$3:$S$1101,14,0),"")</f>
        <v>1m</v>
      </c>
      <c r="AW238" s="114" t="str">
        <f>_xlfn.IFNA(VLOOKUP($AI238,Programma!$F$3:$T$1101,15,0),"")</f>
        <v>2j</v>
      </c>
      <c r="AX238" s="114" t="str">
        <f>_xlfn.IFNA(VLOOKUP($AI238,Programma!$F$3:$U$1101,16,0),"")</f>
        <v>1j</v>
      </c>
      <c r="AY238" s="114" t="str">
        <f>_xlfn.IFNA(VLOOKUP($AI238,Programma!$F$3:$V$1101,17,0),"")</f>
        <v>_</v>
      </c>
      <c r="AZ238" s="114" t="str">
        <f>_xlfn.IFNA(VLOOKUP($AI238,Programma!$F$3:$W$1101,18,0),"")</f>
        <v>_</v>
      </c>
      <c r="BA238" s="114" t="str">
        <f>_xlfn.IFNA(VLOOKUP($AI238,Programma!$F$3:$X$1101,19,0),"")</f>
        <v>_</v>
      </c>
      <c r="BB238" s="114" t="str">
        <f>_xlfn.IFNA(VLOOKUP($AI238,Programma!$F$3:$Y$1101,20,0),"")</f>
        <v>_</v>
      </c>
      <c r="BC238" s="111"/>
      <c r="BD238" s="110" t="str">
        <f>IF(Ruimtestaat[[#This Row],[Frequentie weekend]]="","",_xlfn.CONCAT(Ruimtestaat[[#This Row],[Ruimte code]],"-",Ruimtestaat[[#This Row],[Frequentie weekend]]," ",Ruimtestaat[[#This Row],[Vloer code]]))</f>
        <v/>
      </c>
      <c r="BE238" s="114" t="str">
        <f>_xlfn.IFNA(VLOOKUP($BD238,Programma!$F$3:$G$1101,2,0),"")</f>
        <v/>
      </c>
      <c r="BF238" s="114" t="str">
        <f>_xlfn.IFNA(VLOOKUP($BD238,Programma!$F$3:$H$1101,3,0),"")</f>
        <v/>
      </c>
      <c r="BG238" s="114" t="str">
        <f>_xlfn.IFNA(VLOOKUP($BD238,Programma!$F$3:$I$1101,4,0),"")</f>
        <v/>
      </c>
      <c r="BH238" s="114" t="str">
        <f>_xlfn.IFNA(VLOOKUP($BD238,Programma!$F$3:$J$1101,5,0),"")</f>
        <v/>
      </c>
      <c r="BI238" s="114" t="str">
        <f>_xlfn.IFNA(VLOOKUP($BD238,Programma!$F$3:$K$1101,6,0),"")</f>
        <v/>
      </c>
      <c r="BJ238" s="114" t="str">
        <f>_xlfn.IFNA(VLOOKUP($BD238,Programma!$F$3:$L$1101,7,0),"")</f>
        <v/>
      </c>
      <c r="BK238" s="114" t="str">
        <f>_xlfn.IFNA(VLOOKUP($BD238,Programma!$F$3:$M$1101,8,0),"")</f>
        <v/>
      </c>
      <c r="BL238" s="114" t="str">
        <f>_xlfn.IFNA(VLOOKUP($BD238,Programma!$F$3:$N$1101,9,0),"")</f>
        <v/>
      </c>
      <c r="BM238" s="114" t="str">
        <f>_xlfn.IFNA(VLOOKUP($BD238,Programma!$F$3:$O$1101,10,0),"")</f>
        <v/>
      </c>
      <c r="BN238" s="114" t="str">
        <f>_xlfn.IFNA(VLOOKUP($BD238,Programma!$F$3:$P$1101,11,0),"")</f>
        <v/>
      </c>
      <c r="BO238" s="114" t="str">
        <f>_xlfn.IFNA(VLOOKUP($BD238,Programma!$F$3:$Q$1101,12,0),"")</f>
        <v/>
      </c>
      <c r="BP238" s="114" t="str">
        <f>_xlfn.IFNA(VLOOKUP($BD238,Programma!$F$3:$R$1101,13,0),"")</f>
        <v/>
      </c>
      <c r="BQ238" s="114" t="str">
        <f>_xlfn.IFNA(VLOOKUP($BD238,Programma!$F$3:$S$1101,14,0),"")</f>
        <v/>
      </c>
      <c r="BR238" s="114" t="str">
        <f>_xlfn.IFNA(VLOOKUP($BD238,Programma!$F$3:$T$1101,15,0),"")</f>
        <v/>
      </c>
      <c r="BS238" s="114" t="str">
        <f>_xlfn.IFNA(VLOOKUP($BD238,Programma!$F$3:$U$1101,16,0),"")</f>
        <v/>
      </c>
      <c r="BT238" s="114" t="str">
        <f>_xlfn.IFNA(VLOOKUP($BD238,Programma!$F$3:$V$1101,17,0),"")</f>
        <v/>
      </c>
      <c r="BU238" s="114" t="str">
        <f>_xlfn.IFNA(VLOOKUP($BD238,Programma!$F$3:$W$1101,18,0),"")</f>
        <v/>
      </c>
      <c r="BV238" s="114" t="str">
        <f>_xlfn.IFNA(VLOOKUP($BD238,Programma!$F$3:$X$1101,19,0),"")</f>
        <v/>
      </c>
      <c r="BW238" s="114" t="str">
        <f>_xlfn.IFNA(VLOOKUP($BD238,Programma!$F$3:$Y$1101,20,0),"")</f>
        <v/>
      </c>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c r="EO238" s="28"/>
      <c r="EP238" s="28"/>
      <c r="EQ238" s="28"/>
      <c r="ER238" s="28"/>
      <c r="ES238" s="28"/>
      <c r="ET238" s="28"/>
      <c r="EU238" s="28"/>
      <c r="EV238" s="28"/>
      <c r="EW238" s="28"/>
      <c r="EX238" s="28"/>
      <c r="EY238" s="28"/>
      <c r="EZ238" s="28"/>
      <c r="FA238" s="28"/>
      <c r="FB238" s="28"/>
      <c r="FC238" s="28"/>
      <c r="FD238" s="28"/>
      <c r="FE238" s="28"/>
      <c r="FF238" s="28"/>
      <c r="FG238" s="28"/>
      <c r="FH238" s="28"/>
      <c r="FI238" s="28"/>
      <c r="FJ238" s="28"/>
      <c r="FK238" s="28"/>
      <c r="FL238" s="28"/>
      <c r="FM238" s="28"/>
      <c r="FN238" s="28"/>
      <c r="FO238" s="28"/>
      <c r="FP238" s="28"/>
      <c r="FQ238" s="28"/>
      <c r="FR238" s="28"/>
      <c r="FS238" s="28"/>
      <c r="FT238" s="28"/>
      <c r="FU238" s="28"/>
      <c r="FV238" s="28"/>
      <c r="FW238" s="28"/>
      <c r="FX238" s="28"/>
      <c r="FY238" s="28"/>
      <c r="FZ238" s="28"/>
      <c r="GA238" s="28"/>
      <c r="GB238" s="28"/>
      <c r="GC238" s="28"/>
      <c r="GD238" s="28"/>
      <c r="GE238" s="28"/>
      <c r="GF238" s="28"/>
      <c r="GG238" s="28"/>
      <c r="GH238" s="28"/>
      <c r="GI238" s="28"/>
      <c r="GJ238" s="28"/>
      <c r="GK238" s="28"/>
      <c r="GL238" s="28"/>
      <c r="GM238" s="28"/>
      <c r="GN238" s="28"/>
      <c r="GO238" s="28"/>
      <c r="GP238" s="28"/>
      <c r="GQ238" s="28"/>
      <c r="GR238" s="28"/>
      <c r="GS238" s="28"/>
      <c r="GT238" s="28"/>
      <c r="GU238" s="28"/>
      <c r="GV238" s="28"/>
      <c r="GW238" s="28"/>
      <c r="GX238" s="28"/>
      <c r="GY238" s="28"/>
      <c r="GZ238" s="28"/>
      <c r="HA238" s="28"/>
      <c r="HB238" s="28"/>
      <c r="HC238" s="28"/>
      <c r="HD238" s="28"/>
      <c r="HE238" s="28"/>
      <c r="HF238" s="28"/>
      <c r="HG238" s="28"/>
      <c r="HH238" s="28"/>
      <c r="HI238" s="28"/>
      <c r="HJ238" s="28"/>
      <c r="HK238" s="28"/>
      <c r="HL238" s="28"/>
    </row>
    <row r="239" spans="1:220" ht="15" customHeight="1">
      <c r="A239" s="31">
        <v>5</v>
      </c>
      <c r="B239" s="105" t="str">
        <f>VLOOKUP(Ruimtestaat[[#This Row],[Code]],Locaties[[Code]:[Locatie]],2,FALSE)</f>
        <v>IKC Remigius</v>
      </c>
      <c r="C239" s="105" t="str">
        <f>VLOOKUP(Ruimtestaat[[#This Row],[Code]],Locaties[[#All],[Code]:[Adres]],4,FALSE)</f>
        <v>Liemersplein 1</v>
      </c>
      <c r="D239" s="105" t="str">
        <f>VLOOKUP(Ruimtestaat[[#This Row],[Code]],Locaties[[#All],[Code]:[Postcode]],5,FALSE)</f>
        <v xml:space="preserve">6921 HN </v>
      </c>
      <c r="E239" s="105" t="str">
        <f>VLOOKUP(Ruimtestaat[[#This Row],[Code]],Locaties[#All],6,FALSE)</f>
        <v>Duiven</v>
      </c>
      <c r="F239" s="73"/>
      <c r="G239" s="31" t="s">
        <v>1826</v>
      </c>
      <c r="H239" s="31" t="s">
        <v>1843</v>
      </c>
      <c r="I239" s="113" t="s">
        <v>1844</v>
      </c>
      <c r="J239" s="31">
        <v>16</v>
      </c>
      <c r="K239" s="113" t="str">
        <f>VLOOKUP(Ruimtestaat[[#This Row],[Ruimte code]],Ruimtegroepen[[#All],[Code]:[Ruimte omschrijving]],2,FALSE)</f>
        <v>Leslokalen</v>
      </c>
      <c r="L239" s="73" t="s">
        <v>102</v>
      </c>
      <c r="M239" s="273" t="s">
        <v>120</v>
      </c>
      <c r="N239" s="106">
        <v>45.5</v>
      </c>
      <c r="O239" s="112"/>
      <c r="P239" s="112"/>
      <c r="Q239" s="107" t="str">
        <f>VLOOKUP(Ruimtestaat[[#This Row],[Ruimte code]],Ruimtegroepen[],4,FALSE)</f>
        <v>Le</v>
      </c>
      <c r="R239" s="73">
        <v>40</v>
      </c>
      <c r="S239" s="73" t="s">
        <v>2</v>
      </c>
      <c r="T239" s="73">
        <f>IF(R239&gt;0,IF(RIGHT(Ruimtestaat[[#This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9" s="73">
        <f>IF(T239&gt;0,VLOOKUP($J239,Ruimtegroepen[],3,FALSE)*VLOOKUP($L239,Vloersoorten[],3,FALSE)*VLOOKUP($S239,Frequenties[],3,FALSE)*VLOOKUP($A239,Locaties[],3,FALSE),0)</f>
        <v>0</v>
      </c>
      <c r="V239" s="73">
        <f>Ruimtestaat[[#This Row],[Uitvoeringen werkdagen]]*Ruimtestaat[[#This Row],[Oppervlak (netto)]]</f>
        <v>9100</v>
      </c>
      <c r="W239" s="108">
        <f>IF(U239&gt;0,Ruimtestaat[[#This Row],[Prest. (m2 /jaar) werkdagen]]/Ruimtestaat[[#This Row],[Norm (m2/uur) werkdagen]],0)</f>
        <v>0</v>
      </c>
      <c r="X239" s="109">
        <f>Ruimtestaat[[#This Row],[uren / jaar werkdagen]]*Tariefsopbouw!$E$35</f>
        <v>0</v>
      </c>
      <c r="Y239" s="73"/>
      <c r="Z239" s="73">
        <f>IF(Ruimtestaat[[#This Row],[Frequentie weekend]]&gt;0,VALUE(LEFT(Y239,1))*R239,0)</f>
        <v>0</v>
      </c>
      <c r="AA239" s="72">
        <f>IF($Z239&gt;0,VLOOKUP($J239,Ruimtegroepen[],3,FALSE)*VLOOKUP($L239,Vloersoorten[],3,FALSE)*VLOOKUP($Y239,Frequenties[],3,FALSE)*VLOOKUP(Ruimtestaat[[#This Row],[Code]],Locaties[],3,FALSE),0)</f>
        <v>0</v>
      </c>
      <c r="AB239" s="72">
        <f>Ruimtestaat[[#This Row],[Uitvoeringen weekend]]*Ruimtestaat[[#This Row],[Oppervlak (netto)]]</f>
        <v>0</v>
      </c>
      <c r="AC239" s="72">
        <f>IF(AA239&gt;0,Ruimtestaat[[#This Row],[Prest. (m2 /jaar) weekend]]/Ruimtestaat[[#This Row],[Norm (m2/uur) weekend]],0)</f>
        <v>0</v>
      </c>
      <c r="AD239" s="109">
        <f>Ruimtestaat[[#This Row],[uren / jaar weekend]]*Tariefsopbouw!$D$40</f>
        <v>0</v>
      </c>
      <c r="AE239" s="108">
        <f>Ruimtestaat[[#This Row],[Prest. (m2 /jaar) weekend]]+Ruimtestaat[[#This Row],[Prest. (m2 /jaar) werkdagen]]</f>
        <v>9100</v>
      </c>
      <c r="AF239" s="108">
        <f>Ruimtestaat[[#This Row],[uren / jaar weekend]]+Ruimtestaat[[#This Row],[uren / jaar werkdagen]]</f>
        <v>0</v>
      </c>
      <c r="AG239" s="103">
        <f>Ruimtestaat[[#This Row],[kosten / jaar weekend]]+Ruimtestaat[[#This Row],[kosten / jaar werkdagen]]</f>
        <v>0</v>
      </c>
      <c r="AH239" s="103"/>
      <c r="AI239" s="110" t="str">
        <f>IF(Ruimtestaat[[#This Row],[Frequentie werkdagen]]="","",_xlfn.CONCAT(Ruimtestaat[[#This Row],[Ruimte code]],"-",Ruimtestaat[[#This Row],[Frequentie werkdagen]]," ",Ruimtestaat[[#This Row],[Vloer code]]))</f>
        <v>16-5w P</v>
      </c>
      <c r="AJ239" s="114" t="str">
        <f>_xlfn.IFNA(VLOOKUP($AI239,Programma!$F$3:$G$1101,2,0),"")</f>
        <v>_</v>
      </c>
      <c r="AK239" s="114" t="str">
        <f>_xlfn.IFNA(VLOOKUP($AI239,Programma!$F$3:$H$1101,3,0),"")</f>
        <v>_</v>
      </c>
      <c r="AL239" s="114" t="str">
        <f>_xlfn.IFNA(VLOOKUP($AI239,Programma!$F$3:$I$1101,4,0),"")</f>
        <v>4w</v>
      </c>
      <c r="AM239" s="114" t="str">
        <f>_xlfn.IFNA(VLOOKUP($AI239,Programma!$F$3:$J$1101,5,0),"")</f>
        <v>1w</v>
      </c>
      <c r="AN239" s="114" t="str">
        <f>_xlfn.IFNA(VLOOKUP($AI239,Programma!$F$3:$K$1101,6,0),"")</f>
        <v>1m</v>
      </c>
      <c r="AO239" s="114" t="str">
        <f>_xlfn.IFNA(VLOOKUP($AI239,Programma!$F$3:$L$1101,7,0),"")</f>
        <v>_</v>
      </c>
      <c r="AP239" s="114" t="str">
        <f>_xlfn.IFNA(VLOOKUP($AI239,Programma!$F$3:$M$1101,8,0),"")</f>
        <v>_</v>
      </c>
      <c r="AQ239" s="114" t="str">
        <f>_xlfn.IFNA(VLOOKUP($AI239,Programma!$F$3:$N$1101,9,0),"")</f>
        <v>_</v>
      </c>
      <c r="AR239" s="114" t="str">
        <f>_xlfn.IFNA(VLOOKUP($AI239,Programma!$F$3:$O$1101,10,0),"")</f>
        <v>5w</v>
      </c>
      <c r="AS239" s="114" t="str">
        <f>_xlfn.IFNA(VLOOKUP($AI239,Programma!$F$3:$P$1101,11,0),"")</f>
        <v>5w</v>
      </c>
      <c r="AT239" s="114" t="str">
        <f>_xlfn.IFNA(VLOOKUP($AI239,Programma!$F$3:$Q$1101,12,0),"")</f>
        <v>1w</v>
      </c>
      <c r="AU239" s="114" t="str">
        <f>_xlfn.IFNA(VLOOKUP($AI239,Programma!$F$3:$R$1101,13,0),"")</f>
        <v>1w</v>
      </c>
      <c r="AV239" s="114" t="str">
        <f>_xlfn.IFNA(VLOOKUP($AI239,Programma!$F$3:$S$1101,14,0),"")</f>
        <v>1m</v>
      </c>
      <c r="AW239" s="114" t="str">
        <f>_xlfn.IFNA(VLOOKUP($AI239,Programma!$F$3:$T$1101,15,0),"")</f>
        <v>2j</v>
      </c>
      <c r="AX239" s="114" t="str">
        <f>_xlfn.IFNA(VLOOKUP($AI239,Programma!$F$3:$U$1101,16,0),"")</f>
        <v>1j</v>
      </c>
      <c r="AY239" s="114" t="str">
        <f>_xlfn.IFNA(VLOOKUP($AI239,Programma!$F$3:$V$1101,17,0),"")</f>
        <v>_</v>
      </c>
      <c r="AZ239" s="114" t="str">
        <f>_xlfn.IFNA(VLOOKUP($AI239,Programma!$F$3:$W$1101,18,0),"")</f>
        <v>_</v>
      </c>
      <c r="BA239" s="114" t="str">
        <f>_xlfn.IFNA(VLOOKUP($AI239,Programma!$F$3:$X$1101,19,0),"")</f>
        <v>_</v>
      </c>
      <c r="BB239" s="114" t="str">
        <f>_xlfn.IFNA(VLOOKUP($AI239,Programma!$F$3:$Y$1101,20,0),"")</f>
        <v>_</v>
      </c>
      <c r="BC239" s="111"/>
      <c r="BD239" s="110" t="str">
        <f>IF(Ruimtestaat[[#This Row],[Frequentie weekend]]="","",_xlfn.CONCAT(Ruimtestaat[[#This Row],[Ruimte code]],"-",Ruimtestaat[[#This Row],[Frequentie weekend]]," ",Ruimtestaat[[#This Row],[Vloer code]]))</f>
        <v/>
      </c>
      <c r="BE239" s="114" t="str">
        <f>_xlfn.IFNA(VLOOKUP($BD239,Programma!$F$3:$G$1101,2,0),"")</f>
        <v/>
      </c>
      <c r="BF239" s="114" t="str">
        <f>_xlfn.IFNA(VLOOKUP($BD239,Programma!$F$3:$H$1101,3,0),"")</f>
        <v/>
      </c>
      <c r="BG239" s="114" t="str">
        <f>_xlfn.IFNA(VLOOKUP($BD239,Programma!$F$3:$I$1101,4,0),"")</f>
        <v/>
      </c>
      <c r="BH239" s="114" t="str">
        <f>_xlfn.IFNA(VLOOKUP($BD239,Programma!$F$3:$J$1101,5,0),"")</f>
        <v/>
      </c>
      <c r="BI239" s="114" t="str">
        <f>_xlfn.IFNA(VLOOKUP($BD239,Programma!$F$3:$K$1101,6,0),"")</f>
        <v/>
      </c>
      <c r="BJ239" s="114" t="str">
        <f>_xlfn.IFNA(VLOOKUP($BD239,Programma!$F$3:$L$1101,7,0),"")</f>
        <v/>
      </c>
      <c r="BK239" s="114" t="str">
        <f>_xlfn.IFNA(VLOOKUP($BD239,Programma!$F$3:$M$1101,8,0),"")</f>
        <v/>
      </c>
      <c r="BL239" s="114" t="str">
        <f>_xlfn.IFNA(VLOOKUP($BD239,Programma!$F$3:$N$1101,9,0),"")</f>
        <v/>
      </c>
      <c r="BM239" s="114" t="str">
        <f>_xlfn.IFNA(VLOOKUP($BD239,Programma!$F$3:$O$1101,10,0),"")</f>
        <v/>
      </c>
      <c r="BN239" s="114" t="str">
        <f>_xlfn.IFNA(VLOOKUP($BD239,Programma!$F$3:$P$1101,11,0),"")</f>
        <v/>
      </c>
      <c r="BO239" s="114" t="str">
        <f>_xlfn.IFNA(VLOOKUP($BD239,Programma!$F$3:$Q$1101,12,0),"")</f>
        <v/>
      </c>
      <c r="BP239" s="114" t="str">
        <f>_xlfn.IFNA(VLOOKUP($BD239,Programma!$F$3:$R$1101,13,0),"")</f>
        <v/>
      </c>
      <c r="BQ239" s="114" t="str">
        <f>_xlfn.IFNA(VLOOKUP($BD239,Programma!$F$3:$S$1101,14,0),"")</f>
        <v/>
      </c>
      <c r="BR239" s="114" t="str">
        <f>_xlfn.IFNA(VLOOKUP($BD239,Programma!$F$3:$T$1101,15,0),"")</f>
        <v/>
      </c>
      <c r="BS239" s="114" t="str">
        <f>_xlfn.IFNA(VLOOKUP($BD239,Programma!$F$3:$U$1101,16,0),"")</f>
        <v/>
      </c>
      <c r="BT239" s="114" t="str">
        <f>_xlfn.IFNA(VLOOKUP($BD239,Programma!$F$3:$V$1101,17,0),"")</f>
        <v/>
      </c>
      <c r="BU239" s="114" t="str">
        <f>_xlfn.IFNA(VLOOKUP($BD239,Programma!$F$3:$W$1101,18,0),"")</f>
        <v/>
      </c>
      <c r="BV239" s="114" t="str">
        <f>_xlfn.IFNA(VLOOKUP($BD239,Programma!$F$3:$X$1101,19,0),"")</f>
        <v/>
      </c>
      <c r="BW239" s="114" t="str">
        <f>_xlfn.IFNA(VLOOKUP($BD239,Programma!$F$3:$Y$1101,20,0),"")</f>
        <v/>
      </c>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c r="GV239" s="28"/>
      <c r="GW239" s="28"/>
      <c r="GX239" s="28"/>
      <c r="GY239" s="28"/>
      <c r="GZ239" s="28"/>
      <c r="HA239" s="28"/>
      <c r="HB239" s="28"/>
      <c r="HC239" s="28"/>
      <c r="HD239" s="28"/>
      <c r="HE239" s="28"/>
      <c r="HF239" s="28"/>
      <c r="HG239" s="28"/>
      <c r="HH239" s="28"/>
      <c r="HI239" s="28"/>
      <c r="HJ239" s="28"/>
      <c r="HK239" s="28"/>
      <c r="HL239" s="28"/>
    </row>
    <row r="240" spans="1:220" ht="15" customHeight="1">
      <c r="A240" s="31">
        <v>5</v>
      </c>
      <c r="B240" s="105" t="str">
        <f>VLOOKUP(Ruimtestaat[[#This Row],[Code]],Locaties[[Code]:[Locatie]],2,FALSE)</f>
        <v>IKC Remigius</v>
      </c>
      <c r="C240" s="105" t="str">
        <f>VLOOKUP(Ruimtestaat[[#This Row],[Code]],Locaties[[#All],[Code]:[Adres]],4,FALSE)</f>
        <v>Liemersplein 1</v>
      </c>
      <c r="D240" s="105" t="str">
        <f>VLOOKUP(Ruimtestaat[[#This Row],[Code]],Locaties[[#All],[Code]:[Postcode]],5,FALSE)</f>
        <v xml:space="preserve">6921 HN </v>
      </c>
      <c r="E240" s="105" t="str">
        <f>VLOOKUP(Ruimtestaat[[#This Row],[Code]],Locaties[#All],6,FALSE)</f>
        <v>Duiven</v>
      </c>
      <c r="F240" s="73"/>
      <c r="G240" s="31" t="s">
        <v>1826</v>
      </c>
      <c r="H240" s="31" t="s">
        <v>1845</v>
      </c>
      <c r="I240" s="113" t="s">
        <v>1846</v>
      </c>
      <c r="J240" s="31">
        <v>5</v>
      </c>
      <c r="K240" s="113" t="str">
        <f>VLOOKUP(Ruimtestaat[[#This Row],[Ruimte code]],Ruimtegroepen[[#All],[Code]:[Ruimte omschrijving]],2,FALSE)</f>
        <v>Sanitair</v>
      </c>
      <c r="L240" s="73" t="s">
        <v>101</v>
      </c>
      <c r="M240" s="273" t="s">
        <v>1893</v>
      </c>
      <c r="N240" s="106">
        <v>5.7</v>
      </c>
      <c r="O240" s="112"/>
      <c r="P240" s="73"/>
      <c r="Q240" s="107" t="str">
        <f>VLOOKUP(Ruimtestaat[[#This Row],[Ruimte code]],Ruimtegroepen[],4,FALSE)</f>
        <v>Sa</v>
      </c>
      <c r="R240" s="73">
        <v>40</v>
      </c>
      <c r="S240" s="73" t="s">
        <v>2</v>
      </c>
      <c r="T240" s="73">
        <f>IF(R240&gt;0,IF(RIGHT(Ruimtestaat[[#This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0" s="73">
        <f>IF(T240&gt;0,VLOOKUP($J240,Ruimtegroepen[],3,FALSE)*VLOOKUP($L240,Vloersoorten[],3,FALSE)*VLOOKUP($S240,Frequenties[],3,FALSE)*VLOOKUP($A240,Locaties[],3,FALSE),0)</f>
        <v>0</v>
      </c>
      <c r="V240" s="73">
        <f>Ruimtestaat[[#This Row],[Uitvoeringen werkdagen]]*Ruimtestaat[[#This Row],[Oppervlak (netto)]]</f>
        <v>1140</v>
      </c>
      <c r="W240" s="108">
        <f>IF(U240&gt;0,Ruimtestaat[[#This Row],[Prest. (m2 /jaar) werkdagen]]/Ruimtestaat[[#This Row],[Norm (m2/uur) werkdagen]],0)</f>
        <v>0</v>
      </c>
      <c r="X240" s="109">
        <f>Ruimtestaat[[#This Row],[uren / jaar werkdagen]]*Tariefsopbouw!$E$35</f>
        <v>0</v>
      </c>
      <c r="Y240" s="73"/>
      <c r="Z240" s="73">
        <f>IF(Ruimtestaat[[#This Row],[Frequentie weekend]]&gt;0,VALUE(LEFT(Y240,1))*R240,0)</f>
        <v>0</v>
      </c>
      <c r="AA240" s="72">
        <f>IF($Z240&gt;0,VLOOKUP($J240,Ruimtegroepen[],3,FALSE)*VLOOKUP($L240,Vloersoorten[],3,FALSE)*VLOOKUP($Y240,Frequenties[],3,FALSE)*VLOOKUP(Ruimtestaat[[#This Row],[Code]],Locaties[],3,FALSE),0)</f>
        <v>0</v>
      </c>
      <c r="AB240" s="72">
        <f>Ruimtestaat[[#This Row],[Uitvoeringen weekend]]*Ruimtestaat[[#This Row],[Oppervlak (netto)]]</f>
        <v>0</v>
      </c>
      <c r="AC240" s="72">
        <f>IF(AA240&gt;0,Ruimtestaat[[#This Row],[Prest. (m2 /jaar) weekend]]/Ruimtestaat[[#This Row],[Norm (m2/uur) weekend]],0)</f>
        <v>0</v>
      </c>
      <c r="AD240" s="109">
        <f>Ruimtestaat[[#This Row],[uren / jaar weekend]]*Tariefsopbouw!$D$40</f>
        <v>0</v>
      </c>
      <c r="AE240" s="108">
        <f>Ruimtestaat[[#This Row],[Prest. (m2 /jaar) weekend]]+Ruimtestaat[[#This Row],[Prest. (m2 /jaar) werkdagen]]</f>
        <v>1140</v>
      </c>
      <c r="AF240" s="108">
        <f>Ruimtestaat[[#This Row],[uren / jaar weekend]]+Ruimtestaat[[#This Row],[uren / jaar werkdagen]]</f>
        <v>0</v>
      </c>
      <c r="AG240" s="103">
        <f>Ruimtestaat[[#This Row],[kosten / jaar weekend]]+Ruimtestaat[[#This Row],[kosten / jaar werkdagen]]</f>
        <v>0</v>
      </c>
      <c r="AH240" s="103"/>
      <c r="AI240" s="110" t="str">
        <f>IF(Ruimtestaat[[#This Row],[Frequentie werkdagen]]="","",_xlfn.CONCAT(Ruimtestaat[[#This Row],[Ruimte code]],"-",Ruimtestaat[[#This Row],[Frequentie werkdagen]]," ",Ruimtestaat[[#This Row],[Vloer code]]))</f>
        <v>5-5w S</v>
      </c>
      <c r="AJ240" s="114" t="str">
        <f>_xlfn.IFNA(VLOOKUP($AI240,Programma!$F$3:$G$1101,2,0),"")</f>
        <v>_</v>
      </c>
      <c r="AK240" s="114" t="str">
        <f>_xlfn.IFNA(VLOOKUP($AI240,Programma!$F$3:$H$1101,3,0),"")</f>
        <v>_</v>
      </c>
      <c r="AL240" s="114" t="str">
        <f>_xlfn.IFNA(VLOOKUP($AI240,Programma!$F$3:$I$1101,4,0),"")</f>
        <v>_</v>
      </c>
      <c r="AM240" s="114" t="str">
        <f>_xlfn.IFNA(VLOOKUP($AI240,Programma!$F$3:$J$1101,5,0),"")</f>
        <v>4w</v>
      </c>
      <c r="AN240" s="114" t="str">
        <f>_xlfn.IFNA(VLOOKUP($AI240,Programma!$F$3:$K$1101,6,0),"")</f>
        <v>1w</v>
      </c>
      <c r="AO240" s="114" t="str">
        <f>_xlfn.IFNA(VLOOKUP($AI240,Programma!$F$3:$L$1101,7,0),"")</f>
        <v>_</v>
      </c>
      <c r="AP240" s="114" t="str">
        <f>_xlfn.IFNA(VLOOKUP($AI240,Programma!$F$3:$M$1101,8,0),"")</f>
        <v>_</v>
      </c>
      <c r="AQ240" s="114" t="str">
        <f>_xlfn.IFNA(VLOOKUP($AI240,Programma!$F$3:$N$1101,9,0),"")</f>
        <v>_</v>
      </c>
      <c r="AR240" s="114" t="str">
        <f>_xlfn.IFNA(VLOOKUP($AI240,Programma!$F$3:$O$1101,10,0),"")</f>
        <v>_</v>
      </c>
      <c r="AS240" s="114" t="str">
        <f>_xlfn.IFNA(VLOOKUP($AI240,Programma!$F$3:$P$1101,11,0),"")</f>
        <v>_</v>
      </c>
      <c r="AT240" s="114" t="str">
        <f>_xlfn.IFNA(VLOOKUP($AI240,Programma!$F$3:$Q$1101,12,0),"")</f>
        <v>_</v>
      </c>
      <c r="AU240" s="114" t="str">
        <f>_xlfn.IFNA(VLOOKUP($AI240,Programma!$F$3:$R$1101,13,0),"")</f>
        <v>_</v>
      </c>
      <c r="AV240" s="114" t="str">
        <f>_xlfn.IFNA(VLOOKUP($AI240,Programma!$F$3:$S$1101,14,0),"")</f>
        <v>_</v>
      </c>
      <c r="AW240" s="114" t="str">
        <f>_xlfn.IFNA(VLOOKUP($AI240,Programma!$F$3:$T$1101,15,0),"")</f>
        <v>_</v>
      </c>
      <c r="AX240" s="114" t="str">
        <f>_xlfn.IFNA(VLOOKUP($AI240,Programma!$F$3:$U$1101,16,0),"")</f>
        <v>_</v>
      </c>
      <c r="AY240" s="114" t="str">
        <f>_xlfn.IFNA(VLOOKUP($AI240,Programma!$F$3:$V$1101,17,0),"")</f>
        <v>_</v>
      </c>
      <c r="AZ240" s="114" t="str">
        <f>_xlfn.IFNA(VLOOKUP($AI240,Programma!$F$3:$W$1101,18,0),"")</f>
        <v>4w</v>
      </c>
      <c r="BA240" s="114" t="str">
        <f>_xlfn.IFNA(VLOOKUP($AI240,Programma!$F$3:$X$1101,19,0),"")</f>
        <v>1w</v>
      </c>
      <c r="BB240" s="114" t="str">
        <f>_xlfn.IFNA(VLOOKUP($AI240,Programma!$F$3:$Y$1101,20,0),"")</f>
        <v>_</v>
      </c>
      <c r="BC240" s="111"/>
      <c r="BD240" s="110" t="str">
        <f>IF(Ruimtestaat[[#This Row],[Frequentie weekend]]="","",_xlfn.CONCAT(Ruimtestaat[[#This Row],[Ruimte code]],"-",Ruimtestaat[[#This Row],[Frequentie weekend]]," ",Ruimtestaat[[#This Row],[Vloer code]]))</f>
        <v/>
      </c>
      <c r="BE240" s="114" t="str">
        <f>_xlfn.IFNA(VLOOKUP($BD240,Programma!$F$3:$G$1101,2,0),"")</f>
        <v/>
      </c>
      <c r="BF240" s="114" t="str">
        <f>_xlfn.IFNA(VLOOKUP($BD240,Programma!$F$3:$H$1101,3,0),"")</f>
        <v/>
      </c>
      <c r="BG240" s="114" t="str">
        <f>_xlfn.IFNA(VLOOKUP($BD240,Programma!$F$3:$I$1101,4,0),"")</f>
        <v/>
      </c>
      <c r="BH240" s="114" t="str">
        <f>_xlfn.IFNA(VLOOKUP($BD240,Programma!$F$3:$J$1101,5,0),"")</f>
        <v/>
      </c>
      <c r="BI240" s="114" t="str">
        <f>_xlfn.IFNA(VLOOKUP($BD240,Programma!$F$3:$K$1101,6,0),"")</f>
        <v/>
      </c>
      <c r="BJ240" s="114" t="str">
        <f>_xlfn.IFNA(VLOOKUP($BD240,Programma!$F$3:$L$1101,7,0),"")</f>
        <v/>
      </c>
      <c r="BK240" s="114" t="str">
        <f>_xlfn.IFNA(VLOOKUP($BD240,Programma!$F$3:$M$1101,8,0),"")</f>
        <v/>
      </c>
      <c r="BL240" s="114" t="str">
        <f>_xlfn.IFNA(VLOOKUP($BD240,Programma!$F$3:$N$1101,9,0),"")</f>
        <v/>
      </c>
      <c r="BM240" s="114" t="str">
        <f>_xlfn.IFNA(VLOOKUP($BD240,Programma!$F$3:$O$1101,10,0),"")</f>
        <v/>
      </c>
      <c r="BN240" s="114" t="str">
        <f>_xlfn.IFNA(VLOOKUP($BD240,Programma!$F$3:$P$1101,11,0),"")</f>
        <v/>
      </c>
      <c r="BO240" s="114" t="str">
        <f>_xlfn.IFNA(VLOOKUP($BD240,Programma!$F$3:$Q$1101,12,0),"")</f>
        <v/>
      </c>
      <c r="BP240" s="114" t="str">
        <f>_xlfn.IFNA(VLOOKUP($BD240,Programma!$F$3:$R$1101,13,0),"")</f>
        <v/>
      </c>
      <c r="BQ240" s="114" t="str">
        <f>_xlfn.IFNA(VLOOKUP($BD240,Programma!$F$3:$S$1101,14,0),"")</f>
        <v/>
      </c>
      <c r="BR240" s="114" t="str">
        <f>_xlfn.IFNA(VLOOKUP($BD240,Programma!$F$3:$T$1101,15,0),"")</f>
        <v/>
      </c>
      <c r="BS240" s="114" t="str">
        <f>_xlfn.IFNA(VLOOKUP($BD240,Programma!$F$3:$U$1101,16,0),"")</f>
        <v/>
      </c>
      <c r="BT240" s="114" t="str">
        <f>_xlfn.IFNA(VLOOKUP($BD240,Programma!$F$3:$V$1101,17,0),"")</f>
        <v/>
      </c>
      <c r="BU240" s="114" t="str">
        <f>_xlfn.IFNA(VLOOKUP($BD240,Programma!$F$3:$W$1101,18,0),"")</f>
        <v/>
      </c>
      <c r="BV240" s="114" t="str">
        <f>_xlfn.IFNA(VLOOKUP($BD240,Programma!$F$3:$X$1101,19,0),"")</f>
        <v/>
      </c>
      <c r="BW240" s="114" t="str">
        <f>_xlfn.IFNA(VLOOKUP($BD240,Programma!$F$3:$Y$1101,20,0),"")</f>
        <v/>
      </c>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c r="GV240" s="28"/>
      <c r="GW240" s="28"/>
      <c r="GX240" s="28"/>
      <c r="GY240" s="28"/>
      <c r="GZ240" s="28"/>
      <c r="HA240" s="28"/>
      <c r="HB240" s="28"/>
      <c r="HC240" s="28"/>
      <c r="HD240" s="28"/>
      <c r="HE240" s="28"/>
      <c r="HF240" s="28"/>
      <c r="HG240" s="28"/>
      <c r="HH240" s="28"/>
      <c r="HI240" s="28"/>
      <c r="HJ240" s="28"/>
      <c r="HK240" s="28"/>
      <c r="HL240" s="28"/>
    </row>
    <row r="241" spans="1:220" ht="15" customHeight="1">
      <c r="A241" s="31">
        <v>5</v>
      </c>
      <c r="B241" s="105" t="str">
        <f>VLOOKUP(Ruimtestaat[[#This Row],[Code]],Locaties[[Code]:[Locatie]],2,FALSE)</f>
        <v>IKC Remigius</v>
      </c>
      <c r="C241" s="105" t="str">
        <f>VLOOKUP(Ruimtestaat[[#This Row],[Code]],Locaties[[#All],[Code]:[Adres]],4,FALSE)</f>
        <v>Liemersplein 1</v>
      </c>
      <c r="D241" s="105" t="str">
        <f>VLOOKUP(Ruimtestaat[[#This Row],[Code]],Locaties[[#All],[Code]:[Postcode]],5,FALSE)</f>
        <v xml:space="preserve">6921 HN </v>
      </c>
      <c r="E241" s="105" t="str">
        <f>VLOOKUP(Ruimtestaat[[#This Row],[Code]],Locaties[#All],6,FALSE)</f>
        <v>Duiven</v>
      </c>
      <c r="F241" s="73"/>
      <c r="G241" s="31" t="s">
        <v>1826</v>
      </c>
      <c r="H241" s="31" t="s">
        <v>1847</v>
      </c>
      <c r="I241" s="113" t="s">
        <v>1813</v>
      </c>
      <c r="J241" s="31">
        <v>1</v>
      </c>
      <c r="K241" s="113" t="str">
        <f>VLOOKUP(Ruimtestaat[[#This Row],[Ruimte code]],Ruimtegroepen[[#All],[Code]:[Ruimte omschrijving]],2,FALSE)</f>
        <v>Magazijnen/bergingen</v>
      </c>
      <c r="L241" s="73" t="s">
        <v>102</v>
      </c>
      <c r="M241" s="273" t="s">
        <v>120</v>
      </c>
      <c r="N241" s="106">
        <v>0.9</v>
      </c>
      <c r="O241" s="112"/>
      <c r="P241" s="112"/>
      <c r="Q241" s="107" t="str">
        <f>VLOOKUP(Ruimtestaat[[#This Row],[Ruimte code]],Ruimtegroepen[],4,FALSE)</f>
        <v>Ve</v>
      </c>
      <c r="R241" s="73">
        <v>40</v>
      </c>
      <c r="S241" s="73" t="s">
        <v>16</v>
      </c>
      <c r="T241" s="73">
        <f>IF(R241&gt;0,IF(RIGHT(Ruimtestaat[[#This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41" s="73">
        <f>IF(T241&gt;0,VLOOKUP($J241,Ruimtegroepen[],3,FALSE)*VLOOKUP($L241,Vloersoorten[],3,FALSE)*VLOOKUP($S241,Frequenties[],3,FALSE)*VLOOKUP($A241,Locaties[],3,FALSE),0)</f>
        <v>0</v>
      </c>
      <c r="V241" s="73">
        <f>Ruimtestaat[[#This Row],[Uitvoeringen werkdagen]]*Ruimtestaat[[#This Row],[Oppervlak (netto)]]</f>
        <v>10.8</v>
      </c>
      <c r="W241" s="108">
        <f>IF(U241&gt;0,Ruimtestaat[[#This Row],[Prest. (m2 /jaar) werkdagen]]/Ruimtestaat[[#This Row],[Norm (m2/uur) werkdagen]],0)</f>
        <v>0</v>
      </c>
      <c r="X241" s="109">
        <f>Ruimtestaat[[#This Row],[uren / jaar werkdagen]]*Tariefsopbouw!$E$35</f>
        <v>0</v>
      </c>
      <c r="Y241" s="73"/>
      <c r="Z241" s="73">
        <f>IF(Ruimtestaat[[#This Row],[Frequentie weekend]]&gt;0,VALUE(LEFT(Y241,1))*R241,0)</f>
        <v>0</v>
      </c>
      <c r="AA241" s="72">
        <f>IF($Z241&gt;0,VLOOKUP($J241,Ruimtegroepen[],3,FALSE)*VLOOKUP($L241,Vloersoorten[],3,FALSE)*VLOOKUP($Y241,Frequenties[],3,FALSE)*VLOOKUP(Ruimtestaat[[#This Row],[Code]],Locaties[],3,FALSE),0)</f>
        <v>0</v>
      </c>
      <c r="AB241" s="72">
        <f>Ruimtestaat[[#This Row],[Uitvoeringen weekend]]*Ruimtestaat[[#This Row],[Oppervlak (netto)]]</f>
        <v>0</v>
      </c>
      <c r="AC241" s="72">
        <f>IF(AA241&gt;0,Ruimtestaat[[#This Row],[Prest. (m2 /jaar) weekend]]/Ruimtestaat[[#This Row],[Norm (m2/uur) weekend]],0)</f>
        <v>0</v>
      </c>
      <c r="AD241" s="109">
        <f>Ruimtestaat[[#This Row],[uren / jaar weekend]]*Tariefsopbouw!$D$40</f>
        <v>0</v>
      </c>
      <c r="AE241" s="108">
        <f>Ruimtestaat[[#This Row],[Prest. (m2 /jaar) weekend]]+Ruimtestaat[[#This Row],[Prest. (m2 /jaar) werkdagen]]</f>
        <v>10.8</v>
      </c>
      <c r="AF241" s="108">
        <f>Ruimtestaat[[#This Row],[uren / jaar weekend]]+Ruimtestaat[[#This Row],[uren / jaar werkdagen]]</f>
        <v>0</v>
      </c>
      <c r="AG241" s="103">
        <f>Ruimtestaat[[#This Row],[kosten / jaar weekend]]+Ruimtestaat[[#This Row],[kosten / jaar werkdagen]]</f>
        <v>0</v>
      </c>
      <c r="AH241" s="103"/>
      <c r="AI241" s="110" t="str">
        <f>IF(Ruimtestaat[[#This Row],[Frequentie werkdagen]]="","",_xlfn.CONCAT(Ruimtestaat[[#This Row],[Ruimte code]],"-",Ruimtestaat[[#This Row],[Frequentie werkdagen]]," ",Ruimtestaat[[#This Row],[Vloer code]]))</f>
        <v>1-1m P</v>
      </c>
      <c r="AJ241" s="114" t="str">
        <f>_xlfn.IFNA(VLOOKUP($AI241,Programma!$F$3:$G$1101,2,0),"")</f>
        <v>_</v>
      </c>
      <c r="AK241" s="114" t="str">
        <f>_xlfn.IFNA(VLOOKUP($AI241,Programma!$F$3:$H$1101,3,0),"")</f>
        <v>_</v>
      </c>
      <c r="AL241" s="114" t="str">
        <f>_xlfn.IFNA(VLOOKUP($AI241,Programma!$F$3:$I$1101,4,0),"")</f>
        <v>1m</v>
      </c>
      <c r="AM241" s="114" t="str">
        <f>_xlfn.IFNA(VLOOKUP($AI241,Programma!$F$3:$J$1101,5,0),"")</f>
        <v>1m</v>
      </c>
      <c r="AN241" s="114" t="str">
        <f>_xlfn.IFNA(VLOOKUP($AI241,Programma!$F$3:$K$1101,6,0),"")</f>
        <v>1j</v>
      </c>
      <c r="AO241" s="114" t="str">
        <f>_xlfn.IFNA(VLOOKUP($AI241,Programma!$F$3:$L$1101,7,0),"")</f>
        <v>_</v>
      </c>
      <c r="AP241" s="114" t="str">
        <f>_xlfn.IFNA(VLOOKUP($AI241,Programma!$F$3:$M$1101,8,0),"")</f>
        <v>_</v>
      </c>
      <c r="AQ241" s="114" t="str">
        <f>_xlfn.IFNA(VLOOKUP($AI241,Programma!$F$3:$N$1101,9,0),"")</f>
        <v>_</v>
      </c>
      <c r="AR241" s="114" t="str">
        <f>_xlfn.IFNA(VLOOKUP($AI241,Programma!$F$3:$O$1101,10,0),"")</f>
        <v>_</v>
      </c>
      <c r="AS241" s="114" t="str">
        <f>_xlfn.IFNA(VLOOKUP($AI241,Programma!$F$3:$P$1101,11,0),"")</f>
        <v>_</v>
      </c>
      <c r="AT241" s="114" t="str">
        <f>_xlfn.IFNA(VLOOKUP($AI241,Programma!$F$3:$Q$1101,12,0),"")</f>
        <v>_</v>
      </c>
      <c r="AU241" s="114" t="str">
        <f>_xlfn.IFNA(VLOOKUP($AI241,Programma!$F$3:$R$1101,13,0),"")</f>
        <v>_</v>
      </c>
      <c r="AV241" s="114" t="str">
        <f>_xlfn.IFNA(VLOOKUP($AI241,Programma!$F$3:$S$1101,14,0),"")</f>
        <v>1m</v>
      </c>
      <c r="AW241" s="114" t="str">
        <f>_xlfn.IFNA(VLOOKUP($AI241,Programma!$F$3:$T$1101,15,0),"")</f>
        <v>4j</v>
      </c>
      <c r="AX241" s="114" t="str">
        <f>_xlfn.IFNA(VLOOKUP($AI241,Programma!$F$3:$U$1101,16,0),"")</f>
        <v>4j</v>
      </c>
      <c r="AY241" s="114" t="str">
        <f>_xlfn.IFNA(VLOOKUP($AI241,Programma!$F$3:$V$1101,17,0),"")</f>
        <v>_</v>
      </c>
      <c r="AZ241" s="114" t="str">
        <f>_xlfn.IFNA(VLOOKUP($AI241,Programma!$F$3:$W$1101,18,0),"")</f>
        <v>_</v>
      </c>
      <c r="BA241" s="114" t="str">
        <f>_xlfn.IFNA(VLOOKUP($AI241,Programma!$F$3:$X$1101,19,0),"")</f>
        <v>_</v>
      </c>
      <c r="BB241" s="114" t="str">
        <f>_xlfn.IFNA(VLOOKUP($AI241,Programma!$F$3:$Y$1101,20,0),"")</f>
        <v>_</v>
      </c>
      <c r="BC241" s="111"/>
      <c r="BD241" s="110" t="str">
        <f>IF(Ruimtestaat[[#This Row],[Frequentie weekend]]="","",_xlfn.CONCAT(Ruimtestaat[[#This Row],[Ruimte code]],"-",Ruimtestaat[[#This Row],[Frequentie weekend]]," ",Ruimtestaat[[#This Row],[Vloer code]]))</f>
        <v/>
      </c>
      <c r="BE241" s="114" t="str">
        <f>_xlfn.IFNA(VLOOKUP($BD241,Programma!$F$3:$G$1101,2,0),"")</f>
        <v/>
      </c>
      <c r="BF241" s="114" t="str">
        <f>_xlfn.IFNA(VLOOKUP($BD241,Programma!$F$3:$H$1101,3,0),"")</f>
        <v/>
      </c>
      <c r="BG241" s="114" t="str">
        <f>_xlfn.IFNA(VLOOKUP($BD241,Programma!$F$3:$I$1101,4,0),"")</f>
        <v/>
      </c>
      <c r="BH241" s="114" t="str">
        <f>_xlfn.IFNA(VLOOKUP($BD241,Programma!$F$3:$J$1101,5,0),"")</f>
        <v/>
      </c>
      <c r="BI241" s="114" t="str">
        <f>_xlfn.IFNA(VLOOKUP($BD241,Programma!$F$3:$K$1101,6,0),"")</f>
        <v/>
      </c>
      <c r="BJ241" s="114" t="str">
        <f>_xlfn.IFNA(VLOOKUP($BD241,Programma!$F$3:$L$1101,7,0),"")</f>
        <v/>
      </c>
      <c r="BK241" s="114" t="str">
        <f>_xlfn.IFNA(VLOOKUP($BD241,Programma!$F$3:$M$1101,8,0),"")</f>
        <v/>
      </c>
      <c r="BL241" s="114" t="str">
        <f>_xlfn.IFNA(VLOOKUP($BD241,Programma!$F$3:$N$1101,9,0),"")</f>
        <v/>
      </c>
      <c r="BM241" s="114" t="str">
        <f>_xlfn.IFNA(VLOOKUP($BD241,Programma!$F$3:$O$1101,10,0),"")</f>
        <v/>
      </c>
      <c r="BN241" s="114" t="str">
        <f>_xlfn.IFNA(VLOOKUP($BD241,Programma!$F$3:$P$1101,11,0),"")</f>
        <v/>
      </c>
      <c r="BO241" s="114" t="str">
        <f>_xlfn.IFNA(VLOOKUP($BD241,Programma!$F$3:$Q$1101,12,0),"")</f>
        <v/>
      </c>
      <c r="BP241" s="114" t="str">
        <f>_xlfn.IFNA(VLOOKUP($BD241,Programma!$F$3:$R$1101,13,0),"")</f>
        <v/>
      </c>
      <c r="BQ241" s="114" t="str">
        <f>_xlfn.IFNA(VLOOKUP($BD241,Programma!$F$3:$S$1101,14,0),"")</f>
        <v/>
      </c>
      <c r="BR241" s="114" t="str">
        <f>_xlfn.IFNA(VLOOKUP($BD241,Programma!$F$3:$T$1101,15,0),"")</f>
        <v/>
      </c>
      <c r="BS241" s="114" t="str">
        <f>_xlfn.IFNA(VLOOKUP($BD241,Programma!$F$3:$U$1101,16,0),"")</f>
        <v/>
      </c>
      <c r="BT241" s="114" t="str">
        <f>_xlfn.IFNA(VLOOKUP($BD241,Programma!$F$3:$V$1101,17,0),"")</f>
        <v/>
      </c>
      <c r="BU241" s="114" t="str">
        <f>_xlfn.IFNA(VLOOKUP($BD241,Programma!$F$3:$W$1101,18,0),"")</f>
        <v/>
      </c>
      <c r="BV241" s="114" t="str">
        <f>_xlfn.IFNA(VLOOKUP($BD241,Programma!$F$3:$X$1101,19,0),"")</f>
        <v/>
      </c>
      <c r="BW241" s="114" t="str">
        <f>_xlfn.IFNA(VLOOKUP($BD241,Programma!$F$3:$Y$1101,20,0),"")</f>
        <v/>
      </c>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c r="EV241" s="28"/>
      <c r="EW241" s="28"/>
      <c r="EX241" s="28"/>
      <c r="EY241" s="28"/>
      <c r="EZ241" s="28"/>
      <c r="FA241" s="28"/>
      <c r="FB241" s="28"/>
      <c r="FC241" s="28"/>
      <c r="FD241" s="28"/>
      <c r="FE241" s="28"/>
      <c r="FF241" s="28"/>
      <c r="FG241" s="28"/>
      <c r="FH241" s="28"/>
      <c r="FI241" s="28"/>
      <c r="FJ241" s="28"/>
      <c r="FK241" s="28"/>
      <c r="FL241" s="28"/>
      <c r="FM241" s="28"/>
      <c r="FN241" s="28"/>
      <c r="FO241" s="28"/>
      <c r="FP241" s="28"/>
      <c r="FQ241" s="28"/>
      <c r="FR241" s="28"/>
      <c r="FS241" s="28"/>
      <c r="FT241" s="28"/>
      <c r="FU241" s="28"/>
      <c r="FV241" s="28"/>
      <c r="FW241" s="28"/>
      <c r="FX241" s="28"/>
      <c r="FY241" s="28"/>
      <c r="FZ241" s="28"/>
      <c r="GA241" s="28"/>
      <c r="GB241" s="28"/>
      <c r="GC241" s="28"/>
      <c r="GD241" s="28"/>
      <c r="GE241" s="28"/>
      <c r="GF241" s="28"/>
      <c r="GG241" s="28"/>
      <c r="GH241" s="28"/>
      <c r="GI241" s="28"/>
      <c r="GJ241" s="28"/>
      <c r="GK241" s="28"/>
      <c r="GL241" s="28"/>
      <c r="GM241" s="28"/>
      <c r="GN241" s="28"/>
      <c r="GO241" s="28"/>
      <c r="GP241" s="28"/>
      <c r="GQ241" s="28"/>
      <c r="GR241" s="28"/>
      <c r="GS241" s="28"/>
      <c r="GT241" s="28"/>
      <c r="GU241" s="28"/>
      <c r="GV241" s="28"/>
      <c r="GW241" s="28"/>
      <c r="GX241" s="28"/>
      <c r="GY241" s="28"/>
      <c r="GZ241" s="28"/>
      <c r="HA241" s="28"/>
      <c r="HB241" s="28"/>
      <c r="HC241" s="28"/>
      <c r="HD241" s="28"/>
      <c r="HE241" s="28"/>
      <c r="HF241" s="28"/>
      <c r="HG241" s="28"/>
      <c r="HH241" s="28"/>
      <c r="HI241" s="28"/>
      <c r="HJ241" s="28"/>
      <c r="HK241" s="28"/>
      <c r="HL241" s="28"/>
    </row>
    <row r="242" spans="1:220" ht="15" customHeight="1">
      <c r="A242" s="31">
        <v>5</v>
      </c>
      <c r="B242" s="105" t="str">
        <f>VLOOKUP(Ruimtestaat[[#This Row],[Code]],Locaties[[Code]:[Locatie]],2,FALSE)</f>
        <v>IKC Remigius</v>
      </c>
      <c r="C242" s="105" t="str">
        <f>VLOOKUP(Ruimtestaat[[#This Row],[Code]],Locaties[[#All],[Code]:[Adres]],4,FALSE)</f>
        <v>Liemersplein 1</v>
      </c>
      <c r="D242" s="105" t="str">
        <f>VLOOKUP(Ruimtestaat[[#This Row],[Code]],Locaties[[#All],[Code]:[Postcode]],5,FALSE)</f>
        <v xml:space="preserve">6921 HN </v>
      </c>
      <c r="E242" s="105" t="str">
        <f>VLOOKUP(Ruimtestaat[[#This Row],[Code]],Locaties[#All],6,FALSE)</f>
        <v>Duiven</v>
      </c>
      <c r="F242" s="113"/>
      <c r="G242" s="31" t="s">
        <v>1826</v>
      </c>
      <c r="H242" s="31" t="s">
        <v>1848</v>
      </c>
      <c r="I242" s="113" t="s">
        <v>1850</v>
      </c>
      <c r="J242" s="31">
        <v>9</v>
      </c>
      <c r="K242" s="113" t="str">
        <f>VLOOKUP(Ruimtestaat[[#This Row],[Ruimte code]],Ruimtegroepen[[#All],[Code]:[Ruimte omschrijving]],2,FALSE)</f>
        <v>Bibliotheek/OLC</v>
      </c>
      <c r="L242" s="73" t="s">
        <v>102</v>
      </c>
      <c r="M242" s="273" t="s">
        <v>120</v>
      </c>
      <c r="N242" s="106">
        <v>106.9</v>
      </c>
      <c r="O242" s="112"/>
      <c r="P242" s="112"/>
      <c r="Q242" s="107" t="str">
        <f>VLOOKUP(Ruimtestaat[[#This Row],[Ruimte code]],Ruimtegroepen[],4,FALSE)</f>
        <v>Le</v>
      </c>
      <c r="R242" s="73">
        <v>40</v>
      </c>
      <c r="S242" s="73" t="s">
        <v>2</v>
      </c>
      <c r="T242" s="73">
        <f>IF(R242&gt;0,IF(RIGHT(Ruimtestaat[[#This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2" s="73">
        <f>IF(T242&gt;0,VLOOKUP($J242,Ruimtegroepen[],3,FALSE)*VLOOKUP($L242,Vloersoorten[],3,FALSE)*VLOOKUP($S242,Frequenties[],3,FALSE)*VLOOKUP($A242,Locaties[],3,FALSE),0)</f>
        <v>0</v>
      </c>
      <c r="V242" s="73">
        <f>Ruimtestaat[[#This Row],[Uitvoeringen werkdagen]]*Ruimtestaat[[#This Row],[Oppervlak (netto)]]</f>
        <v>21380</v>
      </c>
      <c r="W242" s="108">
        <f>IF(U242&gt;0,Ruimtestaat[[#This Row],[Prest. (m2 /jaar) werkdagen]]/Ruimtestaat[[#This Row],[Norm (m2/uur) werkdagen]],0)</f>
        <v>0</v>
      </c>
      <c r="X242" s="109">
        <f>Ruimtestaat[[#This Row],[uren / jaar werkdagen]]*Tariefsopbouw!$E$35</f>
        <v>0</v>
      </c>
      <c r="Y242" s="73"/>
      <c r="Z242" s="73">
        <f>IF(Ruimtestaat[[#This Row],[Frequentie weekend]]&gt;0,VALUE(LEFT(Y242,1))*R242,0)</f>
        <v>0</v>
      </c>
      <c r="AA242" s="72">
        <f>IF($Z242&gt;0,VLOOKUP($J242,Ruimtegroepen[],3,FALSE)*VLOOKUP($L242,Vloersoorten[],3,FALSE)*VLOOKUP($Y242,Frequenties[],3,FALSE)*VLOOKUP(Ruimtestaat[[#This Row],[Code]],Locaties[],3,FALSE),0)</f>
        <v>0</v>
      </c>
      <c r="AB242" s="72">
        <f>Ruimtestaat[[#This Row],[Uitvoeringen weekend]]*Ruimtestaat[[#This Row],[Oppervlak (netto)]]</f>
        <v>0</v>
      </c>
      <c r="AC242" s="72">
        <f>IF(AA242&gt;0,Ruimtestaat[[#This Row],[Prest. (m2 /jaar) weekend]]/Ruimtestaat[[#This Row],[Norm (m2/uur) weekend]],0)</f>
        <v>0</v>
      </c>
      <c r="AD242" s="109">
        <f>Ruimtestaat[[#This Row],[uren / jaar weekend]]*Tariefsopbouw!$D$40</f>
        <v>0</v>
      </c>
      <c r="AE242" s="108">
        <f>Ruimtestaat[[#This Row],[Prest. (m2 /jaar) weekend]]+Ruimtestaat[[#This Row],[Prest. (m2 /jaar) werkdagen]]</f>
        <v>21380</v>
      </c>
      <c r="AF242" s="108">
        <f>Ruimtestaat[[#This Row],[uren / jaar weekend]]+Ruimtestaat[[#This Row],[uren / jaar werkdagen]]</f>
        <v>0</v>
      </c>
      <c r="AG242" s="103">
        <f>Ruimtestaat[[#This Row],[kosten / jaar weekend]]+Ruimtestaat[[#This Row],[kosten / jaar werkdagen]]</f>
        <v>0</v>
      </c>
      <c r="AH242" s="103"/>
      <c r="AI242" s="110" t="str">
        <f>IF(Ruimtestaat[[#This Row],[Frequentie werkdagen]]="","",_xlfn.CONCAT(Ruimtestaat[[#This Row],[Ruimte code]],"-",Ruimtestaat[[#This Row],[Frequentie werkdagen]]," ",Ruimtestaat[[#This Row],[Vloer code]]))</f>
        <v>9-5w P</v>
      </c>
      <c r="AJ242" s="114" t="str">
        <f>_xlfn.IFNA(VLOOKUP($AI242,Programma!$F$3:$G$1101,2,0),"")</f>
        <v>_</v>
      </c>
      <c r="AK242" s="114" t="str">
        <f>_xlfn.IFNA(VLOOKUP($AI242,Programma!$F$3:$H$1101,3,0),"")</f>
        <v>_</v>
      </c>
      <c r="AL242" s="114" t="str">
        <f>_xlfn.IFNA(VLOOKUP($AI242,Programma!$F$3:$I$1101,4,0),"")</f>
        <v>5w</v>
      </c>
      <c r="AM242" s="114" t="str">
        <f>_xlfn.IFNA(VLOOKUP($AI242,Programma!$F$3:$J$1101,5,0),"")</f>
        <v>_</v>
      </c>
      <c r="AN242" s="114" t="str">
        <f>_xlfn.IFNA(VLOOKUP($AI242,Programma!$F$3:$K$1101,6,0),"")</f>
        <v>4j</v>
      </c>
      <c r="AO242" s="114" t="str">
        <f>_xlfn.IFNA(VLOOKUP($AI242,Programma!$F$3:$L$1101,7,0),"")</f>
        <v>_</v>
      </c>
      <c r="AP242" s="114" t="str">
        <f>_xlfn.IFNA(VLOOKUP($AI242,Programma!$F$3:$M$1101,8,0),"")</f>
        <v>_</v>
      </c>
      <c r="AQ242" s="114" t="str">
        <f>_xlfn.IFNA(VLOOKUP($AI242,Programma!$F$3:$N$1101,9,0),"")</f>
        <v>_</v>
      </c>
      <c r="AR242" s="114" t="str">
        <f>_xlfn.IFNA(VLOOKUP($AI242,Programma!$F$3:$O$1101,10,0),"")</f>
        <v>5w</v>
      </c>
      <c r="AS242" s="114" t="str">
        <f>_xlfn.IFNA(VLOOKUP($AI242,Programma!$F$3:$P$1101,11,0),"")</f>
        <v>5w</v>
      </c>
      <c r="AT242" s="114" t="str">
        <f>_xlfn.IFNA(VLOOKUP($AI242,Programma!$F$3:$Q$1101,12,0),"")</f>
        <v>1w</v>
      </c>
      <c r="AU242" s="114" t="str">
        <f>_xlfn.IFNA(VLOOKUP($AI242,Programma!$F$3:$R$1101,13,0),"")</f>
        <v>1w</v>
      </c>
      <c r="AV242" s="114" t="str">
        <f>_xlfn.IFNA(VLOOKUP($AI242,Programma!$F$3:$S$1101,14,0),"")</f>
        <v>1m</v>
      </c>
      <c r="AW242" s="114" t="str">
        <f>_xlfn.IFNA(VLOOKUP($AI242,Programma!$F$3:$T$1101,15,0),"")</f>
        <v>2j</v>
      </c>
      <c r="AX242" s="114" t="str">
        <f>_xlfn.IFNA(VLOOKUP($AI242,Programma!$F$3:$U$1101,16,0),"")</f>
        <v>1j</v>
      </c>
      <c r="AY242" s="114" t="str">
        <f>_xlfn.IFNA(VLOOKUP($AI242,Programma!$F$3:$V$1101,17,0),"")</f>
        <v>_</v>
      </c>
      <c r="AZ242" s="114" t="str">
        <f>_xlfn.IFNA(VLOOKUP($AI242,Programma!$F$3:$W$1101,18,0),"")</f>
        <v>_</v>
      </c>
      <c r="BA242" s="114" t="str">
        <f>_xlfn.IFNA(VLOOKUP($AI242,Programma!$F$3:$X$1101,19,0),"")</f>
        <v>_</v>
      </c>
      <c r="BB242" s="114" t="str">
        <f>_xlfn.IFNA(VLOOKUP($AI242,Programma!$F$3:$Y$1101,20,0),"")</f>
        <v>_</v>
      </c>
      <c r="BC242" s="111"/>
      <c r="BD242" s="110" t="str">
        <f>IF(Ruimtestaat[[#This Row],[Frequentie weekend]]="","",_xlfn.CONCAT(Ruimtestaat[[#This Row],[Ruimte code]],"-",Ruimtestaat[[#This Row],[Frequentie weekend]]," ",Ruimtestaat[[#This Row],[Vloer code]]))</f>
        <v/>
      </c>
      <c r="BE242" s="114" t="str">
        <f>_xlfn.IFNA(VLOOKUP($BD242,Programma!$F$3:$G$1101,2,0),"")</f>
        <v/>
      </c>
      <c r="BF242" s="114" t="str">
        <f>_xlfn.IFNA(VLOOKUP($BD242,Programma!$F$3:$H$1101,3,0),"")</f>
        <v/>
      </c>
      <c r="BG242" s="114" t="str">
        <f>_xlfn.IFNA(VLOOKUP($BD242,Programma!$F$3:$I$1101,4,0),"")</f>
        <v/>
      </c>
      <c r="BH242" s="114" t="str">
        <f>_xlfn.IFNA(VLOOKUP($BD242,Programma!$F$3:$J$1101,5,0),"")</f>
        <v/>
      </c>
      <c r="BI242" s="114" t="str">
        <f>_xlfn.IFNA(VLOOKUP($BD242,Programma!$F$3:$K$1101,6,0),"")</f>
        <v/>
      </c>
      <c r="BJ242" s="114" t="str">
        <f>_xlfn.IFNA(VLOOKUP($BD242,Programma!$F$3:$L$1101,7,0),"")</f>
        <v/>
      </c>
      <c r="BK242" s="114" t="str">
        <f>_xlfn.IFNA(VLOOKUP($BD242,Programma!$F$3:$M$1101,8,0),"")</f>
        <v/>
      </c>
      <c r="BL242" s="114" t="str">
        <f>_xlfn.IFNA(VLOOKUP($BD242,Programma!$F$3:$N$1101,9,0),"")</f>
        <v/>
      </c>
      <c r="BM242" s="114" t="str">
        <f>_xlfn.IFNA(VLOOKUP($BD242,Programma!$F$3:$O$1101,10,0),"")</f>
        <v/>
      </c>
      <c r="BN242" s="114" t="str">
        <f>_xlfn.IFNA(VLOOKUP($BD242,Programma!$F$3:$P$1101,11,0),"")</f>
        <v/>
      </c>
      <c r="BO242" s="114" t="str">
        <f>_xlfn.IFNA(VLOOKUP($BD242,Programma!$F$3:$Q$1101,12,0),"")</f>
        <v/>
      </c>
      <c r="BP242" s="114" t="str">
        <f>_xlfn.IFNA(VLOOKUP($BD242,Programma!$F$3:$R$1101,13,0),"")</f>
        <v/>
      </c>
      <c r="BQ242" s="114" t="str">
        <f>_xlfn.IFNA(VLOOKUP($BD242,Programma!$F$3:$S$1101,14,0),"")</f>
        <v/>
      </c>
      <c r="BR242" s="114" t="str">
        <f>_xlfn.IFNA(VLOOKUP($BD242,Programma!$F$3:$T$1101,15,0),"")</f>
        <v/>
      </c>
      <c r="BS242" s="114" t="str">
        <f>_xlfn.IFNA(VLOOKUP($BD242,Programma!$F$3:$U$1101,16,0),"")</f>
        <v/>
      </c>
      <c r="BT242" s="114" t="str">
        <f>_xlfn.IFNA(VLOOKUP($BD242,Programma!$F$3:$V$1101,17,0),"")</f>
        <v/>
      </c>
      <c r="BU242" s="114" t="str">
        <f>_xlfn.IFNA(VLOOKUP($BD242,Programma!$F$3:$W$1101,18,0),"")</f>
        <v/>
      </c>
      <c r="BV242" s="114" t="str">
        <f>_xlfn.IFNA(VLOOKUP($BD242,Programma!$F$3:$X$1101,19,0),"")</f>
        <v/>
      </c>
      <c r="BW242" s="114" t="str">
        <f>_xlfn.IFNA(VLOOKUP($BD242,Programma!$F$3:$Y$1101,20,0),"")</f>
        <v/>
      </c>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c r="EO242" s="28"/>
      <c r="EP242" s="28"/>
      <c r="EQ242" s="28"/>
      <c r="ER242" s="28"/>
      <c r="ES242" s="28"/>
      <c r="ET242" s="28"/>
      <c r="EU242" s="28"/>
      <c r="EV242" s="28"/>
      <c r="EW242" s="28"/>
      <c r="EX242" s="28"/>
      <c r="EY242" s="28"/>
      <c r="EZ242" s="28"/>
      <c r="FA242" s="28"/>
      <c r="FB242" s="28"/>
      <c r="FC242" s="28"/>
      <c r="FD242" s="28"/>
      <c r="FE242" s="28"/>
      <c r="FF242" s="28"/>
      <c r="FG242" s="28"/>
      <c r="FH242" s="28"/>
      <c r="FI242" s="28"/>
      <c r="FJ242" s="28"/>
      <c r="FK242" s="28"/>
      <c r="FL242" s="28"/>
      <c r="FM242" s="28"/>
      <c r="FN242" s="28"/>
      <c r="FO242" s="28"/>
      <c r="FP242" s="28"/>
      <c r="FQ242" s="28"/>
      <c r="FR242" s="28"/>
      <c r="FS242" s="28"/>
      <c r="FT242" s="28"/>
      <c r="FU242" s="28"/>
      <c r="FV242" s="28"/>
      <c r="FW242" s="28"/>
      <c r="FX242" s="28"/>
      <c r="FY242" s="28"/>
      <c r="FZ242" s="28"/>
      <c r="GA242" s="28"/>
      <c r="GB242" s="28"/>
      <c r="GC242" s="28"/>
      <c r="GD242" s="28"/>
      <c r="GE242" s="28"/>
      <c r="GF242" s="28"/>
      <c r="GG242" s="28"/>
      <c r="GH242" s="28"/>
      <c r="GI242" s="28"/>
      <c r="GJ242" s="28"/>
      <c r="GK242" s="28"/>
      <c r="GL242" s="28"/>
      <c r="GM242" s="28"/>
      <c r="GN242" s="28"/>
      <c r="GO242" s="28"/>
      <c r="GP242" s="28"/>
      <c r="GQ242" s="28"/>
      <c r="GR242" s="28"/>
      <c r="GS242" s="28"/>
      <c r="GT242" s="28"/>
      <c r="GU242" s="28"/>
      <c r="GV242" s="28"/>
      <c r="GW242" s="28"/>
      <c r="GX242" s="28"/>
      <c r="GY242" s="28"/>
      <c r="GZ242" s="28"/>
      <c r="HA242" s="28"/>
      <c r="HB242" s="28"/>
      <c r="HC242" s="28"/>
      <c r="HD242" s="28"/>
      <c r="HE242" s="28"/>
      <c r="HF242" s="28"/>
      <c r="HG242" s="28"/>
      <c r="HH242" s="28"/>
      <c r="HI242" s="28"/>
      <c r="HJ242" s="28"/>
      <c r="HK242" s="28"/>
      <c r="HL242" s="28"/>
    </row>
    <row r="243" spans="1:220" ht="15" customHeight="1">
      <c r="A243" s="31">
        <v>5</v>
      </c>
      <c r="B243" s="105" t="str">
        <f>VLOOKUP(Ruimtestaat[[#This Row],[Code]],Locaties[[Code]:[Locatie]],2,FALSE)</f>
        <v>IKC Remigius</v>
      </c>
      <c r="C243" s="105" t="str">
        <f>VLOOKUP(Ruimtestaat[[#This Row],[Code]],Locaties[[#All],[Code]:[Adres]],4,FALSE)</f>
        <v>Liemersplein 1</v>
      </c>
      <c r="D243" s="105" t="str">
        <f>VLOOKUP(Ruimtestaat[[#This Row],[Code]],Locaties[[#All],[Code]:[Postcode]],5,FALSE)</f>
        <v xml:space="preserve">6921 HN </v>
      </c>
      <c r="E243" s="105" t="str">
        <f>VLOOKUP(Ruimtestaat[[#This Row],[Code]],Locaties[#All],6,FALSE)</f>
        <v>Duiven</v>
      </c>
      <c r="F243" s="113"/>
      <c r="G243" s="31" t="s">
        <v>1826</v>
      </c>
      <c r="H243" s="31" t="s">
        <v>1849</v>
      </c>
      <c r="I243" s="113" t="s">
        <v>1851</v>
      </c>
      <c r="J243" s="31">
        <v>9</v>
      </c>
      <c r="K243" s="113" t="str">
        <f>VLOOKUP(Ruimtestaat[[#This Row],[Ruimte code]],Ruimtegroepen[[#All],[Code]:[Ruimte omschrijving]],2,FALSE)</f>
        <v>Bibliotheek/OLC</v>
      </c>
      <c r="L243" s="73" t="s">
        <v>102</v>
      </c>
      <c r="M243" s="273" t="s">
        <v>120</v>
      </c>
      <c r="N243" s="106">
        <v>50.9</v>
      </c>
      <c r="O243" s="112"/>
      <c r="P243" s="73"/>
      <c r="Q243" s="107" t="str">
        <f>VLOOKUP(Ruimtestaat[[#This Row],[Ruimte code]],Ruimtegroepen[],4,FALSE)</f>
        <v>Le</v>
      </c>
      <c r="R243" s="73">
        <v>40</v>
      </c>
      <c r="S243" s="73" t="s">
        <v>2</v>
      </c>
      <c r="T243" s="73">
        <f>IF(R243&gt;0,IF(RIGHT(Ruimtestaat[[#This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3" s="73">
        <f>IF(T243&gt;0,VLOOKUP($J243,Ruimtegroepen[],3,FALSE)*VLOOKUP($L243,Vloersoorten[],3,FALSE)*VLOOKUP($S243,Frequenties[],3,FALSE)*VLOOKUP($A243,Locaties[],3,FALSE),0)</f>
        <v>0</v>
      </c>
      <c r="V243" s="73">
        <f>Ruimtestaat[[#This Row],[Uitvoeringen werkdagen]]*Ruimtestaat[[#This Row],[Oppervlak (netto)]]</f>
        <v>10180</v>
      </c>
      <c r="W243" s="108">
        <f>IF(U243&gt;0,Ruimtestaat[[#This Row],[Prest. (m2 /jaar) werkdagen]]/Ruimtestaat[[#This Row],[Norm (m2/uur) werkdagen]],0)</f>
        <v>0</v>
      </c>
      <c r="X243" s="109">
        <f>Ruimtestaat[[#This Row],[uren / jaar werkdagen]]*Tariefsopbouw!$E$35</f>
        <v>0</v>
      </c>
      <c r="Y243" s="73"/>
      <c r="Z243" s="73">
        <f>IF(Ruimtestaat[[#This Row],[Frequentie weekend]]&gt;0,VALUE(LEFT(Y243,1))*R243,0)</f>
        <v>0</v>
      </c>
      <c r="AA243" s="72">
        <f>IF($Z243&gt;0,VLOOKUP($J243,Ruimtegroepen[],3,FALSE)*VLOOKUP($L243,Vloersoorten[],3,FALSE)*VLOOKUP($Y243,Frequenties[],3,FALSE)*VLOOKUP(Ruimtestaat[[#This Row],[Code]],Locaties[],3,FALSE),0)</f>
        <v>0</v>
      </c>
      <c r="AB243" s="72">
        <f>Ruimtestaat[[#This Row],[Uitvoeringen weekend]]*Ruimtestaat[[#This Row],[Oppervlak (netto)]]</f>
        <v>0</v>
      </c>
      <c r="AC243" s="72">
        <f>IF(AA243&gt;0,Ruimtestaat[[#This Row],[Prest. (m2 /jaar) weekend]]/Ruimtestaat[[#This Row],[Norm (m2/uur) weekend]],0)</f>
        <v>0</v>
      </c>
      <c r="AD243" s="109">
        <f>Ruimtestaat[[#This Row],[uren / jaar weekend]]*Tariefsopbouw!$D$40</f>
        <v>0</v>
      </c>
      <c r="AE243" s="108">
        <f>Ruimtestaat[[#This Row],[Prest. (m2 /jaar) weekend]]+Ruimtestaat[[#This Row],[Prest. (m2 /jaar) werkdagen]]</f>
        <v>10180</v>
      </c>
      <c r="AF243" s="108">
        <f>Ruimtestaat[[#This Row],[uren / jaar weekend]]+Ruimtestaat[[#This Row],[uren / jaar werkdagen]]</f>
        <v>0</v>
      </c>
      <c r="AG243" s="103">
        <f>Ruimtestaat[[#This Row],[kosten / jaar weekend]]+Ruimtestaat[[#This Row],[kosten / jaar werkdagen]]</f>
        <v>0</v>
      </c>
      <c r="AH243" s="103"/>
      <c r="AI243" s="110" t="str">
        <f>IF(Ruimtestaat[[#This Row],[Frequentie werkdagen]]="","",_xlfn.CONCAT(Ruimtestaat[[#This Row],[Ruimte code]],"-",Ruimtestaat[[#This Row],[Frequentie werkdagen]]," ",Ruimtestaat[[#This Row],[Vloer code]]))</f>
        <v>9-5w P</v>
      </c>
      <c r="AJ243" s="114" t="str">
        <f>_xlfn.IFNA(VLOOKUP($AI243,Programma!$F$3:$G$1101,2,0),"")</f>
        <v>_</v>
      </c>
      <c r="AK243" s="114" t="str">
        <f>_xlfn.IFNA(VLOOKUP($AI243,Programma!$F$3:$H$1101,3,0),"")</f>
        <v>_</v>
      </c>
      <c r="AL243" s="114" t="str">
        <f>_xlfn.IFNA(VLOOKUP($AI243,Programma!$F$3:$I$1101,4,0),"")</f>
        <v>5w</v>
      </c>
      <c r="AM243" s="114" t="str">
        <f>_xlfn.IFNA(VLOOKUP($AI243,Programma!$F$3:$J$1101,5,0),"")</f>
        <v>_</v>
      </c>
      <c r="AN243" s="114" t="str">
        <f>_xlfn.IFNA(VLOOKUP($AI243,Programma!$F$3:$K$1101,6,0),"")</f>
        <v>4j</v>
      </c>
      <c r="AO243" s="114" t="str">
        <f>_xlfn.IFNA(VLOOKUP($AI243,Programma!$F$3:$L$1101,7,0),"")</f>
        <v>_</v>
      </c>
      <c r="AP243" s="114" t="str">
        <f>_xlfn.IFNA(VLOOKUP($AI243,Programma!$F$3:$M$1101,8,0),"")</f>
        <v>_</v>
      </c>
      <c r="AQ243" s="114" t="str">
        <f>_xlfn.IFNA(VLOOKUP($AI243,Programma!$F$3:$N$1101,9,0),"")</f>
        <v>_</v>
      </c>
      <c r="AR243" s="114" t="str">
        <f>_xlfn.IFNA(VLOOKUP($AI243,Programma!$F$3:$O$1101,10,0),"")</f>
        <v>5w</v>
      </c>
      <c r="AS243" s="114" t="str">
        <f>_xlfn.IFNA(VLOOKUP($AI243,Programma!$F$3:$P$1101,11,0),"")</f>
        <v>5w</v>
      </c>
      <c r="AT243" s="114" t="str">
        <f>_xlfn.IFNA(VLOOKUP($AI243,Programma!$F$3:$Q$1101,12,0),"")</f>
        <v>1w</v>
      </c>
      <c r="AU243" s="114" t="str">
        <f>_xlfn.IFNA(VLOOKUP($AI243,Programma!$F$3:$R$1101,13,0),"")</f>
        <v>1w</v>
      </c>
      <c r="AV243" s="114" t="str">
        <f>_xlfn.IFNA(VLOOKUP($AI243,Programma!$F$3:$S$1101,14,0),"")</f>
        <v>1m</v>
      </c>
      <c r="AW243" s="114" t="str">
        <f>_xlfn.IFNA(VLOOKUP($AI243,Programma!$F$3:$T$1101,15,0),"")</f>
        <v>2j</v>
      </c>
      <c r="AX243" s="114" t="str">
        <f>_xlfn.IFNA(VLOOKUP($AI243,Programma!$F$3:$U$1101,16,0),"")</f>
        <v>1j</v>
      </c>
      <c r="AY243" s="114" t="str">
        <f>_xlfn.IFNA(VLOOKUP($AI243,Programma!$F$3:$V$1101,17,0),"")</f>
        <v>_</v>
      </c>
      <c r="AZ243" s="114" t="str">
        <f>_xlfn.IFNA(VLOOKUP($AI243,Programma!$F$3:$W$1101,18,0),"")</f>
        <v>_</v>
      </c>
      <c r="BA243" s="114" t="str">
        <f>_xlfn.IFNA(VLOOKUP($AI243,Programma!$F$3:$X$1101,19,0),"")</f>
        <v>_</v>
      </c>
      <c r="BB243" s="114" t="str">
        <f>_xlfn.IFNA(VLOOKUP($AI243,Programma!$F$3:$Y$1101,20,0),"")</f>
        <v>_</v>
      </c>
      <c r="BC243" s="111"/>
      <c r="BD243" s="110" t="str">
        <f>IF(Ruimtestaat[[#This Row],[Frequentie weekend]]="","",_xlfn.CONCAT(Ruimtestaat[[#This Row],[Ruimte code]],"-",Ruimtestaat[[#This Row],[Frequentie weekend]]," ",Ruimtestaat[[#This Row],[Vloer code]]))</f>
        <v/>
      </c>
      <c r="BE243" s="114" t="str">
        <f>_xlfn.IFNA(VLOOKUP($BD243,Programma!$F$3:$G$1101,2,0),"")</f>
        <v/>
      </c>
      <c r="BF243" s="114" t="str">
        <f>_xlfn.IFNA(VLOOKUP($BD243,Programma!$F$3:$H$1101,3,0),"")</f>
        <v/>
      </c>
      <c r="BG243" s="114" t="str">
        <f>_xlfn.IFNA(VLOOKUP($BD243,Programma!$F$3:$I$1101,4,0),"")</f>
        <v/>
      </c>
      <c r="BH243" s="114" t="str">
        <f>_xlfn.IFNA(VLOOKUP($BD243,Programma!$F$3:$J$1101,5,0),"")</f>
        <v/>
      </c>
      <c r="BI243" s="114" t="str">
        <f>_xlfn.IFNA(VLOOKUP($BD243,Programma!$F$3:$K$1101,6,0),"")</f>
        <v/>
      </c>
      <c r="BJ243" s="114" t="str">
        <f>_xlfn.IFNA(VLOOKUP($BD243,Programma!$F$3:$L$1101,7,0),"")</f>
        <v/>
      </c>
      <c r="BK243" s="114" t="str">
        <f>_xlfn.IFNA(VLOOKUP($BD243,Programma!$F$3:$M$1101,8,0),"")</f>
        <v/>
      </c>
      <c r="BL243" s="114" t="str">
        <f>_xlfn.IFNA(VLOOKUP($BD243,Programma!$F$3:$N$1101,9,0),"")</f>
        <v/>
      </c>
      <c r="BM243" s="114" t="str">
        <f>_xlfn.IFNA(VLOOKUP($BD243,Programma!$F$3:$O$1101,10,0),"")</f>
        <v/>
      </c>
      <c r="BN243" s="114" t="str">
        <f>_xlfn.IFNA(VLOOKUP($BD243,Programma!$F$3:$P$1101,11,0),"")</f>
        <v/>
      </c>
      <c r="BO243" s="114" t="str">
        <f>_xlfn.IFNA(VLOOKUP($BD243,Programma!$F$3:$Q$1101,12,0),"")</f>
        <v/>
      </c>
      <c r="BP243" s="114" t="str">
        <f>_xlfn.IFNA(VLOOKUP($BD243,Programma!$F$3:$R$1101,13,0),"")</f>
        <v/>
      </c>
      <c r="BQ243" s="114" t="str">
        <f>_xlfn.IFNA(VLOOKUP($BD243,Programma!$F$3:$S$1101,14,0),"")</f>
        <v/>
      </c>
      <c r="BR243" s="114" t="str">
        <f>_xlfn.IFNA(VLOOKUP($BD243,Programma!$F$3:$T$1101,15,0),"")</f>
        <v/>
      </c>
      <c r="BS243" s="114" t="str">
        <f>_xlfn.IFNA(VLOOKUP($BD243,Programma!$F$3:$U$1101,16,0),"")</f>
        <v/>
      </c>
      <c r="BT243" s="114" t="str">
        <f>_xlfn.IFNA(VLOOKUP($BD243,Programma!$F$3:$V$1101,17,0),"")</f>
        <v/>
      </c>
      <c r="BU243" s="114" t="str">
        <f>_xlfn.IFNA(VLOOKUP($BD243,Programma!$F$3:$W$1101,18,0),"")</f>
        <v/>
      </c>
      <c r="BV243" s="114" t="str">
        <f>_xlfn.IFNA(VLOOKUP($BD243,Programma!$F$3:$X$1101,19,0),"")</f>
        <v/>
      </c>
      <c r="BW243" s="114" t="str">
        <f>_xlfn.IFNA(VLOOKUP($BD243,Programma!$F$3:$Y$1101,20,0),"")</f>
        <v/>
      </c>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c r="EO243" s="28"/>
      <c r="EP243" s="28"/>
      <c r="EQ243" s="28"/>
      <c r="ER243" s="28"/>
      <c r="ES243" s="28"/>
      <c r="ET243" s="28"/>
      <c r="EU243" s="28"/>
      <c r="EV243" s="28"/>
      <c r="EW243" s="28"/>
      <c r="EX243" s="28"/>
      <c r="EY243" s="28"/>
      <c r="EZ243" s="28"/>
      <c r="FA243" s="28"/>
      <c r="FB243" s="28"/>
      <c r="FC243" s="28"/>
      <c r="FD243" s="28"/>
      <c r="FE243" s="28"/>
      <c r="FF243" s="28"/>
      <c r="FG243" s="28"/>
      <c r="FH243" s="28"/>
      <c r="FI243" s="28"/>
      <c r="FJ243" s="28"/>
      <c r="FK243" s="28"/>
      <c r="FL243" s="28"/>
      <c r="FM243" s="28"/>
      <c r="FN243" s="28"/>
      <c r="FO243" s="28"/>
      <c r="FP243" s="28"/>
      <c r="FQ243" s="28"/>
      <c r="FR243" s="28"/>
      <c r="FS243" s="28"/>
      <c r="FT243" s="28"/>
      <c r="FU243" s="28"/>
      <c r="FV243" s="28"/>
      <c r="FW243" s="28"/>
      <c r="FX243" s="28"/>
      <c r="FY243" s="28"/>
      <c r="FZ243" s="28"/>
      <c r="GA243" s="28"/>
      <c r="GB243" s="28"/>
      <c r="GC243" s="28"/>
      <c r="GD243" s="28"/>
      <c r="GE243" s="28"/>
      <c r="GF243" s="28"/>
      <c r="GG243" s="28"/>
      <c r="GH243" s="28"/>
      <c r="GI243" s="28"/>
      <c r="GJ243" s="28"/>
      <c r="GK243" s="28"/>
      <c r="GL243" s="28"/>
      <c r="GM243" s="28"/>
      <c r="GN243" s="28"/>
      <c r="GO243" s="28"/>
      <c r="GP243" s="28"/>
      <c r="GQ243" s="28"/>
      <c r="GR243" s="28"/>
      <c r="GS243" s="28"/>
      <c r="GT243" s="28"/>
      <c r="GU243" s="28"/>
      <c r="GV243" s="28"/>
      <c r="GW243" s="28"/>
      <c r="GX243" s="28"/>
      <c r="GY243" s="28"/>
      <c r="GZ243" s="28"/>
      <c r="HA243" s="28"/>
      <c r="HB243" s="28"/>
      <c r="HC243" s="28"/>
      <c r="HD243" s="28"/>
      <c r="HE243" s="28"/>
      <c r="HF243" s="28"/>
      <c r="HG243" s="28"/>
      <c r="HH243" s="28"/>
      <c r="HI243" s="28"/>
      <c r="HJ243" s="28"/>
      <c r="HK243" s="28"/>
      <c r="HL243" s="28"/>
    </row>
    <row r="244" spans="1:220" ht="15" customHeight="1">
      <c r="A244" s="31">
        <v>5</v>
      </c>
      <c r="B244" s="105" t="str">
        <f>VLOOKUP(Ruimtestaat[[#This Row],[Code]],Locaties[[Code]:[Locatie]],2,FALSE)</f>
        <v>IKC Remigius</v>
      </c>
      <c r="C244" s="105" t="str">
        <f>VLOOKUP(Ruimtestaat[[#This Row],[Code]],Locaties[[#All],[Code]:[Adres]],4,FALSE)</f>
        <v>Liemersplein 1</v>
      </c>
      <c r="D244" s="105" t="str">
        <f>VLOOKUP(Ruimtestaat[[#This Row],[Code]],Locaties[[#All],[Code]:[Postcode]],5,FALSE)</f>
        <v xml:space="preserve">6921 HN </v>
      </c>
      <c r="E244" s="105" t="str">
        <f>VLOOKUP(Ruimtestaat[[#This Row],[Code]],Locaties[#All],6,FALSE)</f>
        <v>Duiven</v>
      </c>
      <c r="F244" s="113"/>
      <c r="G244" s="31" t="s">
        <v>1826</v>
      </c>
      <c r="H244" s="31" t="s">
        <v>1855</v>
      </c>
      <c r="I244" s="113" t="s">
        <v>1659</v>
      </c>
      <c r="J244" s="31">
        <v>6</v>
      </c>
      <c r="K244" s="113" t="str">
        <f>VLOOKUP(Ruimtestaat[[#This Row],[Ruimte code]],Ruimtegroepen[[#All],[Code]:[Ruimte omschrijving]],2,FALSE)</f>
        <v>Gangen/hallen</v>
      </c>
      <c r="L244" s="73" t="s">
        <v>102</v>
      </c>
      <c r="M244" s="273" t="s">
        <v>120</v>
      </c>
      <c r="N244" s="106">
        <v>10.8</v>
      </c>
      <c r="O244" s="112"/>
      <c r="P244" s="112"/>
      <c r="Q244" s="107" t="str">
        <f>VLOOKUP(Ruimtestaat[[#This Row],[Ruimte code]],Ruimtegroepen[],4,FALSE)</f>
        <v>Ve</v>
      </c>
      <c r="R244" s="73">
        <v>40</v>
      </c>
      <c r="S244" s="73" t="s">
        <v>2</v>
      </c>
      <c r="T244" s="73">
        <f>IF(R244&gt;0,IF(RIGHT(Ruimtestaat[[#This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4" s="73">
        <f>IF(T244&gt;0,VLOOKUP($J244,Ruimtegroepen[],3,FALSE)*VLOOKUP($L244,Vloersoorten[],3,FALSE)*VLOOKUP($S244,Frequenties[],3,FALSE)*VLOOKUP($A244,Locaties[],3,FALSE),0)</f>
        <v>0</v>
      </c>
      <c r="V244" s="73">
        <f>Ruimtestaat[[#This Row],[Uitvoeringen werkdagen]]*Ruimtestaat[[#This Row],[Oppervlak (netto)]]</f>
        <v>2160</v>
      </c>
      <c r="W244" s="108">
        <f>IF(U244&gt;0,Ruimtestaat[[#This Row],[Prest. (m2 /jaar) werkdagen]]/Ruimtestaat[[#This Row],[Norm (m2/uur) werkdagen]],0)</f>
        <v>0</v>
      </c>
      <c r="X244" s="109">
        <f>Ruimtestaat[[#This Row],[uren / jaar werkdagen]]*Tariefsopbouw!$E$35</f>
        <v>0</v>
      </c>
      <c r="Y244" s="73"/>
      <c r="Z244" s="73">
        <f>IF(Ruimtestaat[[#This Row],[Frequentie weekend]]&gt;0,VALUE(LEFT(Y244,1))*R244,0)</f>
        <v>0</v>
      </c>
      <c r="AA244" s="72">
        <f>IF($Z244&gt;0,VLOOKUP($J244,Ruimtegroepen[],3,FALSE)*VLOOKUP($L244,Vloersoorten[],3,FALSE)*VLOOKUP($Y244,Frequenties[],3,FALSE)*VLOOKUP(Ruimtestaat[[#This Row],[Code]],Locaties[],3,FALSE),0)</f>
        <v>0</v>
      </c>
      <c r="AB244" s="72">
        <f>Ruimtestaat[[#This Row],[Uitvoeringen weekend]]*Ruimtestaat[[#This Row],[Oppervlak (netto)]]</f>
        <v>0</v>
      </c>
      <c r="AC244" s="72">
        <f>IF(AA244&gt;0,Ruimtestaat[[#This Row],[Prest. (m2 /jaar) weekend]]/Ruimtestaat[[#This Row],[Norm (m2/uur) weekend]],0)</f>
        <v>0</v>
      </c>
      <c r="AD244" s="109">
        <f>Ruimtestaat[[#This Row],[uren / jaar weekend]]*Tariefsopbouw!$D$40</f>
        <v>0</v>
      </c>
      <c r="AE244" s="108">
        <f>Ruimtestaat[[#This Row],[Prest. (m2 /jaar) weekend]]+Ruimtestaat[[#This Row],[Prest. (m2 /jaar) werkdagen]]</f>
        <v>2160</v>
      </c>
      <c r="AF244" s="108">
        <f>Ruimtestaat[[#This Row],[uren / jaar weekend]]+Ruimtestaat[[#This Row],[uren / jaar werkdagen]]</f>
        <v>0</v>
      </c>
      <c r="AG244" s="103">
        <f>Ruimtestaat[[#This Row],[kosten / jaar weekend]]+Ruimtestaat[[#This Row],[kosten / jaar werkdagen]]</f>
        <v>0</v>
      </c>
      <c r="AH244" s="103"/>
      <c r="AI244" s="110" t="str">
        <f>IF(Ruimtestaat[[#This Row],[Frequentie werkdagen]]="","",_xlfn.CONCAT(Ruimtestaat[[#This Row],[Ruimte code]],"-",Ruimtestaat[[#This Row],[Frequentie werkdagen]]," ",Ruimtestaat[[#This Row],[Vloer code]]))</f>
        <v>6-5w P</v>
      </c>
      <c r="AJ244" s="114" t="str">
        <f>_xlfn.IFNA(VLOOKUP($AI244,Programma!$F$3:$G$1101,2,0),"")</f>
        <v>_</v>
      </c>
      <c r="AK244" s="114" t="str">
        <f>_xlfn.IFNA(VLOOKUP($AI244,Programma!$F$3:$H$1101,3,0),"")</f>
        <v>_</v>
      </c>
      <c r="AL244" s="114" t="str">
        <f>_xlfn.IFNA(VLOOKUP($AI244,Programma!$F$3:$I$1101,4,0),"")</f>
        <v>5w</v>
      </c>
      <c r="AM244" s="114" t="str">
        <f>_xlfn.IFNA(VLOOKUP($AI244,Programma!$F$3:$J$1101,5,0),"")</f>
        <v>_</v>
      </c>
      <c r="AN244" s="114" t="str">
        <f>_xlfn.IFNA(VLOOKUP($AI244,Programma!$F$3:$K$1101,6,0),"")</f>
        <v>5w</v>
      </c>
      <c r="AO244" s="114" t="str">
        <f>_xlfn.IFNA(VLOOKUP($AI244,Programma!$F$3:$L$1101,7,0),"")</f>
        <v>_</v>
      </c>
      <c r="AP244" s="114" t="str">
        <f>_xlfn.IFNA(VLOOKUP($AI244,Programma!$F$3:$M$1101,8,0),"")</f>
        <v>_</v>
      </c>
      <c r="AQ244" s="114" t="str">
        <f>_xlfn.IFNA(VLOOKUP($AI244,Programma!$F$3:$N$1101,9,0),"")</f>
        <v>_</v>
      </c>
      <c r="AR244" s="114" t="str">
        <f>_xlfn.IFNA(VLOOKUP($AI244,Programma!$F$3:$O$1101,10,0),"")</f>
        <v>5w</v>
      </c>
      <c r="AS244" s="114" t="str">
        <f>_xlfn.IFNA(VLOOKUP($AI244,Programma!$F$3:$P$1101,11,0),"")</f>
        <v>5w</v>
      </c>
      <c r="AT244" s="114" t="str">
        <f>_xlfn.IFNA(VLOOKUP($AI244,Programma!$F$3:$Q$1101,12,0),"")</f>
        <v>1w</v>
      </c>
      <c r="AU244" s="114" t="str">
        <f>_xlfn.IFNA(VLOOKUP($AI244,Programma!$F$3:$R$1101,13,0),"")</f>
        <v>1w</v>
      </c>
      <c r="AV244" s="114" t="str">
        <f>_xlfn.IFNA(VLOOKUP($AI244,Programma!$F$3:$S$1101,14,0),"")</f>
        <v>1m</v>
      </c>
      <c r="AW244" s="114" t="str">
        <f>_xlfn.IFNA(VLOOKUP($AI244,Programma!$F$3:$T$1101,15,0),"")</f>
        <v>2j</v>
      </c>
      <c r="AX244" s="114" t="str">
        <f>_xlfn.IFNA(VLOOKUP($AI244,Programma!$F$3:$U$1101,16,0),"")</f>
        <v>1j</v>
      </c>
      <c r="AY244" s="114" t="str">
        <f>_xlfn.IFNA(VLOOKUP($AI244,Programma!$F$3:$V$1101,17,0),"")</f>
        <v>_</v>
      </c>
      <c r="AZ244" s="114" t="str">
        <f>_xlfn.IFNA(VLOOKUP($AI244,Programma!$F$3:$W$1101,18,0),"")</f>
        <v>_</v>
      </c>
      <c r="BA244" s="114" t="str">
        <f>_xlfn.IFNA(VLOOKUP($AI244,Programma!$F$3:$X$1101,19,0),"")</f>
        <v>_</v>
      </c>
      <c r="BB244" s="114" t="str">
        <f>_xlfn.IFNA(VLOOKUP($AI244,Programma!$F$3:$Y$1101,20,0),"")</f>
        <v>_</v>
      </c>
      <c r="BC244" s="111"/>
      <c r="BD244" s="110" t="str">
        <f>IF(Ruimtestaat[[#This Row],[Frequentie weekend]]="","",_xlfn.CONCAT(Ruimtestaat[[#This Row],[Ruimte code]],"-",Ruimtestaat[[#This Row],[Frequentie weekend]]," ",Ruimtestaat[[#This Row],[Vloer code]]))</f>
        <v/>
      </c>
      <c r="BE244" s="114" t="str">
        <f>_xlfn.IFNA(VLOOKUP($BD244,Programma!$F$3:$G$1101,2,0),"")</f>
        <v/>
      </c>
      <c r="BF244" s="114" t="str">
        <f>_xlfn.IFNA(VLOOKUP($BD244,Programma!$F$3:$H$1101,3,0),"")</f>
        <v/>
      </c>
      <c r="BG244" s="114" t="str">
        <f>_xlfn.IFNA(VLOOKUP($BD244,Programma!$F$3:$I$1101,4,0),"")</f>
        <v/>
      </c>
      <c r="BH244" s="114" t="str">
        <f>_xlfn.IFNA(VLOOKUP($BD244,Programma!$F$3:$J$1101,5,0),"")</f>
        <v/>
      </c>
      <c r="BI244" s="114" t="str">
        <f>_xlfn.IFNA(VLOOKUP($BD244,Programma!$F$3:$K$1101,6,0),"")</f>
        <v/>
      </c>
      <c r="BJ244" s="114" t="str">
        <f>_xlfn.IFNA(VLOOKUP($BD244,Programma!$F$3:$L$1101,7,0),"")</f>
        <v/>
      </c>
      <c r="BK244" s="114" t="str">
        <f>_xlfn.IFNA(VLOOKUP($BD244,Programma!$F$3:$M$1101,8,0),"")</f>
        <v/>
      </c>
      <c r="BL244" s="114" t="str">
        <f>_xlfn.IFNA(VLOOKUP($BD244,Programma!$F$3:$N$1101,9,0),"")</f>
        <v/>
      </c>
      <c r="BM244" s="114" t="str">
        <f>_xlfn.IFNA(VLOOKUP($BD244,Programma!$F$3:$O$1101,10,0),"")</f>
        <v/>
      </c>
      <c r="BN244" s="114" t="str">
        <f>_xlfn.IFNA(VLOOKUP($BD244,Programma!$F$3:$P$1101,11,0),"")</f>
        <v/>
      </c>
      <c r="BO244" s="114" t="str">
        <f>_xlfn.IFNA(VLOOKUP($BD244,Programma!$F$3:$Q$1101,12,0),"")</f>
        <v/>
      </c>
      <c r="BP244" s="114" t="str">
        <f>_xlfn.IFNA(VLOOKUP($BD244,Programma!$F$3:$R$1101,13,0),"")</f>
        <v/>
      </c>
      <c r="BQ244" s="114" t="str">
        <f>_xlfn.IFNA(VLOOKUP($BD244,Programma!$F$3:$S$1101,14,0),"")</f>
        <v/>
      </c>
      <c r="BR244" s="114" t="str">
        <f>_xlfn.IFNA(VLOOKUP($BD244,Programma!$F$3:$T$1101,15,0),"")</f>
        <v/>
      </c>
      <c r="BS244" s="114" t="str">
        <f>_xlfn.IFNA(VLOOKUP($BD244,Programma!$F$3:$U$1101,16,0),"")</f>
        <v/>
      </c>
      <c r="BT244" s="114" t="str">
        <f>_xlfn.IFNA(VLOOKUP($BD244,Programma!$F$3:$V$1101,17,0),"")</f>
        <v/>
      </c>
      <c r="BU244" s="114" t="str">
        <f>_xlfn.IFNA(VLOOKUP($BD244,Programma!$F$3:$W$1101,18,0),"")</f>
        <v/>
      </c>
      <c r="BV244" s="114" t="str">
        <f>_xlfn.IFNA(VLOOKUP($BD244,Programma!$F$3:$X$1101,19,0),"")</f>
        <v/>
      </c>
      <c r="BW244" s="114" t="str">
        <f>_xlfn.IFNA(VLOOKUP($BD244,Programma!$F$3:$Y$1101,20,0),"")</f>
        <v/>
      </c>
      <c r="BX244" s="28"/>
      <c r="BY244" s="28"/>
      <c r="BZ244" s="28"/>
      <c r="CA244" s="28"/>
      <c r="CB244" s="28"/>
      <c r="CC244" s="28"/>
      <c r="CD244" s="28"/>
      <c r="CE244" s="28"/>
      <c r="CF244" s="28"/>
      <c r="CG244" s="28"/>
      <c r="CH244" s="28"/>
      <c r="CI244" s="28"/>
      <c r="CJ244" s="28"/>
      <c r="CK244" s="28"/>
      <c r="CL244" s="28"/>
      <c r="CM244" s="28"/>
      <c r="CN244" s="28"/>
      <c r="CO244" s="28"/>
      <c r="CP244" s="28"/>
      <c r="CQ244" s="28"/>
      <c r="CR244" s="28"/>
      <c r="CS244" s="28"/>
      <c r="CT244" s="28"/>
      <c r="CU244" s="28"/>
      <c r="CV244" s="28"/>
      <c r="CW244" s="28"/>
      <c r="CX244" s="28"/>
      <c r="CY244" s="28"/>
      <c r="CZ244" s="28"/>
      <c r="DA244" s="28"/>
      <c r="DB244" s="28"/>
      <c r="DC244" s="28"/>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c r="EA244" s="28"/>
      <c r="EB244" s="28"/>
      <c r="EC244" s="28"/>
      <c r="ED244" s="28"/>
      <c r="EE244" s="28"/>
      <c r="EF244" s="28"/>
      <c r="EG244" s="28"/>
      <c r="EH244" s="28"/>
      <c r="EI244" s="28"/>
      <c r="EJ244" s="28"/>
      <c r="EK244" s="28"/>
      <c r="EL244" s="28"/>
      <c r="EM244" s="28"/>
      <c r="EN244" s="28"/>
      <c r="EO244" s="28"/>
      <c r="EP244" s="28"/>
      <c r="EQ244" s="28"/>
      <c r="ER244" s="28"/>
      <c r="ES244" s="28"/>
      <c r="ET244" s="28"/>
      <c r="EU244" s="28"/>
      <c r="EV244" s="28"/>
      <c r="EW244" s="28"/>
      <c r="EX244" s="28"/>
      <c r="EY244" s="28"/>
      <c r="EZ244" s="28"/>
      <c r="FA244" s="28"/>
      <c r="FB244" s="28"/>
      <c r="FC244" s="28"/>
      <c r="FD244" s="28"/>
      <c r="FE244" s="28"/>
      <c r="FF244" s="28"/>
      <c r="FG244" s="28"/>
      <c r="FH244" s="28"/>
      <c r="FI244" s="28"/>
      <c r="FJ244" s="28"/>
      <c r="FK244" s="28"/>
      <c r="FL244" s="28"/>
      <c r="FM244" s="28"/>
      <c r="FN244" s="28"/>
      <c r="FO244" s="28"/>
      <c r="FP244" s="28"/>
      <c r="FQ244" s="28"/>
      <c r="FR244" s="28"/>
      <c r="FS244" s="28"/>
      <c r="FT244" s="28"/>
      <c r="FU244" s="28"/>
      <c r="FV244" s="28"/>
      <c r="FW244" s="28"/>
      <c r="FX244" s="28"/>
      <c r="FY244" s="28"/>
      <c r="FZ244" s="28"/>
      <c r="GA244" s="28"/>
      <c r="GB244" s="28"/>
      <c r="GC244" s="28"/>
      <c r="GD244" s="28"/>
      <c r="GE244" s="28"/>
      <c r="GF244" s="28"/>
      <c r="GG244" s="28"/>
      <c r="GH244" s="28"/>
      <c r="GI244" s="28"/>
      <c r="GJ244" s="28"/>
      <c r="GK244" s="28"/>
      <c r="GL244" s="28"/>
      <c r="GM244" s="28"/>
      <c r="GN244" s="28"/>
      <c r="GO244" s="28"/>
      <c r="GP244" s="28"/>
      <c r="GQ244" s="28"/>
      <c r="GR244" s="28"/>
      <c r="GS244" s="28"/>
      <c r="GT244" s="28"/>
      <c r="GU244" s="28"/>
      <c r="GV244" s="28"/>
      <c r="GW244" s="28"/>
      <c r="GX244" s="28"/>
      <c r="GY244" s="28"/>
      <c r="GZ244" s="28"/>
      <c r="HA244" s="28"/>
      <c r="HB244" s="28"/>
      <c r="HC244" s="28"/>
      <c r="HD244" s="28"/>
      <c r="HE244" s="28"/>
      <c r="HF244" s="28"/>
      <c r="HG244" s="28"/>
      <c r="HH244" s="28"/>
      <c r="HI244" s="28"/>
      <c r="HJ244" s="28"/>
      <c r="HK244" s="28"/>
      <c r="HL244" s="28"/>
    </row>
    <row r="245" spans="1:220" ht="15" customHeight="1">
      <c r="A245" s="31">
        <v>5</v>
      </c>
      <c r="B245" s="105" t="str">
        <f>VLOOKUP(Ruimtestaat[[#This Row],[Code]],Locaties[[Code]:[Locatie]],2,FALSE)</f>
        <v>IKC Remigius</v>
      </c>
      <c r="C245" s="105" t="str">
        <f>VLOOKUP(Ruimtestaat[[#This Row],[Code]],Locaties[[#All],[Code]:[Adres]],4,FALSE)</f>
        <v>Liemersplein 1</v>
      </c>
      <c r="D245" s="105" t="str">
        <f>VLOOKUP(Ruimtestaat[[#This Row],[Code]],Locaties[[#All],[Code]:[Postcode]],5,FALSE)</f>
        <v xml:space="preserve">6921 HN </v>
      </c>
      <c r="E245" s="105" t="str">
        <f>VLOOKUP(Ruimtestaat[[#This Row],[Code]],Locaties[#All],6,FALSE)</f>
        <v>Duiven</v>
      </c>
      <c r="F245" s="113"/>
      <c r="G245" s="31" t="s">
        <v>1826</v>
      </c>
      <c r="H245" s="31" t="s">
        <v>1852</v>
      </c>
      <c r="I245" s="113" t="s">
        <v>1659</v>
      </c>
      <c r="J245" s="31">
        <v>6</v>
      </c>
      <c r="K245" s="113" t="str">
        <f>VLOOKUP(Ruimtestaat[[#This Row],[Ruimte code]],Ruimtegroepen[[#All],[Code]:[Ruimte omschrijving]],2,FALSE)</f>
        <v>Gangen/hallen</v>
      </c>
      <c r="L245" s="73" t="s">
        <v>102</v>
      </c>
      <c r="M245" s="273" t="s">
        <v>120</v>
      </c>
      <c r="N245" s="106">
        <v>60.3</v>
      </c>
      <c r="O245" s="112"/>
      <c r="P245" s="112"/>
      <c r="Q245" s="107" t="str">
        <f>VLOOKUP(Ruimtestaat[[#This Row],[Ruimte code]],Ruimtegroepen[],4,FALSE)</f>
        <v>Ve</v>
      </c>
      <c r="R245" s="73">
        <v>40</v>
      </c>
      <c r="S245" s="73" t="s">
        <v>2</v>
      </c>
      <c r="T245" s="73">
        <f>IF(R245&gt;0,IF(RIGHT(Ruimtestaat[[#This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5" s="73">
        <f>IF(T245&gt;0,VLOOKUP($J245,Ruimtegroepen[],3,FALSE)*VLOOKUP($L245,Vloersoorten[],3,FALSE)*VLOOKUP($S245,Frequenties[],3,FALSE)*VLOOKUP($A245,Locaties[],3,FALSE),0)</f>
        <v>0</v>
      </c>
      <c r="V245" s="73">
        <f>Ruimtestaat[[#This Row],[Uitvoeringen werkdagen]]*Ruimtestaat[[#This Row],[Oppervlak (netto)]]</f>
        <v>12060</v>
      </c>
      <c r="W245" s="108">
        <f>IF(U245&gt;0,Ruimtestaat[[#This Row],[Prest. (m2 /jaar) werkdagen]]/Ruimtestaat[[#This Row],[Norm (m2/uur) werkdagen]],0)</f>
        <v>0</v>
      </c>
      <c r="X245" s="109">
        <f>Ruimtestaat[[#This Row],[uren / jaar werkdagen]]*Tariefsopbouw!$E$35</f>
        <v>0</v>
      </c>
      <c r="Y245" s="73"/>
      <c r="Z245" s="73">
        <f>IF(Ruimtestaat[[#This Row],[Frequentie weekend]]&gt;0,VALUE(LEFT(Y245,1))*R245,0)</f>
        <v>0</v>
      </c>
      <c r="AA245" s="72">
        <f>IF($Z245&gt;0,VLOOKUP($J245,Ruimtegroepen[],3,FALSE)*VLOOKUP($L245,Vloersoorten[],3,FALSE)*VLOOKUP($Y245,Frequenties[],3,FALSE)*VLOOKUP(Ruimtestaat[[#This Row],[Code]],Locaties[],3,FALSE),0)</f>
        <v>0</v>
      </c>
      <c r="AB245" s="72">
        <f>Ruimtestaat[[#This Row],[Uitvoeringen weekend]]*Ruimtestaat[[#This Row],[Oppervlak (netto)]]</f>
        <v>0</v>
      </c>
      <c r="AC245" s="72">
        <f>IF(AA245&gt;0,Ruimtestaat[[#This Row],[Prest. (m2 /jaar) weekend]]/Ruimtestaat[[#This Row],[Norm (m2/uur) weekend]],0)</f>
        <v>0</v>
      </c>
      <c r="AD245" s="109">
        <f>Ruimtestaat[[#This Row],[uren / jaar weekend]]*Tariefsopbouw!$D$40</f>
        <v>0</v>
      </c>
      <c r="AE245" s="108">
        <f>Ruimtestaat[[#This Row],[Prest. (m2 /jaar) weekend]]+Ruimtestaat[[#This Row],[Prest. (m2 /jaar) werkdagen]]</f>
        <v>12060</v>
      </c>
      <c r="AF245" s="108">
        <f>Ruimtestaat[[#This Row],[uren / jaar weekend]]+Ruimtestaat[[#This Row],[uren / jaar werkdagen]]</f>
        <v>0</v>
      </c>
      <c r="AG245" s="103">
        <f>Ruimtestaat[[#This Row],[kosten / jaar weekend]]+Ruimtestaat[[#This Row],[kosten / jaar werkdagen]]</f>
        <v>0</v>
      </c>
      <c r="AH245" s="103"/>
      <c r="AI245" s="110" t="str">
        <f>IF(Ruimtestaat[[#This Row],[Frequentie werkdagen]]="","",_xlfn.CONCAT(Ruimtestaat[[#This Row],[Ruimte code]],"-",Ruimtestaat[[#This Row],[Frequentie werkdagen]]," ",Ruimtestaat[[#This Row],[Vloer code]]))</f>
        <v>6-5w P</v>
      </c>
      <c r="AJ245" s="114" t="str">
        <f>_xlfn.IFNA(VLOOKUP($AI245,Programma!$F$3:$G$1101,2,0),"")</f>
        <v>_</v>
      </c>
      <c r="AK245" s="114" t="str">
        <f>_xlfn.IFNA(VLOOKUP($AI245,Programma!$F$3:$H$1101,3,0),"")</f>
        <v>_</v>
      </c>
      <c r="AL245" s="114" t="str">
        <f>_xlfn.IFNA(VLOOKUP($AI245,Programma!$F$3:$I$1101,4,0),"")</f>
        <v>5w</v>
      </c>
      <c r="AM245" s="114" t="str">
        <f>_xlfn.IFNA(VLOOKUP($AI245,Programma!$F$3:$J$1101,5,0),"")</f>
        <v>_</v>
      </c>
      <c r="AN245" s="114" t="str">
        <f>_xlfn.IFNA(VLOOKUP($AI245,Programma!$F$3:$K$1101,6,0),"")</f>
        <v>5w</v>
      </c>
      <c r="AO245" s="114" t="str">
        <f>_xlfn.IFNA(VLOOKUP($AI245,Programma!$F$3:$L$1101,7,0),"")</f>
        <v>_</v>
      </c>
      <c r="AP245" s="114" t="str">
        <f>_xlfn.IFNA(VLOOKUP($AI245,Programma!$F$3:$M$1101,8,0),"")</f>
        <v>_</v>
      </c>
      <c r="AQ245" s="114" t="str">
        <f>_xlfn.IFNA(VLOOKUP($AI245,Programma!$F$3:$N$1101,9,0),"")</f>
        <v>_</v>
      </c>
      <c r="AR245" s="114" t="str">
        <f>_xlfn.IFNA(VLOOKUP($AI245,Programma!$F$3:$O$1101,10,0),"")</f>
        <v>5w</v>
      </c>
      <c r="AS245" s="114" t="str">
        <f>_xlfn.IFNA(VLOOKUP($AI245,Programma!$F$3:$P$1101,11,0),"")</f>
        <v>5w</v>
      </c>
      <c r="AT245" s="114" t="str">
        <f>_xlfn.IFNA(VLOOKUP($AI245,Programma!$F$3:$Q$1101,12,0),"")</f>
        <v>1w</v>
      </c>
      <c r="AU245" s="114" t="str">
        <f>_xlfn.IFNA(VLOOKUP($AI245,Programma!$F$3:$R$1101,13,0),"")</f>
        <v>1w</v>
      </c>
      <c r="AV245" s="114" t="str">
        <f>_xlfn.IFNA(VLOOKUP($AI245,Programma!$F$3:$S$1101,14,0),"")</f>
        <v>1m</v>
      </c>
      <c r="AW245" s="114" t="str">
        <f>_xlfn.IFNA(VLOOKUP($AI245,Programma!$F$3:$T$1101,15,0),"")</f>
        <v>2j</v>
      </c>
      <c r="AX245" s="114" t="str">
        <f>_xlfn.IFNA(VLOOKUP($AI245,Programma!$F$3:$U$1101,16,0),"")</f>
        <v>1j</v>
      </c>
      <c r="AY245" s="114" t="str">
        <f>_xlfn.IFNA(VLOOKUP($AI245,Programma!$F$3:$V$1101,17,0),"")</f>
        <v>_</v>
      </c>
      <c r="AZ245" s="114" t="str">
        <f>_xlfn.IFNA(VLOOKUP($AI245,Programma!$F$3:$W$1101,18,0),"")</f>
        <v>_</v>
      </c>
      <c r="BA245" s="114" t="str">
        <f>_xlfn.IFNA(VLOOKUP($AI245,Programma!$F$3:$X$1101,19,0),"")</f>
        <v>_</v>
      </c>
      <c r="BB245" s="114" t="str">
        <f>_xlfn.IFNA(VLOOKUP($AI245,Programma!$F$3:$Y$1101,20,0),"")</f>
        <v>_</v>
      </c>
      <c r="BC245" s="111"/>
      <c r="BD245" s="110" t="str">
        <f>IF(Ruimtestaat[[#This Row],[Frequentie weekend]]="","",_xlfn.CONCAT(Ruimtestaat[[#This Row],[Ruimte code]],"-",Ruimtestaat[[#This Row],[Frequentie weekend]]," ",Ruimtestaat[[#This Row],[Vloer code]]))</f>
        <v/>
      </c>
      <c r="BE245" s="114" t="str">
        <f>_xlfn.IFNA(VLOOKUP($BD245,Programma!$F$3:$G$1101,2,0),"")</f>
        <v/>
      </c>
      <c r="BF245" s="114" t="str">
        <f>_xlfn.IFNA(VLOOKUP($BD245,Programma!$F$3:$H$1101,3,0),"")</f>
        <v/>
      </c>
      <c r="BG245" s="114" t="str">
        <f>_xlfn.IFNA(VLOOKUP($BD245,Programma!$F$3:$I$1101,4,0),"")</f>
        <v/>
      </c>
      <c r="BH245" s="114" t="str">
        <f>_xlfn.IFNA(VLOOKUP($BD245,Programma!$F$3:$J$1101,5,0),"")</f>
        <v/>
      </c>
      <c r="BI245" s="114" t="str">
        <f>_xlfn.IFNA(VLOOKUP($BD245,Programma!$F$3:$K$1101,6,0),"")</f>
        <v/>
      </c>
      <c r="BJ245" s="114" t="str">
        <f>_xlfn.IFNA(VLOOKUP($BD245,Programma!$F$3:$L$1101,7,0),"")</f>
        <v/>
      </c>
      <c r="BK245" s="114" t="str">
        <f>_xlfn.IFNA(VLOOKUP($BD245,Programma!$F$3:$M$1101,8,0),"")</f>
        <v/>
      </c>
      <c r="BL245" s="114" t="str">
        <f>_xlfn.IFNA(VLOOKUP($BD245,Programma!$F$3:$N$1101,9,0),"")</f>
        <v/>
      </c>
      <c r="BM245" s="114" t="str">
        <f>_xlfn.IFNA(VLOOKUP($BD245,Programma!$F$3:$O$1101,10,0),"")</f>
        <v/>
      </c>
      <c r="BN245" s="114" t="str">
        <f>_xlfn.IFNA(VLOOKUP($BD245,Programma!$F$3:$P$1101,11,0),"")</f>
        <v/>
      </c>
      <c r="BO245" s="114" t="str">
        <f>_xlfn.IFNA(VLOOKUP($BD245,Programma!$F$3:$Q$1101,12,0),"")</f>
        <v/>
      </c>
      <c r="BP245" s="114" t="str">
        <f>_xlfn.IFNA(VLOOKUP($BD245,Programma!$F$3:$R$1101,13,0),"")</f>
        <v/>
      </c>
      <c r="BQ245" s="114" t="str">
        <f>_xlfn.IFNA(VLOOKUP($BD245,Programma!$F$3:$S$1101,14,0),"")</f>
        <v/>
      </c>
      <c r="BR245" s="114" t="str">
        <f>_xlfn.IFNA(VLOOKUP($BD245,Programma!$F$3:$T$1101,15,0),"")</f>
        <v/>
      </c>
      <c r="BS245" s="114" t="str">
        <f>_xlfn.IFNA(VLOOKUP($BD245,Programma!$F$3:$U$1101,16,0),"")</f>
        <v/>
      </c>
      <c r="BT245" s="114" t="str">
        <f>_xlfn.IFNA(VLOOKUP($BD245,Programma!$F$3:$V$1101,17,0),"")</f>
        <v/>
      </c>
      <c r="BU245" s="114" t="str">
        <f>_xlfn.IFNA(VLOOKUP($BD245,Programma!$F$3:$W$1101,18,0),"")</f>
        <v/>
      </c>
      <c r="BV245" s="114" t="str">
        <f>_xlfn.IFNA(VLOOKUP($BD245,Programma!$F$3:$X$1101,19,0),"")</f>
        <v/>
      </c>
      <c r="BW245" s="114" t="str">
        <f>_xlfn.IFNA(VLOOKUP($BD245,Programma!$F$3:$Y$1101,20,0),"")</f>
        <v/>
      </c>
      <c r="BX245" s="28"/>
      <c r="BY245" s="28"/>
      <c r="BZ245" s="28"/>
      <c r="CA245" s="28"/>
      <c r="CB245" s="28"/>
      <c r="CC245" s="28"/>
      <c r="CD245" s="28"/>
      <c r="CE245" s="28"/>
      <c r="CF245" s="28"/>
      <c r="CG245" s="28"/>
      <c r="CH245" s="28"/>
      <c r="CI245" s="28"/>
      <c r="CJ245" s="28"/>
      <c r="CK245" s="28"/>
      <c r="CL245" s="28"/>
      <c r="CM245" s="28"/>
      <c r="CN245" s="28"/>
      <c r="CO245" s="28"/>
      <c r="CP245" s="28"/>
      <c r="CQ245" s="28"/>
      <c r="CR245" s="28"/>
      <c r="CS245" s="28"/>
      <c r="CT245" s="28"/>
      <c r="CU245" s="28"/>
      <c r="CV245" s="28"/>
      <c r="CW245" s="28"/>
      <c r="CX245" s="28"/>
      <c r="CY245" s="28"/>
      <c r="CZ245" s="28"/>
      <c r="DA245" s="28"/>
      <c r="DB245" s="28"/>
      <c r="DC245" s="28"/>
      <c r="DD245" s="28"/>
      <c r="DE245" s="28"/>
      <c r="DF245" s="28"/>
      <c r="DG245" s="28"/>
      <c r="DH245" s="28"/>
      <c r="DI245" s="28"/>
      <c r="DJ245" s="28"/>
      <c r="DK245" s="28"/>
      <c r="DL245" s="28"/>
      <c r="DM245" s="28"/>
      <c r="DN245" s="28"/>
      <c r="DO245" s="28"/>
      <c r="DP245" s="28"/>
      <c r="DQ245" s="28"/>
      <c r="DR245" s="28"/>
      <c r="DS245" s="28"/>
      <c r="DT245" s="28"/>
      <c r="DU245" s="28"/>
      <c r="DV245" s="28"/>
      <c r="DW245" s="28"/>
      <c r="DX245" s="28"/>
      <c r="DY245" s="28"/>
      <c r="DZ245" s="28"/>
      <c r="EA245" s="28"/>
      <c r="EB245" s="28"/>
      <c r="EC245" s="28"/>
      <c r="ED245" s="28"/>
      <c r="EE245" s="28"/>
      <c r="EF245" s="28"/>
      <c r="EG245" s="28"/>
      <c r="EH245" s="28"/>
      <c r="EI245" s="28"/>
      <c r="EJ245" s="28"/>
      <c r="EK245" s="28"/>
      <c r="EL245" s="28"/>
      <c r="EM245" s="28"/>
      <c r="EN245" s="28"/>
      <c r="EO245" s="28"/>
      <c r="EP245" s="28"/>
      <c r="EQ245" s="28"/>
      <c r="ER245" s="28"/>
      <c r="ES245" s="28"/>
      <c r="ET245" s="28"/>
      <c r="EU245" s="28"/>
      <c r="EV245" s="28"/>
      <c r="EW245" s="28"/>
      <c r="EX245" s="28"/>
      <c r="EY245" s="28"/>
      <c r="EZ245" s="28"/>
      <c r="FA245" s="28"/>
      <c r="FB245" s="28"/>
      <c r="FC245" s="28"/>
      <c r="FD245" s="28"/>
      <c r="FE245" s="28"/>
      <c r="FF245" s="28"/>
      <c r="FG245" s="28"/>
      <c r="FH245" s="28"/>
      <c r="FI245" s="28"/>
      <c r="FJ245" s="28"/>
      <c r="FK245" s="28"/>
      <c r="FL245" s="28"/>
      <c r="FM245" s="28"/>
      <c r="FN245" s="28"/>
      <c r="FO245" s="28"/>
      <c r="FP245" s="28"/>
      <c r="FQ245" s="28"/>
      <c r="FR245" s="28"/>
      <c r="FS245" s="28"/>
      <c r="FT245" s="28"/>
      <c r="FU245" s="28"/>
      <c r="FV245" s="28"/>
      <c r="FW245" s="28"/>
      <c r="FX245" s="28"/>
      <c r="FY245" s="28"/>
      <c r="FZ245" s="28"/>
      <c r="GA245" s="28"/>
      <c r="GB245" s="28"/>
      <c r="GC245" s="28"/>
      <c r="GD245" s="28"/>
      <c r="GE245" s="28"/>
      <c r="GF245" s="28"/>
      <c r="GG245" s="28"/>
      <c r="GH245" s="28"/>
      <c r="GI245" s="28"/>
      <c r="GJ245" s="28"/>
      <c r="GK245" s="28"/>
      <c r="GL245" s="28"/>
      <c r="GM245" s="28"/>
      <c r="GN245" s="28"/>
      <c r="GO245" s="28"/>
      <c r="GP245" s="28"/>
      <c r="GQ245" s="28"/>
      <c r="GR245" s="28"/>
      <c r="GS245" s="28"/>
      <c r="GT245" s="28"/>
      <c r="GU245" s="28"/>
      <c r="GV245" s="28"/>
      <c r="GW245" s="28"/>
      <c r="GX245" s="28"/>
      <c r="GY245" s="28"/>
      <c r="GZ245" s="28"/>
      <c r="HA245" s="28"/>
      <c r="HB245" s="28"/>
      <c r="HC245" s="28"/>
      <c r="HD245" s="28"/>
      <c r="HE245" s="28"/>
      <c r="HF245" s="28"/>
      <c r="HG245" s="28"/>
      <c r="HH245" s="28"/>
      <c r="HI245" s="28"/>
      <c r="HJ245" s="28"/>
      <c r="HK245" s="28"/>
      <c r="HL245" s="28"/>
    </row>
    <row r="246" spans="1:220" ht="15" customHeight="1">
      <c r="A246" s="31">
        <v>5</v>
      </c>
      <c r="B246" s="105" t="str">
        <f>VLOOKUP(Ruimtestaat[[#This Row],[Code]],Locaties[[Code]:[Locatie]],2,FALSE)</f>
        <v>IKC Remigius</v>
      </c>
      <c r="C246" s="105" t="str">
        <f>VLOOKUP(Ruimtestaat[[#This Row],[Code]],Locaties[[#All],[Code]:[Adres]],4,FALSE)</f>
        <v>Liemersplein 1</v>
      </c>
      <c r="D246" s="105" t="str">
        <f>VLOOKUP(Ruimtestaat[[#This Row],[Code]],Locaties[[#All],[Code]:[Postcode]],5,FALSE)</f>
        <v xml:space="preserve">6921 HN </v>
      </c>
      <c r="E246" s="105" t="str">
        <f>VLOOKUP(Ruimtestaat[[#This Row],[Code]],Locaties[#All],6,FALSE)</f>
        <v>Duiven</v>
      </c>
      <c r="F246" s="113"/>
      <c r="G246" s="31" t="s">
        <v>1826</v>
      </c>
      <c r="H246" s="31" t="s">
        <v>1853</v>
      </c>
      <c r="I246" s="113" t="s">
        <v>1659</v>
      </c>
      <c r="J246" s="31">
        <v>6</v>
      </c>
      <c r="K246" s="113" t="str">
        <f>VLOOKUP(Ruimtestaat[[#This Row],[Ruimte code]],Ruimtegroepen[[#All],[Code]:[Ruimte omschrijving]],2,FALSE)</f>
        <v>Gangen/hallen</v>
      </c>
      <c r="L246" s="73" t="s">
        <v>102</v>
      </c>
      <c r="M246" s="273" t="s">
        <v>120</v>
      </c>
      <c r="N246" s="106">
        <v>3.3</v>
      </c>
      <c r="O246" s="112"/>
      <c r="P246" s="73"/>
      <c r="Q246" s="107" t="str">
        <f>VLOOKUP(Ruimtestaat[[#This Row],[Ruimte code]],Ruimtegroepen[],4,FALSE)</f>
        <v>Ve</v>
      </c>
      <c r="R246" s="73">
        <v>40</v>
      </c>
      <c r="S246" s="73" t="s">
        <v>2</v>
      </c>
      <c r="T246" s="73">
        <f>IF(R246&gt;0,IF(RIGHT(Ruimtestaat[[#This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6" s="73">
        <f>IF(T246&gt;0,VLOOKUP($J246,Ruimtegroepen[],3,FALSE)*VLOOKUP($L246,Vloersoorten[],3,FALSE)*VLOOKUP($S246,Frequenties[],3,FALSE)*VLOOKUP($A246,Locaties[],3,FALSE),0)</f>
        <v>0</v>
      </c>
      <c r="V246" s="73">
        <f>Ruimtestaat[[#This Row],[Uitvoeringen werkdagen]]*Ruimtestaat[[#This Row],[Oppervlak (netto)]]</f>
        <v>660</v>
      </c>
      <c r="W246" s="108">
        <f>IF(U246&gt;0,Ruimtestaat[[#This Row],[Prest. (m2 /jaar) werkdagen]]/Ruimtestaat[[#This Row],[Norm (m2/uur) werkdagen]],0)</f>
        <v>0</v>
      </c>
      <c r="X246" s="109">
        <f>Ruimtestaat[[#This Row],[uren / jaar werkdagen]]*Tariefsopbouw!$E$35</f>
        <v>0</v>
      </c>
      <c r="Y246" s="73"/>
      <c r="Z246" s="73">
        <f>IF(Ruimtestaat[[#This Row],[Frequentie weekend]]&gt;0,VALUE(LEFT(Y246,1))*R246,0)</f>
        <v>0</v>
      </c>
      <c r="AA246" s="72">
        <f>IF($Z246&gt;0,VLOOKUP($J246,Ruimtegroepen[],3,FALSE)*VLOOKUP($L246,Vloersoorten[],3,FALSE)*VLOOKUP($Y246,Frequenties[],3,FALSE)*VLOOKUP(Ruimtestaat[[#This Row],[Code]],Locaties[],3,FALSE),0)</f>
        <v>0</v>
      </c>
      <c r="AB246" s="72">
        <f>Ruimtestaat[[#This Row],[Uitvoeringen weekend]]*Ruimtestaat[[#This Row],[Oppervlak (netto)]]</f>
        <v>0</v>
      </c>
      <c r="AC246" s="72">
        <f>IF(AA246&gt;0,Ruimtestaat[[#This Row],[Prest. (m2 /jaar) weekend]]/Ruimtestaat[[#This Row],[Norm (m2/uur) weekend]],0)</f>
        <v>0</v>
      </c>
      <c r="AD246" s="109">
        <f>Ruimtestaat[[#This Row],[uren / jaar weekend]]*Tariefsopbouw!$D$40</f>
        <v>0</v>
      </c>
      <c r="AE246" s="108">
        <f>Ruimtestaat[[#This Row],[Prest. (m2 /jaar) weekend]]+Ruimtestaat[[#This Row],[Prest. (m2 /jaar) werkdagen]]</f>
        <v>660</v>
      </c>
      <c r="AF246" s="108">
        <f>Ruimtestaat[[#This Row],[uren / jaar weekend]]+Ruimtestaat[[#This Row],[uren / jaar werkdagen]]</f>
        <v>0</v>
      </c>
      <c r="AG246" s="103">
        <f>Ruimtestaat[[#This Row],[kosten / jaar weekend]]+Ruimtestaat[[#This Row],[kosten / jaar werkdagen]]</f>
        <v>0</v>
      </c>
      <c r="AH246" s="103"/>
      <c r="AI246" s="110" t="str">
        <f>IF(Ruimtestaat[[#This Row],[Frequentie werkdagen]]="","",_xlfn.CONCAT(Ruimtestaat[[#This Row],[Ruimte code]],"-",Ruimtestaat[[#This Row],[Frequentie werkdagen]]," ",Ruimtestaat[[#This Row],[Vloer code]]))</f>
        <v>6-5w P</v>
      </c>
      <c r="AJ246" s="114" t="str">
        <f>_xlfn.IFNA(VLOOKUP($AI246,Programma!$F$3:$G$1101,2,0),"")</f>
        <v>_</v>
      </c>
      <c r="AK246" s="114" t="str">
        <f>_xlfn.IFNA(VLOOKUP($AI246,Programma!$F$3:$H$1101,3,0),"")</f>
        <v>_</v>
      </c>
      <c r="AL246" s="114" t="str">
        <f>_xlfn.IFNA(VLOOKUP($AI246,Programma!$F$3:$I$1101,4,0),"")</f>
        <v>5w</v>
      </c>
      <c r="AM246" s="114" t="str">
        <f>_xlfn.IFNA(VLOOKUP($AI246,Programma!$F$3:$J$1101,5,0),"")</f>
        <v>_</v>
      </c>
      <c r="AN246" s="114" t="str">
        <f>_xlfn.IFNA(VLOOKUP($AI246,Programma!$F$3:$K$1101,6,0),"")</f>
        <v>5w</v>
      </c>
      <c r="AO246" s="114" t="str">
        <f>_xlfn.IFNA(VLOOKUP($AI246,Programma!$F$3:$L$1101,7,0),"")</f>
        <v>_</v>
      </c>
      <c r="AP246" s="114" t="str">
        <f>_xlfn.IFNA(VLOOKUP($AI246,Programma!$F$3:$M$1101,8,0),"")</f>
        <v>_</v>
      </c>
      <c r="AQ246" s="114" t="str">
        <f>_xlfn.IFNA(VLOOKUP($AI246,Programma!$F$3:$N$1101,9,0),"")</f>
        <v>_</v>
      </c>
      <c r="AR246" s="114" t="str">
        <f>_xlfn.IFNA(VLOOKUP($AI246,Programma!$F$3:$O$1101,10,0),"")</f>
        <v>5w</v>
      </c>
      <c r="AS246" s="114" t="str">
        <f>_xlfn.IFNA(VLOOKUP($AI246,Programma!$F$3:$P$1101,11,0),"")</f>
        <v>5w</v>
      </c>
      <c r="AT246" s="114" t="str">
        <f>_xlfn.IFNA(VLOOKUP($AI246,Programma!$F$3:$Q$1101,12,0),"")</f>
        <v>1w</v>
      </c>
      <c r="AU246" s="114" t="str">
        <f>_xlfn.IFNA(VLOOKUP($AI246,Programma!$F$3:$R$1101,13,0),"")</f>
        <v>1w</v>
      </c>
      <c r="AV246" s="114" t="str">
        <f>_xlfn.IFNA(VLOOKUP($AI246,Programma!$F$3:$S$1101,14,0),"")</f>
        <v>1m</v>
      </c>
      <c r="AW246" s="114" t="str">
        <f>_xlfn.IFNA(VLOOKUP($AI246,Programma!$F$3:$T$1101,15,0),"")</f>
        <v>2j</v>
      </c>
      <c r="AX246" s="114" t="str">
        <f>_xlfn.IFNA(VLOOKUP($AI246,Programma!$F$3:$U$1101,16,0),"")</f>
        <v>1j</v>
      </c>
      <c r="AY246" s="114" t="str">
        <f>_xlfn.IFNA(VLOOKUP($AI246,Programma!$F$3:$V$1101,17,0),"")</f>
        <v>_</v>
      </c>
      <c r="AZ246" s="114" t="str">
        <f>_xlfn.IFNA(VLOOKUP($AI246,Programma!$F$3:$W$1101,18,0),"")</f>
        <v>_</v>
      </c>
      <c r="BA246" s="114" t="str">
        <f>_xlfn.IFNA(VLOOKUP($AI246,Programma!$F$3:$X$1101,19,0),"")</f>
        <v>_</v>
      </c>
      <c r="BB246" s="114" t="str">
        <f>_xlfn.IFNA(VLOOKUP($AI246,Programma!$F$3:$Y$1101,20,0),"")</f>
        <v>_</v>
      </c>
      <c r="BC246" s="111"/>
      <c r="BD246" s="110" t="str">
        <f>IF(Ruimtestaat[[#This Row],[Frequentie weekend]]="","",_xlfn.CONCAT(Ruimtestaat[[#This Row],[Ruimte code]],"-",Ruimtestaat[[#This Row],[Frequentie weekend]]," ",Ruimtestaat[[#This Row],[Vloer code]]))</f>
        <v/>
      </c>
      <c r="BE246" s="114" t="str">
        <f>_xlfn.IFNA(VLOOKUP($BD246,Programma!$F$3:$G$1101,2,0),"")</f>
        <v/>
      </c>
      <c r="BF246" s="114" t="str">
        <f>_xlfn.IFNA(VLOOKUP($BD246,Programma!$F$3:$H$1101,3,0),"")</f>
        <v/>
      </c>
      <c r="BG246" s="114" t="str">
        <f>_xlfn.IFNA(VLOOKUP($BD246,Programma!$F$3:$I$1101,4,0),"")</f>
        <v/>
      </c>
      <c r="BH246" s="114" t="str">
        <f>_xlfn.IFNA(VLOOKUP($BD246,Programma!$F$3:$J$1101,5,0),"")</f>
        <v/>
      </c>
      <c r="BI246" s="114" t="str">
        <f>_xlfn.IFNA(VLOOKUP($BD246,Programma!$F$3:$K$1101,6,0),"")</f>
        <v/>
      </c>
      <c r="BJ246" s="114" t="str">
        <f>_xlfn.IFNA(VLOOKUP($BD246,Programma!$F$3:$L$1101,7,0),"")</f>
        <v/>
      </c>
      <c r="BK246" s="114" t="str">
        <f>_xlfn.IFNA(VLOOKUP($BD246,Programma!$F$3:$M$1101,8,0),"")</f>
        <v/>
      </c>
      <c r="BL246" s="114" t="str">
        <f>_xlfn.IFNA(VLOOKUP($BD246,Programma!$F$3:$N$1101,9,0),"")</f>
        <v/>
      </c>
      <c r="BM246" s="114" t="str">
        <f>_xlfn.IFNA(VLOOKUP($BD246,Programma!$F$3:$O$1101,10,0),"")</f>
        <v/>
      </c>
      <c r="BN246" s="114" t="str">
        <f>_xlfn.IFNA(VLOOKUP($BD246,Programma!$F$3:$P$1101,11,0),"")</f>
        <v/>
      </c>
      <c r="BO246" s="114" t="str">
        <f>_xlfn.IFNA(VLOOKUP($BD246,Programma!$F$3:$Q$1101,12,0),"")</f>
        <v/>
      </c>
      <c r="BP246" s="114" t="str">
        <f>_xlfn.IFNA(VLOOKUP($BD246,Programma!$F$3:$R$1101,13,0),"")</f>
        <v/>
      </c>
      <c r="BQ246" s="114" t="str">
        <f>_xlfn.IFNA(VLOOKUP($BD246,Programma!$F$3:$S$1101,14,0),"")</f>
        <v/>
      </c>
      <c r="BR246" s="114" t="str">
        <f>_xlfn.IFNA(VLOOKUP($BD246,Programma!$F$3:$T$1101,15,0),"")</f>
        <v/>
      </c>
      <c r="BS246" s="114" t="str">
        <f>_xlfn.IFNA(VLOOKUP($BD246,Programma!$F$3:$U$1101,16,0),"")</f>
        <v/>
      </c>
      <c r="BT246" s="114" t="str">
        <f>_xlfn.IFNA(VLOOKUP($BD246,Programma!$F$3:$V$1101,17,0),"")</f>
        <v/>
      </c>
      <c r="BU246" s="114" t="str">
        <f>_xlfn.IFNA(VLOOKUP($BD246,Programma!$F$3:$W$1101,18,0),"")</f>
        <v/>
      </c>
      <c r="BV246" s="114" t="str">
        <f>_xlfn.IFNA(VLOOKUP($BD246,Programma!$F$3:$X$1101,19,0),"")</f>
        <v/>
      </c>
      <c r="BW246" s="114" t="str">
        <f>_xlfn.IFNA(VLOOKUP($BD246,Programma!$F$3:$Y$1101,20,0),"")</f>
        <v/>
      </c>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8"/>
      <c r="FJ246" s="28"/>
      <c r="FK246" s="28"/>
      <c r="FL246" s="28"/>
      <c r="FM246" s="28"/>
      <c r="FN246" s="28"/>
      <c r="FO246" s="28"/>
      <c r="FP246" s="28"/>
      <c r="FQ246" s="28"/>
      <c r="FR246" s="28"/>
      <c r="FS246" s="28"/>
      <c r="FT246" s="28"/>
      <c r="FU246" s="28"/>
      <c r="FV246" s="28"/>
      <c r="FW246" s="28"/>
      <c r="FX246" s="28"/>
      <c r="FY246" s="28"/>
      <c r="FZ246" s="28"/>
      <c r="GA246" s="28"/>
      <c r="GB246" s="28"/>
      <c r="GC246" s="28"/>
      <c r="GD246" s="28"/>
      <c r="GE246" s="28"/>
      <c r="GF246" s="28"/>
      <c r="GG246" s="28"/>
      <c r="GH246" s="28"/>
      <c r="GI246" s="28"/>
      <c r="GJ246" s="28"/>
      <c r="GK246" s="28"/>
      <c r="GL246" s="28"/>
      <c r="GM246" s="28"/>
      <c r="GN246" s="28"/>
      <c r="GO246" s="28"/>
      <c r="GP246" s="28"/>
      <c r="GQ246" s="28"/>
      <c r="GR246" s="28"/>
      <c r="GS246" s="28"/>
      <c r="GT246" s="28"/>
      <c r="GU246" s="28"/>
      <c r="GV246" s="28"/>
      <c r="GW246" s="28"/>
      <c r="GX246" s="28"/>
      <c r="GY246" s="28"/>
      <c r="GZ246" s="28"/>
      <c r="HA246" s="28"/>
      <c r="HB246" s="28"/>
      <c r="HC246" s="28"/>
      <c r="HD246" s="28"/>
      <c r="HE246" s="28"/>
      <c r="HF246" s="28"/>
      <c r="HG246" s="28"/>
      <c r="HH246" s="28"/>
      <c r="HI246" s="28"/>
      <c r="HJ246" s="28"/>
      <c r="HK246" s="28"/>
      <c r="HL246" s="28"/>
    </row>
    <row r="247" spans="1:220" ht="15" customHeight="1">
      <c r="A247" s="31">
        <v>5</v>
      </c>
      <c r="B247" s="105" t="str">
        <f>VLOOKUP(Ruimtestaat[[#This Row],[Code]],Locaties[[Code]:[Locatie]],2,FALSE)</f>
        <v>IKC Remigius</v>
      </c>
      <c r="C247" s="105" t="str">
        <f>VLOOKUP(Ruimtestaat[[#This Row],[Code]],Locaties[[#All],[Code]:[Adres]],4,FALSE)</f>
        <v>Liemersplein 1</v>
      </c>
      <c r="D247" s="105" t="str">
        <f>VLOOKUP(Ruimtestaat[[#This Row],[Code]],Locaties[[#All],[Code]:[Postcode]],5,FALSE)</f>
        <v xml:space="preserve">6921 HN </v>
      </c>
      <c r="E247" s="105" t="str">
        <f>VLOOKUP(Ruimtestaat[[#This Row],[Code]],Locaties[#All],6,FALSE)</f>
        <v>Duiven</v>
      </c>
      <c r="F247" s="113"/>
      <c r="G247" s="31" t="s">
        <v>1826</v>
      </c>
      <c r="H247" s="31" t="s">
        <v>1854</v>
      </c>
      <c r="I247" s="113" t="s">
        <v>1659</v>
      </c>
      <c r="J247" s="31">
        <v>6</v>
      </c>
      <c r="K247" s="113" t="str">
        <f>VLOOKUP(Ruimtestaat[[#This Row],[Ruimte code]],Ruimtegroepen[[#All],[Code]:[Ruimte omschrijving]],2,FALSE)</f>
        <v>Gangen/hallen</v>
      </c>
      <c r="L247" s="73" t="s">
        <v>102</v>
      </c>
      <c r="M247" s="273" t="s">
        <v>120</v>
      </c>
      <c r="N247" s="106">
        <v>13.4</v>
      </c>
      <c r="O247" s="112"/>
      <c r="P247" s="112"/>
      <c r="Q247" s="107" t="str">
        <f>VLOOKUP(Ruimtestaat[[#This Row],[Ruimte code]],Ruimtegroepen[],4,FALSE)</f>
        <v>Ve</v>
      </c>
      <c r="R247" s="73">
        <v>40</v>
      </c>
      <c r="S247" s="73" t="s">
        <v>2</v>
      </c>
      <c r="T247" s="73">
        <f>IF(R247&gt;0,IF(RIGHT(Ruimtestaat[[#This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7" s="73">
        <f>IF(T247&gt;0,VLOOKUP($J247,Ruimtegroepen[],3,FALSE)*VLOOKUP($L247,Vloersoorten[],3,FALSE)*VLOOKUP($S247,Frequenties[],3,FALSE)*VLOOKUP($A247,Locaties[],3,FALSE),0)</f>
        <v>0</v>
      </c>
      <c r="V247" s="73">
        <f>Ruimtestaat[[#This Row],[Uitvoeringen werkdagen]]*Ruimtestaat[[#This Row],[Oppervlak (netto)]]</f>
        <v>2680</v>
      </c>
      <c r="W247" s="108">
        <f>IF(U247&gt;0,Ruimtestaat[[#This Row],[Prest. (m2 /jaar) werkdagen]]/Ruimtestaat[[#This Row],[Norm (m2/uur) werkdagen]],0)</f>
        <v>0</v>
      </c>
      <c r="X247" s="109">
        <f>Ruimtestaat[[#This Row],[uren / jaar werkdagen]]*Tariefsopbouw!$E$35</f>
        <v>0</v>
      </c>
      <c r="Y247" s="73"/>
      <c r="Z247" s="73">
        <f>IF(Ruimtestaat[[#This Row],[Frequentie weekend]]&gt;0,VALUE(LEFT(Y247,1))*R247,0)</f>
        <v>0</v>
      </c>
      <c r="AA247" s="72">
        <f>IF($Z247&gt;0,VLOOKUP($J247,Ruimtegroepen[],3,FALSE)*VLOOKUP($L247,Vloersoorten[],3,FALSE)*VLOOKUP($Y247,Frequenties[],3,FALSE)*VLOOKUP(Ruimtestaat[[#This Row],[Code]],Locaties[],3,FALSE),0)</f>
        <v>0</v>
      </c>
      <c r="AB247" s="72">
        <f>Ruimtestaat[[#This Row],[Uitvoeringen weekend]]*Ruimtestaat[[#This Row],[Oppervlak (netto)]]</f>
        <v>0</v>
      </c>
      <c r="AC247" s="72">
        <f>IF(AA247&gt;0,Ruimtestaat[[#This Row],[Prest. (m2 /jaar) weekend]]/Ruimtestaat[[#This Row],[Norm (m2/uur) weekend]],0)</f>
        <v>0</v>
      </c>
      <c r="AD247" s="109">
        <f>Ruimtestaat[[#This Row],[uren / jaar weekend]]*Tariefsopbouw!$D$40</f>
        <v>0</v>
      </c>
      <c r="AE247" s="108">
        <f>Ruimtestaat[[#This Row],[Prest. (m2 /jaar) weekend]]+Ruimtestaat[[#This Row],[Prest. (m2 /jaar) werkdagen]]</f>
        <v>2680</v>
      </c>
      <c r="AF247" s="108">
        <f>Ruimtestaat[[#This Row],[uren / jaar weekend]]+Ruimtestaat[[#This Row],[uren / jaar werkdagen]]</f>
        <v>0</v>
      </c>
      <c r="AG247" s="103">
        <f>Ruimtestaat[[#This Row],[kosten / jaar weekend]]+Ruimtestaat[[#This Row],[kosten / jaar werkdagen]]</f>
        <v>0</v>
      </c>
      <c r="AH247" s="103"/>
      <c r="AI247" s="110" t="str">
        <f>IF(Ruimtestaat[[#This Row],[Frequentie werkdagen]]="","",_xlfn.CONCAT(Ruimtestaat[[#This Row],[Ruimte code]],"-",Ruimtestaat[[#This Row],[Frequentie werkdagen]]," ",Ruimtestaat[[#This Row],[Vloer code]]))</f>
        <v>6-5w P</v>
      </c>
      <c r="AJ247" s="114" t="str">
        <f>_xlfn.IFNA(VLOOKUP($AI247,Programma!$F$3:$G$1101,2,0),"")</f>
        <v>_</v>
      </c>
      <c r="AK247" s="114" t="str">
        <f>_xlfn.IFNA(VLOOKUP($AI247,Programma!$F$3:$H$1101,3,0),"")</f>
        <v>_</v>
      </c>
      <c r="AL247" s="114" t="str">
        <f>_xlfn.IFNA(VLOOKUP($AI247,Programma!$F$3:$I$1101,4,0),"")</f>
        <v>5w</v>
      </c>
      <c r="AM247" s="114" t="str">
        <f>_xlfn.IFNA(VLOOKUP($AI247,Programma!$F$3:$J$1101,5,0),"")</f>
        <v>_</v>
      </c>
      <c r="AN247" s="114" t="str">
        <f>_xlfn.IFNA(VLOOKUP($AI247,Programma!$F$3:$K$1101,6,0),"")</f>
        <v>5w</v>
      </c>
      <c r="AO247" s="114" t="str">
        <f>_xlfn.IFNA(VLOOKUP($AI247,Programma!$F$3:$L$1101,7,0),"")</f>
        <v>_</v>
      </c>
      <c r="AP247" s="114" t="str">
        <f>_xlfn.IFNA(VLOOKUP($AI247,Programma!$F$3:$M$1101,8,0),"")</f>
        <v>_</v>
      </c>
      <c r="AQ247" s="114" t="str">
        <f>_xlfn.IFNA(VLOOKUP($AI247,Programma!$F$3:$N$1101,9,0),"")</f>
        <v>_</v>
      </c>
      <c r="AR247" s="114" t="str">
        <f>_xlfn.IFNA(VLOOKUP($AI247,Programma!$F$3:$O$1101,10,0),"")</f>
        <v>5w</v>
      </c>
      <c r="AS247" s="114" t="str">
        <f>_xlfn.IFNA(VLOOKUP($AI247,Programma!$F$3:$P$1101,11,0),"")</f>
        <v>5w</v>
      </c>
      <c r="AT247" s="114" t="str">
        <f>_xlfn.IFNA(VLOOKUP($AI247,Programma!$F$3:$Q$1101,12,0),"")</f>
        <v>1w</v>
      </c>
      <c r="AU247" s="114" t="str">
        <f>_xlfn.IFNA(VLOOKUP($AI247,Programma!$F$3:$R$1101,13,0),"")</f>
        <v>1w</v>
      </c>
      <c r="AV247" s="114" t="str">
        <f>_xlfn.IFNA(VLOOKUP($AI247,Programma!$F$3:$S$1101,14,0),"")</f>
        <v>1m</v>
      </c>
      <c r="AW247" s="114" t="str">
        <f>_xlfn.IFNA(VLOOKUP($AI247,Programma!$F$3:$T$1101,15,0),"")</f>
        <v>2j</v>
      </c>
      <c r="AX247" s="114" t="str">
        <f>_xlfn.IFNA(VLOOKUP($AI247,Programma!$F$3:$U$1101,16,0),"")</f>
        <v>1j</v>
      </c>
      <c r="AY247" s="114" t="str">
        <f>_xlfn.IFNA(VLOOKUP($AI247,Programma!$F$3:$V$1101,17,0),"")</f>
        <v>_</v>
      </c>
      <c r="AZ247" s="114" t="str">
        <f>_xlfn.IFNA(VLOOKUP($AI247,Programma!$F$3:$W$1101,18,0),"")</f>
        <v>_</v>
      </c>
      <c r="BA247" s="114" t="str">
        <f>_xlfn.IFNA(VLOOKUP($AI247,Programma!$F$3:$X$1101,19,0),"")</f>
        <v>_</v>
      </c>
      <c r="BB247" s="114" t="str">
        <f>_xlfn.IFNA(VLOOKUP($AI247,Programma!$F$3:$Y$1101,20,0),"")</f>
        <v>_</v>
      </c>
      <c r="BC247" s="111"/>
      <c r="BD247" s="110" t="str">
        <f>IF(Ruimtestaat[[#This Row],[Frequentie weekend]]="","",_xlfn.CONCAT(Ruimtestaat[[#This Row],[Ruimte code]],"-",Ruimtestaat[[#This Row],[Frequentie weekend]]," ",Ruimtestaat[[#This Row],[Vloer code]]))</f>
        <v/>
      </c>
      <c r="BE247" s="114" t="str">
        <f>_xlfn.IFNA(VLOOKUP($BD247,Programma!$F$3:$G$1101,2,0),"")</f>
        <v/>
      </c>
      <c r="BF247" s="114" t="str">
        <f>_xlfn.IFNA(VLOOKUP($BD247,Programma!$F$3:$H$1101,3,0),"")</f>
        <v/>
      </c>
      <c r="BG247" s="114" t="str">
        <f>_xlfn.IFNA(VLOOKUP($BD247,Programma!$F$3:$I$1101,4,0),"")</f>
        <v/>
      </c>
      <c r="BH247" s="114" t="str">
        <f>_xlfn.IFNA(VLOOKUP($BD247,Programma!$F$3:$J$1101,5,0),"")</f>
        <v/>
      </c>
      <c r="BI247" s="114" t="str">
        <f>_xlfn.IFNA(VLOOKUP($BD247,Programma!$F$3:$K$1101,6,0),"")</f>
        <v/>
      </c>
      <c r="BJ247" s="114" t="str">
        <f>_xlfn.IFNA(VLOOKUP($BD247,Programma!$F$3:$L$1101,7,0),"")</f>
        <v/>
      </c>
      <c r="BK247" s="114" t="str">
        <f>_xlfn.IFNA(VLOOKUP($BD247,Programma!$F$3:$M$1101,8,0),"")</f>
        <v/>
      </c>
      <c r="BL247" s="114" t="str">
        <f>_xlfn.IFNA(VLOOKUP($BD247,Programma!$F$3:$N$1101,9,0),"")</f>
        <v/>
      </c>
      <c r="BM247" s="114" t="str">
        <f>_xlfn.IFNA(VLOOKUP($BD247,Programma!$F$3:$O$1101,10,0),"")</f>
        <v/>
      </c>
      <c r="BN247" s="114" t="str">
        <f>_xlfn.IFNA(VLOOKUP($BD247,Programma!$F$3:$P$1101,11,0),"")</f>
        <v/>
      </c>
      <c r="BO247" s="114" t="str">
        <f>_xlfn.IFNA(VLOOKUP($BD247,Programma!$F$3:$Q$1101,12,0),"")</f>
        <v/>
      </c>
      <c r="BP247" s="114" t="str">
        <f>_xlfn.IFNA(VLOOKUP($BD247,Programma!$F$3:$R$1101,13,0),"")</f>
        <v/>
      </c>
      <c r="BQ247" s="114" t="str">
        <f>_xlfn.IFNA(VLOOKUP($BD247,Programma!$F$3:$S$1101,14,0),"")</f>
        <v/>
      </c>
      <c r="BR247" s="114" t="str">
        <f>_xlfn.IFNA(VLOOKUP($BD247,Programma!$F$3:$T$1101,15,0),"")</f>
        <v/>
      </c>
      <c r="BS247" s="114" t="str">
        <f>_xlfn.IFNA(VLOOKUP($BD247,Programma!$F$3:$U$1101,16,0),"")</f>
        <v/>
      </c>
      <c r="BT247" s="114" t="str">
        <f>_xlfn.IFNA(VLOOKUP($BD247,Programma!$F$3:$V$1101,17,0),"")</f>
        <v/>
      </c>
      <c r="BU247" s="114" t="str">
        <f>_xlfn.IFNA(VLOOKUP($BD247,Programma!$F$3:$W$1101,18,0),"")</f>
        <v/>
      </c>
      <c r="BV247" s="114" t="str">
        <f>_xlfn.IFNA(VLOOKUP($BD247,Programma!$F$3:$X$1101,19,0),"")</f>
        <v/>
      </c>
      <c r="BW247" s="114" t="str">
        <f>_xlfn.IFNA(VLOOKUP($BD247,Programma!$F$3:$Y$1101,20,0),"")</f>
        <v/>
      </c>
      <c r="BX247" s="28"/>
      <c r="BY247" s="28"/>
      <c r="BZ247" s="28"/>
      <c r="CA247" s="28"/>
      <c r="CB247" s="28"/>
      <c r="CC247" s="28"/>
      <c r="CD247" s="28"/>
      <c r="CE247" s="28"/>
      <c r="CF247" s="28"/>
      <c r="CG247" s="28"/>
      <c r="CH247" s="28"/>
      <c r="CI247" s="28"/>
      <c r="CJ247" s="28"/>
      <c r="CK247" s="28"/>
      <c r="CL247" s="28"/>
      <c r="CM247" s="28"/>
      <c r="CN247" s="28"/>
      <c r="CO247" s="28"/>
      <c r="CP247" s="28"/>
      <c r="CQ247" s="28"/>
      <c r="CR247" s="28"/>
      <c r="CS247" s="28"/>
      <c r="CT247" s="28"/>
      <c r="CU247" s="28"/>
      <c r="CV247" s="28"/>
      <c r="CW247" s="28"/>
      <c r="CX247" s="28"/>
      <c r="CY247" s="28"/>
      <c r="CZ247" s="28"/>
      <c r="DA247" s="28"/>
      <c r="DB247" s="28"/>
      <c r="DC247" s="28"/>
      <c r="DD247" s="28"/>
      <c r="DE247" s="28"/>
      <c r="DF247" s="28"/>
      <c r="DG247" s="28"/>
      <c r="DH247" s="28"/>
      <c r="DI247" s="28"/>
      <c r="DJ247" s="28"/>
      <c r="DK247" s="28"/>
      <c r="DL247" s="28"/>
      <c r="DM247" s="28"/>
      <c r="DN247" s="28"/>
      <c r="DO247" s="28"/>
      <c r="DP247" s="28"/>
      <c r="DQ247" s="28"/>
      <c r="DR247" s="28"/>
      <c r="DS247" s="28"/>
      <c r="DT247" s="28"/>
      <c r="DU247" s="28"/>
      <c r="DV247" s="28"/>
      <c r="DW247" s="28"/>
      <c r="DX247" s="28"/>
      <c r="DY247" s="28"/>
      <c r="DZ247" s="28"/>
      <c r="EA247" s="28"/>
      <c r="EB247" s="28"/>
      <c r="EC247" s="28"/>
      <c r="ED247" s="28"/>
      <c r="EE247" s="28"/>
      <c r="EF247" s="28"/>
      <c r="EG247" s="28"/>
      <c r="EH247" s="28"/>
      <c r="EI247" s="28"/>
      <c r="EJ247" s="28"/>
      <c r="EK247" s="28"/>
      <c r="EL247" s="28"/>
      <c r="EM247" s="28"/>
      <c r="EN247" s="28"/>
      <c r="EO247" s="28"/>
      <c r="EP247" s="28"/>
      <c r="EQ247" s="28"/>
      <c r="ER247" s="28"/>
      <c r="ES247" s="28"/>
      <c r="ET247" s="28"/>
      <c r="EU247" s="28"/>
      <c r="EV247" s="28"/>
      <c r="EW247" s="28"/>
      <c r="EX247" s="28"/>
      <c r="EY247" s="28"/>
      <c r="EZ247" s="28"/>
      <c r="FA247" s="28"/>
      <c r="FB247" s="28"/>
      <c r="FC247" s="28"/>
      <c r="FD247" s="28"/>
      <c r="FE247" s="28"/>
      <c r="FF247" s="28"/>
      <c r="FG247" s="28"/>
      <c r="FH247" s="28"/>
      <c r="FI247" s="28"/>
      <c r="FJ247" s="28"/>
      <c r="FK247" s="28"/>
      <c r="FL247" s="28"/>
      <c r="FM247" s="28"/>
      <c r="FN247" s="28"/>
      <c r="FO247" s="28"/>
      <c r="FP247" s="28"/>
      <c r="FQ247" s="28"/>
      <c r="FR247" s="28"/>
      <c r="FS247" s="28"/>
      <c r="FT247" s="28"/>
      <c r="FU247" s="28"/>
      <c r="FV247" s="28"/>
      <c r="FW247" s="28"/>
      <c r="FX247" s="28"/>
      <c r="FY247" s="28"/>
      <c r="FZ247" s="28"/>
      <c r="GA247" s="28"/>
      <c r="GB247" s="28"/>
      <c r="GC247" s="28"/>
      <c r="GD247" s="28"/>
      <c r="GE247" s="28"/>
      <c r="GF247" s="28"/>
      <c r="GG247" s="28"/>
      <c r="GH247" s="28"/>
      <c r="GI247" s="28"/>
      <c r="GJ247" s="28"/>
      <c r="GK247" s="28"/>
      <c r="GL247" s="28"/>
      <c r="GM247" s="28"/>
      <c r="GN247" s="28"/>
      <c r="GO247" s="28"/>
      <c r="GP247" s="28"/>
      <c r="GQ247" s="28"/>
      <c r="GR247" s="28"/>
      <c r="GS247" s="28"/>
      <c r="GT247" s="28"/>
      <c r="GU247" s="28"/>
      <c r="GV247" s="28"/>
      <c r="GW247" s="28"/>
      <c r="GX247" s="28"/>
      <c r="GY247" s="28"/>
      <c r="GZ247" s="28"/>
      <c r="HA247" s="28"/>
      <c r="HB247" s="28"/>
      <c r="HC247" s="28"/>
      <c r="HD247" s="28"/>
      <c r="HE247" s="28"/>
      <c r="HF247" s="28"/>
      <c r="HG247" s="28"/>
      <c r="HH247" s="28"/>
      <c r="HI247" s="28"/>
      <c r="HJ247" s="28"/>
      <c r="HK247" s="28"/>
      <c r="HL247" s="28"/>
    </row>
    <row r="248" spans="1:220" ht="15" customHeight="1">
      <c r="A248" s="31">
        <v>5</v>
      </c>
      <c r="B248" s="105" t="str">
        <f>VLOOKUP(Ruimtestaat[[#This Row],[Code]],Locaties[[Code]:[Locatie]],2,FALSE)</f>
        <v>IKC Remigius</v>
      </c>
      <c r="C248" s="105" t="str">
        <f>VLOOKUP(Ruimtestaat[[#This Row],[Code]],Locaties[[#All],[Code]:[Adres]],4,FALSE)</f>
        <v>Liemersplein 1</v>
      </c>
      <c r="D248" s="105" t="str">
        <f>VLOOKUP(Ruimtestaat[[#This Row],[Code]],Locaties[[#All],[Code]:[Postcode]],5,FALSE)</f>
        <v xml:space="preserve">6921 HN </v>
      </c>
      <c r="E248" s="105" t="str">
        <f>VLOOKUP(Ruimtestaat[[#This Row],[Code]],Locaties[#All],6,FALSE)</f>
        <v>Duiven</v>
      </c>
      <c r="F248" s="113"/>
      <c r="G248" s="31" t="s">
        <v>1826</v>
      </c>
      <c r="H248" s="31" t="s">
        <v>1856</v>
      </c>
      <c r="I248" s="113" t="s">
        <v>1813</v>
      </c>
      <c r="J248" s="31">
        <v>1</v>
      </c>
      <c r="K248" s="113" t="str">
        <f>VLOOKUP(Ruimtestaat[[#This Row],[Ruimte code]],Ruimtegroepen[[#All],[Code]:[Ruimte omschrijving]],2,FALSE)</f>
        <v>Magazijnen/bergingen</v>
      </c>
      <c r="L248" s="73" t="s">
        <v>102</v>
      </c>
      <c r="M248" s="273" t="s">
        <v>120</v>
      </c>
      <c r="N248" s="106">
        <v>2</v>
      </c>
      <c r="O248" s="112"/>
      <c r="P248" s="112"/>
      <c r="Q248" s="107" t="str">
        <f>VLOOKUP(Ruimtestaat[[#This Row],[Ruimte code]],Ruimtegroepen[],4,FALSE)</f>
        <v>Ve</v>
      </c>
      <c r="R248" s="73">
        <v>40</v>
      </c>
      <c r="S248" s="73" t="s">
        <v>16</v>
      </c>
      <c r="T248" s="73">
        <f>IF(R248&gt;0,IF(RIGHT(Ruimtestaat[[#This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48" s="73">
        <f>IF(T248&gt;0,VLOOKUP($J248,Ruimtegroepen[],3,FALSE)*VLOOKUP($L248,Vloersoorten[],3,FALSE)*VLOOKUP($S248,Frequenties[],3,FALSE)*VLOOKUP($A248,Locaties[],3,FALSE),0)</f>
        <v>0</v>
      </c>
      <c r="V248" s="73">
        <f>Ruimtestaat[[#This Row],[Uitvoeringen werkdagen]]*Ruimtestaat[[#This Row],[Oppervlak (netto)]]</f>
        <v>24</v>
      </c>
      <c r="W248" s="108">
        <f>IF(U248&gt;0,Ruimtestaat[[#This Row],[Prest. (m2 /jaar) werkdagen]]/Ruimtestaat[[#This Row],[Norm (m2/uur) werkdagen]],0)</f>
        <v>0</v>
      </c>
      <c r="X248" s="109">
        <f>Ruimtestaat[[#This Row],[uren / jaar werkdagen]]*Tariefsopbouw!$E$35</f>
        <v>0</v>
      </c>
      <c r="Y248" s="73"/>
      <c r="Z248" s="73">
        <f>IF(Ruimtestaat[[#This Row],[Frequentie weekend]]&gt;0,VALUE(LEFT(Y248,1))*R248,0)</f>
        <v>0</v>
      </c>
      <c r="AA248" s="72">
        <f>IF($Z248&gt;0,VLOOKUP($J248,Ruimtegroepen[],3,FALSE)*VLOOKUP($L248,Vloersoorten[],3,FALSE)*VLOOKUP($Y248,Frequenties[],3,FALSE)*VLOOKUP(Ruimtestaat[[#This Row],[Code]],Locaties[],3,FALSE),0)</f>
        <v>0</v>
      </c>
      <c r="AB248" s="72">
        <f>Ruimtestaat[[#This Row],[Uitvoeringen weekend]]*Ruimtestaat[[#This Row],[Oppervlak (netto)]]</f>
        <v>0</v>
      </c>
      <c r="AC248" s="72">
        <f>IF(AA248&gt;0,Ruimtestaat[[#This Row],[Prest. (m2 /jaar) weekend]]/Ruimtestaat[[#This Row],[Norm (m2/uur) weekend]],0)</f>
        <v>0</v>
      </c>
      <c r="AD248" s="109">
        <f>Ruimtestaat[[#This Row],[uren / jaar weekend]]*Tariefsopbouw!$D$40</f>
        <v>0</v>
      </c>
      <c r="AE248" s="108">
        <f>Ruimtestaat[[#This Row],[Prest. (m2 /jaar) weekend]]+Ruimtestaat[[#This Row],[Prest. (m2 /jaar) werkdagen]]</f>
        <v>24</v>
      </c>
      <c r="AF248" s="108">
        <f>Ruimtestaat[[#This Row],[uren / jaar weekend]]+Ruimtestaat[[#This Row],[uren / jaar werkdagen]]</f>
        <v>0</v>
      </c>
      <c r="AG248" s="103">
        <f>Ruimtestaat[[#This Row],[kosten / jaar weekend]]+Ruimtestaat[[#This Row],[kosten / jaar werkdagen]]</f>
        <v>0</v>
      </c>
      <c r="AH248" s="103"/>
      <c r="AI248" s="110" t="str">
        <f>IF(Ruimtestaat[[#This Row],[Frequentie werkdagen]]="","",_xlfn.CONCAT(Ruimtestaat[[#This Row],[Ruimte code]],"-",Ruimtestaat[[#This Row],[Frequentie werkdagen]]," ",Ruimtestaat[[#This Row],[Vloer code]]))</f>
        <v>1-1m P</v>
      </c>
      <c r="AJ248" s="114" t="str">
        <f>_xlfn.IFNA(VLOOKUP($AI248,Programma!$F$3:$G$1101,2,0),"")</f>
        <v>_</v>
      </c>
      <c r="AK248" s="114" t="str">
        <f>_xlfn.IFNA(VLOOKUP($AI248,Programma!$F$3:$H$1101,3,0),"")</f>
        <v>_</v>
      </c>
      <c r="AL248" s="114" t="str">
        <f>_xlfn.IFNA(VLOOKUP($AI248,Programma!$F$3:$I$1101,4,0),"")</f>
        <v>1m</v>
      </c>
      <c r="AM248" s="114" t="str">
        <f>_xlfn.IFNA(VLOOKUP($AI248,Programma!$F$3:$J$1101,5,0),"")</f>
        <v>1m</v>
      </c>
      <c r="AN248" s="114" t="str">
        <f>_xlfn.IFNA(VLOOKUP($AI248,Programma!$F$3:$K$1101,6,0),"")</f>
        <v>1j</v>
      </c>
      <c r="AO248" s="114" t="str">
        <f>_xlfn.IFNA(VLOOKUP($AI248,Programma!$F$3:$L$1101,7,0),"")</f>
        <v>_</v>
      </c>
      <c r="AP248" s="114" t="str">
        <f>_xlfn.IFNA(VLOOKUP($AI248,Programma!$F$3:$M$1101,8,0),"")</f>
        <v>_</v>
      </c>
      <c r="AQ248" s="114" t="str">
        <f>_xlfn.IFNA(VLOOKUP($AI248,Programma!$F$3:$N$1101,9,0),"")</f>
        <v>_</v>
      </c>
      <c r="AR248" s="114" t="str">
        <f>_xlfn.IFNA(VLOOKUP($AI248,Programma!$F$3:$O$1101,10,0),"")</f>
        <v>_</v>
      </c>
      <c r="AS248" s="114" t="str">
        <f>_xlfn.IFNA(VLOOKUP($AI248,Programma!$F$3:$P$1101,11,0),"")</f>
        <v>_</v>
      </c>
      <c r="AT248" s="114" t="str">
        <f>_xlfn.IFNA(VLOOKUP($AI248,Programma!$F$3:$Q$1101,12,0),"")</f>
        <v>_</v>
      </c>
      <c r="AU248" s="114" t="str">
        <f>_xlfn.IFNA(VLOOKUP($AI248,Programma!$F$3:$R$1101,13,0),"")</f>
        <v>_</v>
      </c>
      <c r="AV248" s="114" t="str">
        <f>_xlfn.IFNA(VLOOKUP($AI248,Programma!$F$3:$S$1101,14,0),"")</f>
        <v>1m</v>
      </c>
      <c r="AW248" s="114" t="str">
        <f>_xlfn.IFNA(VLOOKUP($AI248,Programma!$F$3:$T$1101,15,0),"")</f>
        <v>4j</v>
      </c>
      <c r="AX248" s="114" t="str">
        <f>_xlfn.IFNA(VLOOKUP($AI248,Programma!$F$3:$U$1101,16,0),"")</f>
        <v>4j</v>
      </c>
      <c r="AY248" s="114" t="str">
        <f>_xlfn.IFNA(VLOOKUP($AI248,Programma!$F$3:$V$1101,17,0),"")</f>
        <v>_</v>
      </c>
      <c r="AZ248" s="114" t="str">
        <f>_xlfn.IFNA(VLOOKUP($AI248,Programma!$F$3:$W$1101,18,0),"")</f>
        <v>_</v>
      </c>
      <c r="BA248" s="114" t="str">
        <f>_xlfn.IFNA(VLOOKUP($AI248,Programma!$F$3:$X$1101,19,0),"")</f>
        <v>_</v>
      </c>
      <c r="BB248" s="114" t="str">
        <f>_xlfn.IFNA(VLOOKUP($AI248,Programma!$F$3:$Y$1101,20,0),"")</f>
        <v>_</v>
      </c>
      <c r="BC248" s="111"/>
      <c r="BD248" s="110" t="str">
        <f>IF(Ruimtestaat[[#This Row],[Frequentie weekend]]="","",_xlfn.CONCAT(Ruimtestaat[[#This Row],[Ruimte code]],"-",Ruimtestaat[[#This Row],[Frequentie weekend]]," ",Ruimtestaat[[#This Row],[Vloer code]]))</f>
        <v/>
      </c>
      <c r="BE248" s="114" t="str">
        <f>_xlfn.IFNA(VLOOKUP($BD248,Programma!$F$3:$G$1101,2,0),"")</f>
        <v/>
      </c>
      <c r="BF248" s="114" t="str">
        <f>_xlfn.IFNA(VLOOKUP($BD248,Programma!$F$3:$H$1101,3,0),"")</f>
        <v/>
      </c>
      <c r="BG248" s="114" t="str">
        <f>_xlfn.IFNA(VLOOKUP($BD248,Programma!$F$3:$I$1101,4,0),"")</f>
        <v/>
      </c>
      <c r="BH248" s="114" t="str">
        <f>_xlfn.IFNA(VLOOKUP($BD248,Programma!$F$3:$J$1101,5,0),"")</f>
        <v/>
      </c>
      <c r="BI248" s="114" t="str">
        <f>_xlfn.IFNA(VLOOKUP($BD248,Programma!$F$3:$K$1101,6,0),"")</f>
        <v/>
      </c>
      <c r="BJ248" s="114" t="str">
        <f>_xlfn.IFNA(VLOOKUP($BD248,Programma!$F$3:$L$1101,7,0),"")</f>
        <v/>
      </c>
      <c r="BK248" s="114" t="str">
        <f>_xlfn.IFNA(VLOOKUP($BD248,Programma!$F$3:$M$1101,8,0),"")</f>
        <v/>
      </c>
      <c r="BL248" s="114" t="str">
        <f>_xlfn.IFNA(VLOOKUP($BD248,Programma!$F$3:$N$1101,9,0),"")</f>
        <v/>
      </c>
      <c r="BM248" s="114" t="str">
        <f>_xlfn.IFNA(VLOOKUP($BD248,Programma!$F$3:$O$1101,10,0),"")</f>
        <v/>
      </c>
      <c r="BN248" s="114" t="str">
        <f>_xlfn.IFNA(VLOOKUP($BD248,Programma!$F$3:$P$1101,11,0),"")</f>
        <v/>
      </c>
      <c r="BO248" s="114" t="str">
        <f>_xlfn.IFNA(VLOOKUP($BD248,Programma!$F$3:$Q$1101,12,0),"")</f>
        <v/>
      </c>
      <c r="BP248" s="114" t="str">
        <f>_xlfn.IFNA(VLOOKUP($BD248,Programma!$F$3:$R$1101,13,0),"")</f>
        <v/>
      </c>
      <c r="BQ248" s="114" t="str">
        <f>_xlfn.IFNA(VLOOKUP($BD248,Programma!$F$3:$S$1101,14,0),"")</f>
        <v/>
      </c>
      <c r="BR248" s="114" t="str">
        <f>_xlfn.IFNA(VLOOKUP($BD248,Programma!$F$3:$T$1101,15,0),"")</f>
        <v/>
      </c>
      <c r="BS248" s="114" t="str">
        <f>_xlfn.IFNA(VLOOKUP($BD248,Programma!$F$3:$U$1101,16,0),"")</f>
        <v/>
      </c>
      <c r="BT248" s="114" t="str">
        <f>_xlfn.IFNA(VLOOKUP($BD248,Programma!$F$3:$V$1101,17,0),"")</f>
        <v/>
      </c>
      <c r="BU248" s="114" t="str">
        <f>_xlfn.IFNA(VLOOKUP($BD248,Programma!$F$3:$W$1101,18,0),"")</f>
        <v/>
      </c>
      <c r="BV248" s="114" t="str">
        <f>_xlfn.IFNA(VLOOKUP($BD248,Programma!$F$3:$X$1101,19,0),"")</f>
        <v/>
      </c>
      <c r="BW248" s="114" t="str">
        <f>_xlfn.IFNA(VLOOKUP($BD248,Programma!$F$3:$Y$1101,20,0),"")</f>
        <v/>
      </c>
      <c r="BX248" s="28"/>
      <c r="BY248" s="28"/>
      <c r="BZ248" s="28"/>
      <c r="CA248" s="28"/>
      <c r="CB248" s="28"/>
      <c r="CC248" s="28"/>
      <c r="CD248" s="28"/>
      <c r="CE248" s="28"/>
      <c r="CF248" s="28"/>
      <c r="CG248" s="28"/>
      <c r="CH248" s="28"/>
      <c r="CI248" s="28"/>
      <c r="CJ248" s="28"/>
      <c r="CK248" s="28"/>
      <c r="CL248" s="28"/>
      <c r="CM248" s="28"/>
      <c r="CN248" s="28"/>
      <c r="CO248" s="28"/>
      <c r="CP248" s="28"/>
      <c r="CQ248" s="28"/>
      <c r="CR248" s="28"/>
      <c r="CS248" s="28"/>
      <c r="CT248" s="28"/>
      <c r="CU248" s="28"/>
      <c r="CV248" s="28"/>
      <c r="CW248" s="28"/>
      <c r="CX248" s="28"/>
      <c r="CY248" s="28"/>
      <c r="CZ248" s="28"/>
      <c r="DA248" s="28"/>
      <c r="DB248" s="28"/>
      <c r="DC248" s="28"/>
      <c r="DD248" s="28"/>
      <c r="DE248" s="28"/>
      <c r="DF248" s="28"/>
      <c r="DG248" s="28"/>
      <c r="DH248" s="28"/>
      <c r="DI248" s="28"/>
      <c r="DJ248" s="28"/>
      <c r="DK248" s="28"/>
      <c r="DL248" s="28"/>
      <c r="DM248" s="28"/>
      <c r="DN248" s="28"/>
      <c r="DO248" s="28"/>
      <c r="DP248" s="28"/>
      <c r="DQ248" s="28"/>
      <c r="DR248" s="28"/>
      <c r="DS248" s="28"/>
      <c r="DT248" s="28"/>
      <c r="DU248" s="28"/>
      <c r="DV248" s="28"/>
      <c r="DW248" s="28"/>
      <c r="DX248" s="28"/>
      <c r="DY248" s="28"/>
      <c r="DZ248" s="28"/>
      <c r="EA248" s="28"/>
      <c r="EB248" s="28"/>
      <c r="EC248" s="28"/>
      <c r="ED248" s="28"/>
      <c r="EE248" s="28"/>
      <c r="EF248" s="28"/>
      <c r="EG248" s="28"/>
      <c r="EH248" s="28"/>
      <c r="EI248" s="28"/>
      <c r="EJ248" s="28"/>
      <c r="EK248" s="28"/>
      <c r="EL248" s="28"/>
      <c r="EM248" s="28"/>
      <c r="EN248" s="28"/>
      <c r="EO248" s="28"/>
      <c r="EP248" s="28"/>
      <c r="EQ248" s="28"/>
      <c r="ER248" s="28"/>
      <c r="ES248" s="28"/>
      <c r="ET248" s="28"/>
      <c r="EU248" s="28"/>
      <c r="EV248" s="28"/>
      <c r="EW248" s="28"/>
      <c r="EX248" s="28"/>
      <c r="EY248" s="28"/>
      <c r="EZ248" s="28"/>
      <c r="FA248" s="28"/>
      <c r="FB248" s="28"/>
      <c r="FC248" s="28"/>
      <c r="FD248" s="28"/>
      <c r="FE248" s="28"/>
      <c r="FF248" s="28"/>
      <c r="FG248" s="28"/>
      <c r="FH248" s="28"/>
      <c r="FI248" s="28"/>
      <c r="FJ248" s="28"/>
      <c r="FK248" s="28"/>
      <c r="FL248" s="28"/>
      <c r="FM248" s="28"/>
      <c r="FN248" s="28"/>
      <c r="FO248" s="28"/>
      <c r="FP248" s="28"/>
      <c r="FQ248" s="28"/>
      <c r="FR248" s="28"/>
      <c r="FS248" s="28"/>
      <c r="FT248" s="28"/>
      <c r="FU248" s="28"/>
      <c r="FV248" s="28"/>
      <c r="FW248" s="28"/>
      <c r="FX248" s="28"/>
      <c r="FY248" s="28"/>
      <c r="FZ248" s="28"/>
      <c r="GA248" s="28"/>
      <c r="GB248" s="28"/>
      <c r="GC248" s="28"/>
      <c r="GD248" s="28"/>
      <c r="GE248" s="28"/>
      <c r="GF248" s="28"/>
      <c r="GG248" s="28"/>
      <c r="GH248" s="28"/>
      <c r="GI248" s="28"/>
      <c r="GJ248" s="28"/>
      <c r="GK248" s="28"/>
      <c r="GL248" s="28"/>
      <c r="GM248" s="28"/>
      <c r="GN248" s="28"/>
      <c r="GO248" s="28"/>
      <c r="GP248" s="28"/>
      <c r="GQ248" s="28"/>
      <c r="GR248" s="28"/>
      <c r="GS248" s="28"/>
      <c r="GT248" s="28"/>
      <c r="GU248" s="28"/>
      <c r="GV248" s="28"/>
      <c r="GW248" s="28"/>
      <c r="GX248" s="28"/>
      <c r="GY248" s="28"/>
      <c r="GZ248" s="28"/>
      <c r="HA248" s="28"/>
      <c r="HB248" s="28"/>
      <c r="HC248" s="28"/>
      <c r="HD248" s="28"/>
      <c r="HE248" s="28"/>
      <c r="HF248" s="28"/>
      <c r="HG248" s="28"/>
      <c r="HH248" s="28"/>
      <c r="HI248" s="28"/>
      <c r="HJ248" s="28"/>
      <c r="HK248" s="28"/>
      <c r="HL248" s="28"/>
    </row>
    <row r="249" spans="1:220" ht="15" customHeight="1">
      <c r="A249" s="31">
        <v>5</v>
      </c>
      <c r="B249" s="105" t="str">
        <f>VLOOKUP(Ruimtestaat[[#This Row],[Code]],Locaties[[Code]:[Locatie]],2,FALSE)</f>
        <v>IKC Remigius</v>
      </c>
      <c r="C249" s="105" t="str">
        <f>VLOOKUP(Ruimtestaat[[#This Row],[Code]],Locaties[[#All],[Code]:[Adres]],4,FALSE)</f>
        <v>Liemersplein 1</v>
      </c>
      <c r="D249" s="105" t="str">
        <f>VLOOKUP(Ruimtestaat[[#This Row],[Code]],Locaties[[#All],[Code]:[Postcode]],5,FALSE)</f>
        <v xml:space="preserve">6921 HN </v>
      </c>
      <c r="E249" s="105" t="str">
        <f>VLOOKUP(Ruimtestaat[[#This Row],[Code]],Locaties[#All],6,FALSE)</f>
        <v>Duiven</v>
      </c>
      <c r="F249" s="113"/>
      <c r="G249" s="31" t="s">
        <v>1826</v>
      </c>
      <c r="H249" s="31" t="s">
        <v>1857</v>
      </c>
      <c r="I249" s="113" t="s">
        <v>1726</v>
      </c>
      <c r="J249" s="31">
        <v>2</v>
      </c>
      <c r="K249" s="113" t="str">
        <f>VLOOKUP(Ruimtestaat[[#This Row],[Ruimte code]],Ruimtegroepen[[#All],[Code]:[Ruimte omschrijving]],2,FALSE)</f>
        <v>Kantoren</v>
      </c>
      <c r="L249" s="73" t="s">
        <v>102</v>
      </c>
      <c r="M249" s="273" t="s">
        <v>120</v>
      </c>
      <c r="N249" s="106">
        <v>12.2</v>
      </c>
      <c r="O249" s="112"/>
      <c r="P249" s="73"/>
      <c r="Q249" s="107" t="str">
        <f>VLOOKUP(Ruimtestaat[[#This Row],[Ruimte code]],Ruimtegroepen[],4,FALSE)</f>
        <v>Bu</v>
      </c>
      <c r="R249" s="73">
        <v>40</v>
      </c>
      <c r="S249" s="73" t="s">
        <v>15</v>
      </c>
      <c r="T249" s="73">
        <f>IF(R249&gt;0,IF(RIGHT(Ruimtestaat[[#This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49" s="73">
        <f>IF(T249&gt;0,VLOOKUP($J249,Ruimtegroepen[],3,FALSE)*VLOOKUP($L249,Vloersoorten[],3,FALSE)*VLOOKUP($S249,Frequenties[],3,FALSE)*VLOOKUP($A249,Locaties[],3,FALSE),0)</f>
        <v>0</v>
      </c>
      <c r="V249" s="73">
        <f>Ruimtestaat[[#This Row],[Uitvoeringen werkdagen]]*Ruimtestaat[[#This Row],[Oppervlak (netto)]]</f>
        <v>488</v>
      </c>
      <c r="W249" s="108">
        <f>IF(U249&gt;0,Ruimtestaat[[#This Row],[Prest. (m2 /jaar) werkdagen]]/Ruimtestaat[[#This Row],[Norm (m2/uur) werkdagen]],0)</f>
        <v>0</v>
      </c>
      <c r="X249" s="109">
        <f>Ruimtestaat[[#This Row],[uren / jaar werkdagen]]*Tariefsopbouw!$E$35</f>
        <v>0</v>
      </c>
      <c r="Y249" s="73"/>
      <c r="Z249" s="73">
        <f>IF(Ruimtestaat[[#This Row],[Frequentie weekend]]&gt;0,VALUE(LEFT(Y249,1))*R249,0)</f>
        <v>0</v>
      </c>
      <c r="AA249" s="72">
        <f>IF($Z249&gt;0,VLOOKUP($J249,Ruimtegroepen[],3,FALSE)*VLOOKUP($L249,Vloersoorten[],3,FALSE)*VLOOKUP($Y249,Frequenties[],3,FALSE)*VLOOKUP(Ruimtestaat[[#This Row],[Code]],Locaties[],3,FALSE),0)</f>
        <v>0</v>
      </c>
      <c r="AB249" s="72">
        <f>Ruimtestaat[[#This Row],[Uitvoeringen weekend]]*Ruimtestaat[[#This Row],[Oppervlak (netto)]]</f>
        <v>0</v>
      </c>
      <c r="AC249" s="72">
        <f>IF(AA249&gt;0,Ruimtestaat[[#This Row],[Prest. (m2 /jaar) weekend]]/Ruimtestaat[[#This Row],[Norm (m2/uur) weekend]],0)</f>
        <v>0</v>
      </c>
      <c r="AD249" s="109">
        <f>Ruimtestaat[[#This Row],[uren / jaar weekend]]*Tariefsopbouw!$D$40</f>
        <v>0</v>
      </c>
      <c r="AE249" s="108">
        <f>Ruimtestaat[[#This Row],[Prest. (m2 /jaar) weekend]]+Ruimtestaat[[#This Row],[Prest. (m2 /jaar) werkdagen]]</f>
        <v>488</v>
      </c>
      <c r="AF249" s="108">
        <f>Ruimtestaat[[#This Row],[uren / jaar weekend]]+Ruimtestaat[[#This Row],[uren / jaar werkdagen]]</f>
        <v>0</v>
      </c>
      <c r="AG249" s="103">
        <f>Ruimtestaat[[#This Row],[kosten / jaar weekend]]+Ruimtestaat[[#This Row],[kosten / jaar werkdagen]]</f>
        <v>0</v>
      </c>
      <c r="AH249" s="103"/>
      <c r="AI249" s="110" t="str">
        <f>IF(Ruimtestaat[[#This Row],[Frequentie werkdagen]]="","",_xlfn.CONCAT(Ruimtestaat[[#This Row],[Ruimte code]],"-",Ruimtestaat[[#This Row],[Frequentie werkdagen]]," ",Ruimtestaat[[#This Row],[Vloer code]]))</f>
        <v>2-1w P</v>
      </c>
      <c r="AJ249" s="114" t="str">
        <f>_xlfn.IFNA(VLOOKUP($AI249,Programma!$F$3:$G$1101,2,0),"")</f>
        <v>_</v>
      </c>
      <c r="AK249" s="114" t="str">
        <f>_xlfn.IFNA(VLOOKUP($AI249,Programma!$F$3:$H$1101,3,0),"")</f>
        <v>_</v>
      </c>
      <c r="AL249" s="114" t="str">
        <f>_xlfn.IFNA(VLOOKUP($AI249,Programma!$F$3:$I$1101,4,0),"")</f>
        <v>_</v>
      </c>
      <c r="AM249" s="114" t="str">
        <f>_xlfn.IFNA(VLOOKUP($AI249,Programma!$F$3:$J$1101,5,0),"")</f>
        <v>1w</v>
      </c>
      <c r="AN249" s="114" t="str">
        <f>_xlfn.IFNA(VLOOKUP($AI249,Programma!$F$3:$K$1101,6,0),"")</f>
        <v>1j</v>
      </c>
      <c r="AO249" s="114" t="str">
        <f>_xlfn.IFNA(VLOOKUP($AI249,Programma!$F$3:$L$1101,7,0),"")</f>
        <v>_</v>
      </c>
      <c r="AP249" s="114" t="str">
        <f>_xlfn.IFNA(VLOOKUP($AI249,Programma!$F$3:$M$1101,8,0),"")</f>
        <v>_</v>
      </c>
      <c r="AQ249" s="114" t="str">
        <f>_xlfn.IFNA(VLOOKUP($AI249,Programma!$F$3:$N$1101,9,0),"")</f>
        <v>_</v>
      </c>
      <c r="AR249" s="114" t="str">
        <f>_xlfn.IFNA(VLOOKUP($AI249,Programma!$F$3:$O$1101,10,0),"")</f>
        <v>1w</v>
      </c>
      <c r="AS249" s="114" t="str">
        <f>_xlfn.IFNA(VLOOKUP($AI249,Programma!$F$3:$P$1101,11,0),"")</f>
        <v>1w</v>
      </c>
      <c r="AT249" s="114" t="str">
        <f>_xlfn.IFNA(VLOOKUP($AI249,Programma!$F$3:$Q$1101,12,0),"")</f>
        <v>1w</v>
      </c>
      <c r="AU249" s="114" t="str">
        <f>_xlfn.IFNA(VLOOKUP($AI249,Programma!$F$3:$R$1101,13,0),"")</f>
        <v>1w</v>
      </c>
      <c r="AV249" s="114" t="str">
        <f>_xlfn.IFNA(VLOOKUP($AI249,Programma!$F$3:$S$1101,14,0),"")</f>
        <v>1m</v>
      </c>
      <c r="AW249" s="114" t="str">
        <f>_xlfn.IFNA(VLOOKUP($AI249,Programma!$F$3:$T$1101,15,0),"")</f>
        <v>2j</v>
      </c>
      <c r="AX249" s="114" t="str">
        <f>_xlfn.IFNA(VLOOKUP($AI249,Programma!$F$3:$U$1101,16,0),"")</f>
        <v>1j</v>
      </c>
      <c r="AY249" s="114" t="str">
        <f>_xlfn.IFNA(VLOOKUP($AI249,Programma!$F$3:$V$1101,17,0),"")</f>
        <v>_</v>
      </c>
      <c r="AZ249" s="114" t="str">
        <f>_xlfn.IFNA(VLOOKUP($AI249,Programma!$F$3:$W$1101,18,0),"")</f>
        <v>_</v>
      </c>
      <c r="BA249" s="114" t="str">
        <f>_xlfn.IFNA(VLOOKUP($AI249,Programma!$F$3:$X$1101,19,0),"")</f>
        <v>_</v>
      </c>
      <c r="BB249" s="114" t="str">
        <f>_xlfn.IFNA(VLOOKUP($AI249,Programma!$F$3:$Y$1101,20,0),"")</f>
        <v>_</v>
      </c>
      <c r="BC249" s="111"/>
      <c r="BD249" s="110" t="str">
        <f>IF(Ruimtestaat[[#This Row],[Frequentie weekend]]="","",_xlfn.CONCAT(Ruimtestaat[[#This Row],[Ruimte code]],"-",Ruimtestaat[[#This Row],[Frequentie weekend]]," ",Ruimtestaat[[#This Row],[Vloer code]]))</f>
        <v/>
      </c>
      <c r="BE249" s="114" t="str">
        <f>_xlfn.IFNA(VLOOKUP($BD249,Programma!$F$3:$G$1101,2,0),"")</f>
        <v/>
      </c>
      <c r="BF249" s="114" t="str">
        <f>_xlfn.IFNA(VLOOKUP($BD249,Programma!$F$3:$H$1101,3,0),"")</f>
        <v/>
      </c>
      <c r="BG249" s="114" t="str">
        <f>_xlfn.IFNA(VLOOKUP($BD249,Programma!$F$3:$I$1101,4,0),"")</f>
        <v/>
      </c>
      <c r="BH249" s="114" t="str">
        <f>_xlfn.IFNA(VLOOKUP($BD249,Programma!$F$3:$J$1101,5,0),"")</f>
        <v/>
      </c>
      <c r="BI249" s="114" t="str">
        <f>_xlfn.IFNA(VLOOKUP($BD249,Programma!$F$3:$K$1101,6,0),"")</f>
        <v/>
      </c>
      <c r="BJ249" s="114" t="str">
        <f>_xlfn.IFNA(VLOOKUP($BD249,Programma!$F$3:$L$1101,7,0),"")</f>
        <v/>
      </c>
      <c r="BK249" s="114" t="str">
        <f>_xlfn.IFNA(VLOOKUP($BD249,Programma!$F$3:$M$1101,8,0),"")</f>
        <v/>
      </c>
      <c r="BL249" s="114" t="str">
        <f>_xlfn.IFNA(VLOOKUP($BD249,Programma!$F$3:$N$1101,9,0),"")</f>
        <v/>
      </c>
      <c r="BM249" s="114" t="str">
        <f>_xlfn.IFNA(VLOOKUP($BD249,Programma!$F$3:$O$1101,10,0),"")</f>
        <v/>
      </c>
      <c r="BN249" s="114" t="str">
        <f>_xlfn.IFNA(VLOOKUP($BD249,Programma!$F$3:$P$1101,11,0),"")</f>
        <v/>
      </c>
      <c r="BO249" s="114" t="str">
        <f>_xlfn.IFNA(VLOOKUP($BD249,Programma!$F$3:$Q$1101,12,0),"")</f>
        <v/>
      </c>
      <c r="BP249" s="114" t="str">
        <f>_xlfn.IFNA(VLOOKUP($BD249,Programma!$F$3:$R$1101,13,0),"")</f>
        <v/>
      </c>
      <c r="BQ249" s="114" t="str">
        <f>_xlfn.IFNA(VLOOKUP($BD249,Programma!$F$3:$S$1101,14,0),"")</f>
        <v/>
      </c>
      <c r="BR249" s="114" t="str">
        <f>_xlfn.IFNA(VLOOKUP($BD249,Programma!$F$3:$T$1101,15,0),"")</f>
        <v/>
      </c>
      <c r="BS249" s="114" t="str">
        <f>_xlfn.IFNA(VLOOKUP($BD249,Programma!$F$3:$U$1101,16,0),"")</f>
        <v/>
      </c>
      <c r="BT249" s="114" t="str">
        <f>_xlfn.IFNA(VLOOKUP($BD249,Programma!$F$3:$V$1101,17,0),"")</f>
        <v/>
      </c>
      <c r="BU249" s="114" t="str">
        <f>_xlfn.IFNA(VLOOKUP($BD249,Programma!$F$3:$W$1101,18,0),"")</f>
        <v/>
      </c>
      <c r="BV249" s="114" t="str">
        <f>_xlfn.IFNA(VLOOKUP($BD249,Programma!$F$3:$X$1101,19,0),"")</f>
        <v/>
      </c>
      <c r="BW249" s="114" t="str">
        <f>_xlfn.IFNA(VLOOKUP($BD249,Programma!$F$3:$Y$1101,20,0),"")</f>
        <v/>
      </c>
      <c r="BX249" s="28"/>
      <c r="BY249" s="28"/>
      <c r="BZ249" s="28"/>
      <c r="CA249" s="28"/>
      <c r="CB249" s="28"/>
      <c r="CC249" s="28"/>
      <c r="CD249" s="28"/>
      <c r="CE249" s="28"/>
      <c r="CF249" s="28"/>
      <c r="CG249" s="28"/>
      <c r="CH249" s="28"/>
      <c r="CI249" s="28"/>
      <c r="CJ249" s="28"/>
      <c r="CK249" s="28"/>
      <c r="CL249" s="28"/>
      <c r="CM249" s="28"/>
      <c r="CN249" s="28"/>
      <c r="CO249" s="28"/>
      <c r="CP249" s="28"/>
      <c r="CQ249" s="28"/>
      <c r="CR249" s="28"/>
      <c r="CS249" s="28"/>
      <c r="CT249" s="28"/>
      <c r="CU249" s="28"/>
      <c r="CV249" s="28"/>
      <c r="CW249" s="28"/>
      <c r="CX249" s="28"/>
      <c r="CY249" s="28"/>
      <c r="CZ249" s="28"/>
      <c r="DA249" s="28"/>
      <c r="DB249" s="28"/>
      <c r="DC249" s="28"/>
      <c r="DD249" s="28"/>
      <c r="DE249" s="28"/>
      <c r="DF249" s="28"/>
      <c r="DG249" s="28"/>
      <c r="DH249" s="28"/>
      <c r="DI249" s="28"/>
      <c r="DJ249" s="28"/>
      <c r="DK249" s="28"/>
      <c r="DL249" s="28"/>
      <c r="DM249" s="28"/>
      <c r="DN249" s="28"/>
      <c r="DO249" s="28"/>
      <c r="DP249" s="28"/>
      <c r="DQ249" s="28"/>
      <c r="DR249" s="28"/>
      <c r="DS249" s="28"/>
      <c r="DT249" s="28"/>
      <c r="DU249" s="28"/>
      <c r="DV249" s="28"/>
      <c r="DW249" s="28"/>
      <c r="DX249" s="28"/>
      <c r="DY249" s="28"/>
      <c r="DZ249" s="28"/>
      <c r="EA249" s="28"/>
      <c r="EB249" s="28"/>
      <c r="EC249" s="28"/>
      <c r="ED249" s="28"/>
      <c r="EE249" s="28"/>
      <c r="EF249" s="28"/>
      <c r="EG249" s="28"/>
      <c r="EH249" s="28"/>
      <c r="EI249" s="28"/>
      <c r="EJ249" s="28"/>
      <c r="EK249" s="28"/>
      <c r="EL249" s="28"/>
      <c r="EM249" s="28"/>
      <c r="EN249" s="28"/>
      <c r="EO249" s="28"/>
      <c r="EP249" s="28"/>
      <c r="EQ249" s="28"/>
      <c r="ER249" s="28"/>
      <c r="ES249" s="28"/>
      <c r="ET249" s="28"/>
      <c r="EU249" s="28"/>
      <c r="EV249" s="28"/>
      <c r="EW249" s="28"/>
      <c r="EX249" s="28"/>
      <c r="EY249" s="28"/>
      <c r="EZ249" s="28"/>
      <c r="FA249" s="28"/>
      <c r="FB249" s="28"/>
      <c r="FC249" s="28"/>
      <c r="FD249" s="28"/>
      <c r="FE249" s="28"/>
      <c r="FF249" s="28"/>
      <c r="FG249" s="28"/>
      <c r="FH249" s="28"/>
      <c r="FI249" s="28"/>
      <c r="FJ249" s="28"/>
      <c r="FK249" s="28"/>
      <c r="FL249" s="28"/>
      <c r="FM249" s="28"/>
      <c r="FN249" s="28"/>
      <c r="FO249" s="28"/>
      <c r="FP249" s="28"/>
      <c r="FQ249" s="28"/>
      <c r="FR249" s="28"/>
      <c r="FS249" s="28"/>
      <c r="FT249" s="28"/>
      <c r="FU249" s="28"/>
      <c r="FV249" s="28"/>
      <c r="FW249" s="28"/>
      <c r="FX249" s="28"/>
      <c r="FY249" s="28"/>
      <c r="FZ249" s="28"/>
      <c r="GA249" s="28"/>
      <c r="GB249" s="28"/>
      <c r="GC249" s="28"/>
      <c r="GD249" s="28"/>
      <c r="GE249" s="28"/>
      <c r="GF249" s="28"/>
      <c r="GG249" s="28"/>
      <c r="GH249" s="28"/>
      <c r="GI249" s="28"/>
      <c r="GJ249" s="28"/>
      <c r="GK249" s="28"/>
      <c r="GL249" s="28"/>
      <c r="GM249" s="28"/>
      <c r="GN249" s="28"/>
      <c r="GO249" s="28"/>
      <c r="GP249" s="28"/>
      <c r="GQ249" s="28"/>
      <c r="GR249" s="28"/>
      <c r="GS249" s="28"/>
      <c r="GT249" s="28"/>
      <c r="GU249" s="28"/>
      <c r="GV249" s="28"/>
      <c r="GW249" s="28"/>
      <c r="GX249" s="28"/>
      <c r="GY249" s="28"/>
      <c r="GZ249" s="28"/>
      <c r="HA249" s="28"/>
      <c r="HB249" s="28"/>
      <c r="HC249" s="28"/>
      <c r="HD249" s="28"/>
      <c r="HE249" s="28"/>
      <c r="HF249" s="28"/>
      <c r="HG249" s="28"/>
      <c r="HH249" s="28"/>
      <c r="HI249" s="28"/>
      <c r="HJ249" s="28"/>
      <c r="HK249" s="28"/>
      <c r="HL249" s="28"/>
    </row>
    <row r="250" spans="1:220" ht="15" customHeight="1">
      <c r="A250" s="31">
        <v>5</v>
      </c>
      <c r="B250" s="105" t="str">
        <f>VLOOKUP(Ruimtestaat[[#This Row],[Code]],Locaties[[Code]:[Locatie]],2,FALSE)</f>
        <v>IKC Remigius</v>
      </c>
      <c r="C250" s="105" t="str">
        <f>VLOOKUP(Ruimtestaat[[#This Row],[Code]],Locaties[[#All],[Code]:[Adres]],4,FALSE)</f>
        <v>Liemersplein 1</v>
      </c>
      <c r="D250" s="105" t="str">
        <f>VLOOKUP(Ruimtestaat[[#This Row],[Code]],Locaties[[#All],[Code]:[Postcode]],5,FALSE)</f>
        <v xml:space="preserve">6921 HN </v>
      </c>
      <c r="E250" s="105" t="str">
        <f>VLOOKUP(Ruimtestaat[[#This Row],[Code]],Locaties[#All],6,FALSE)</f>
        <v>Duiven</v>
      </c>
      <c r="F250" s="113"/>
      <c r="G250" s="31" t="s">
        <v>1826</v>
      </c>
      <c r="H250" s="31" t="s">
        <v>1858</v>
      </c>
      <c r="I250" s="113" t="s">
        <v>1813</v>
      </c>
      <c r="J250" s="31">
        <v>1</v>
      </c>
      <c r="K250" s="113" t="str">
        <f>VLOOKUP(Ruimtestaat[[#This Row],[Ruimte code]],Ruimtegroepen[[#All],[Code]:[Ruimte omschrijving]],2,FALSE)</f>
        <v>Magazijnen/bergingen</v>
      </c>
      <c r="L250" s="73" t="s">
        <v>102</v>
      </c>
      <c r="M250" s="273" t="s">
        <v>120</v>
      </c>
      <c r="N250" s="106">
        <v>2.5</v>
      </c>
      <c r="O250" s="112"/>
      <c r="P250" s="112"/>
      <c r="Q250" s="107" t="str">
        <f>VLOOKUP(Ruimtestaat[[#This Row],[Ruimte code]],Ruimtegroepen[],4,FALSE)</f>
        <v>Ve</v>
      </c>
      <c r="R250" s="73">
        <v>40</v>
      </c>
      <c r="S250" s="73" t="s">
        <v>16</v>
      </c>
      <c r="T250" s="73">
        <f>IF(R250&gt;0,IF(RIGHT(Ruimtestaat[[#This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50" s="73">
        <f>IF(T250&gt;0,VLOOKUP($J250,Ruimtegroepen[],3,FALSE)*VLOOKUP($L250,Vloersoorten[],3,FALSE)*VLOOKUP($S250,Frequenties[],3,FALSE)*VLOOKUP($A250,Locaties[],3,FALSE),0)</f>
        <v>0</v>
      </c>
      <c r="V250" s="73">
        <f>Ruimtestaat[[#This Row],[Uitvoeringen werkdagen]]*Ruimtestaat[[#This Row],[Oppervlak (netto)]]</f>
        <v>30</v>
      </c>
      <c r="W250" s="108">
        <f>IF(U250&gt;0,Ruimtestaat[[#This Row],[Prest. (m2 /jaar) werkdagen]]/Ruimtestaat[[#This Row],[Norm (m2/uur) werkdagen]],0)</f>
        <v>0</v>
      </c>
      <c r="X250" s="109">
        <f>Ruimtestaat[[#This Row],[uren / jaar werkdagen]]*Tariefsopbouw!$E$35</f>
        <v>0</v>
      </c>
      <c r="Y250" s="73"/>
      <c r="Z250" s="73">
        <f>IF(Ruimtestaat[[#This Row],[Frequentie weekend]]&gt;0,VALUE(LEFT(Y250,1))*R250,0)</f>
        <v>0</v>
      </c>
      <c r="AA250" s="72">
        <f>IF($Z250&gt;0,VLOOKUP($J250,Ruimtegroepen[],3,FALSE)*VLOOKUP($L250,Vloersoorten[],3,FALSE)*VLOOKUP($Y250,Frequenties[],3,FALSE)*VLOOKUP(Ruimtestaat[[#This Row],[Code]],Locaties[],3,FALSE),0)</f>
        <v>0</v>
      </c>
      <c r="AB250" s="72">
        <f>Ruimtestaat[[#This Row],[Uitvoeringen weekend]]*Ruimtestaat[[#This Row],[Oppervlak (netto)]]</f>
        <v>0</v>
      </c>
      <c r="AC250" s="72">
        <f>IF(AA250&gt;0,Ruimtestaat[[#This Row],[Prest. (m2 /jaar) weekend]]/Ruimtestaat[[#This Row],[Norm (m2/uur) weekend]],0)</f>
        <v>0</v>
      </c>
      <c r="AD250" s="109">
        <f>Ruimtestaat[[#This Row],[uren / jaar weekend]]*Tariefsopbouw!$D$40</f>
        <v>0</v>
      </c>
      <c r="AE250" s="108">
        <f>Ruimtestaat[[#This Row],[Prest. (m2 /jaar) weekend]]+Ruimtestaat[[#This Row],[Prest. (m2 /jaar) werkdagen]]</f>
        <v>30</v>
      </c>
      <c r="AF250" s="108">
        <f>Ruimtestaat[[#This Row],[uren / jaar weekend]]+Ruimtestaat[[#This Row],[uren / jaar werkdagen]]</f>
        <v>0</v>
      </c>
      <c r="AG250" s="103">
        <f>Ruimtestaat[[#This Row],[kosten / jaar weekend]]+Ruimtestaat[[#This Row],[kosten / jaar werkdagen]]</f>
        <v>0</v>
      </c>
      <c r="AH250" s="103"/>
      <c r="AI250" s="110" t="str">
        <f>IF(Ruimtestaat[[#This Row],[Frequentie werkdagen]]="","",_xlfn.CONCAT(Ruimtestaat[[#This Row],[Ruimte code]],"-",Ruimtestaat[[#This Row],[Frequentie werkdagen]]," ",Ruimtestaat[[#This Row],[Vloer code]]))</f>
        <v>1-1m P</v>
      </c>
      <c r="AJ250" s="114" t="str">
        <f>_xlfn.IFNA(VLOOKUP($AI250,Programma!$F$3:$G$1101,2,0),"")</f>
        <v>_</v>
      </c>
      <c r="AK250" s="114" t="str">
        <f>_xlfn.IFNA(VLOOKUP($AI250,Programma!$F$3:$H$1101,3,0),"")</f>
        <v>_</v>
      </c>
      <c r="AL250" s="114" t="str">
        <f>_xlfn.IFNA(VLOOKUP($AI250,Programma!$F$3:$I$1101,4,0),"")</f>
        <v>1m</v>
      </c>
      <c r="AM250" s="114" t="str">
        <f>_xlfn.IFNA(VLOOKUP($AI250,Programma!$F$3:$J$1101,5,0),"")</f>
        <v>1m</v>
      </c>
      <c r="AN250" s="114" t="str">
        <f>_xlfn.IFNA(VLOOKUP($AI250,Programma!$F$3:$K$1101,6,0),"")</f>
        <v>1j</v>
      </c>
      <c r="AO250" s="114" t="str">
        <f>_xlfn.IFNA(VLOOKUP($AI250,Programma!$F$3:$L$1101,7,0),"")</f>
        <v>_</v>
      </c>
      <c r="AP250" s="114" t="str">
        <f>_xlfn.IFNA(VLOOKUP($AI250,Programma!$F$3:$M$1101,8,0),"")</f>
        <v>_</v>
      </c>
      <c r="AQ250" s="114" t="str">
        <f>_xlfn.IFNA(VLOOKUP($AI250,Programma!$F$3:$N$1101,9,0),"")</f>
        <v>_</v>
      </c>
      <c r="AR250" s="114" t="str">
        <f>_xlfn.IFNA(VLOOKUP($AI250,Programma!$F$3:$O$1101,10,0),"")</f>
        <v>_</v>
      </c>
      <c r="AS250" s="114" t="str">
        <f>_xlfn.IFNA(VLOOKUP($AI250,Programma!$F$3:$P$1101,11,0),"")</f>
        <v>_</v>
      </c>
      <c r="AT250" s="114" t="str">
        <f>_xlfn.IFNA(VLOOKUP($AI250,Programma!$F$3:$Q$1101,12,0),"")</f>
        <v>_</v>
      </c>
      <c r="AU250" s="114" t="str">
        <f>_xlfn.IFNA(VLOOKUP($AI250,Programma!$F$3:$R$1101,13,0),"")</f>
        <v>_</v>
      </c>
      <c r="AV250" s="114" t="str">
        <f>_xlfn.IFNA(VLOOKUP($AI250,Programma!$F$3:$S$1101,14,0),"")</f>
        <v>1m</v>
      </c>
      <c r="AW250" s="114" t="str">
        <f>_xlfn.IFNA(VLOOKUP($AI250,Programma!$F$3:$T$1101,15,0),"")</f>
        <v>4j</v>
      </c>
      <c r="AX250" s="114" t="str">
        <f>_xlfn.IFNA(VLOOKUP($AI250,Programma!$F$3:$U$1101,16,0),"")</f>
        <v>4j</v>
      </c>
      <c r="AY250" s="114" t="str">
        <f>_xlfn.IFNA(VLOOKUP($AI250,Programma!$F$3:$V$1101,17,0),"")</f>
        <v>_</v>
      </c>
      <c r="AZ250" s="114" t="str">
        <f>_xlfn.IFNA(VLOOKUP($AI250,Programma!$F$3:$W$1101,18,0),"")</f>
        <v>_</v>
      </c>
      <c r="BA250" s="114" t="str">
        <f>_xlfn.IFNA(VLOOKUP($AI250,Programma!$F$3:$X$1101,19,0),"")</f>
        <v>_</v>
      </c>
      <c r="BB250" s="114" t="str">
        <f>_xlfn.IFNA(VLOOKUP($AI250,Programma!$F$3:$Y$1101,20,0),"")</f>
        <v>_</v>
      </c>
      <c r="BC250" s="111"/>
      <c r="BD250" s="110" t="str">
        <f>IF(Ruimtestaat[[#This Row],[Frequentie weekend]]="","",_xlfn.CONCAT(Ruimtestaat[[#This Row],[Ruimte code]],"-",Ruimtestaat[[#This Row],[Frequentie weekend]]," ",Ruimtestaat[[#This Row],[Vloer code]]))</f>
        <v/>
      </c>
      <c r="BE250" s="114" t="str">
        <f>_xlfn.IFNA(VLOOKUP($BD250,Programma!$F$3:$G$1101,2,0),"")</f>
        <v/>
      </c>
      <c r="BF250" s="114" t="str">
        <f>_xlfn.IFNA(VLOOKUP($BD250,Programma!$F$3:$H$1101,3,0),"")</f>
        <v/>
      </c>
      <c r="BG250" s="114" t="str">
        <f>_xlfn.IFNA(VLOOKUP($BD250,Programma!$F$3:$I$1101,4,0),"")</f>
        <v/>
      </c>
      <c r="BH250" s="114" t="str">
        <f>_xlfn.IFNA(VLOOKUP($BD250,Programma!$F$3:$J$1101,5,0),"")</f>
        <v/>
      </c>
      <c r="BI250" s="114" t="str">
        <f>_xlfn.IFNA(VLOOKUP($BD250,Programma!$F$3:$K$1101,6,0),"")</f>
        <v/>
      </c>
      <c r="BJ250" s="114" t="str">
        <f>_xlfn.IFNA(VLOOKUP($BD250,Programma!$F$3:$L$1101,7,0),"")</f>
        <v/>
      </c>
      <c r="BK250" s="114" t="str">
        <f>_xlfn.IFNA(VLOOKUP($BD250,Programma!$F$3:$M$1101,8,0),"")</f>
        <v/>
      </c>
      <c r="BL250" s="114" t="str">
        <f>_xlfn.IFNA(VLOOKUP($BD250,Programma!$F$3:$N$1101,9,0),"")</f>
        <v/>
      </c>
      <c r="BM250" s="114" t="str">
        <f>_xlfn.IFNA(VLOOKUP($BD250,Programma!$F$3:$O$1101,10,0),"")</f>
        <v/>
      </c>
      <c r="BN250" s="114" t="str">
        <f>_xlfn.IFNA(VLOOKUP($BD250,Programma!$F$3:$P$1101,11,0),"")</f>
        <v/>
      </c>
      <c r="BO250" s="114" t="str">
        <f>_xlfn.IFNA(VLOOKUP($BD250,Programma!$F$3:$Q$1101,12,0),"")</f>
        <v/>
      </c>
      <c r="BP250" s="114" t="str">
        <f>_xlfn.IFNA(VLOOKUP($BD250,Programma!$F$3:$R$1101,13,0),"")</f>
        <v/>
      </c>
      <c r="BQ250" s="114" t="str">
        <f>_xlfn.IFNA(VLOOKUP($BD250,Programma!$F$3:$S$1101,14,0),"")</f>
        <v/>
      </c>
      <c r="BR250" s="114" t="str">
        <f>_xlfn.IFNA(VLOOKUP($BD250,Programma!$F$3:$T$1101,15,0),"")</f>
        <v/>
      </c>
      <c r="BS250" s="114" t="str">
        <f>_xlfn.IFNA(VLOOKUP($BD250,Programma!$F$3:$U$1101,16,0),"")</f>
        <v/>
      </c>
      <c r="BT250" s="114" t="str">
        <f>_xlfn.IFNA(VLOOKUP($BD250,Programma!$F$3:$V$1101,17,0),"")</f>
        <v/>
      </c>
      <c r="BU250" s="114" t="str">
        <f>_xlfn.IFNA(VLOOKUP($BD250,Programma!$F$3:$W$1101,18,0),"")</f>
        <v/>
      </c>
      <c r="BV250" s="114" t="str">
        <f>_xlfn.IFNA(VLOOKUP($BD250,Programma!$F$3:$X$1101,19,0),"")</f>
        <v/>
      </c>
      <c r="BW250" s="114" t="str">
        <f>_xlfn.IFNA(VLOOKUP($BD250,Programma!$F$3:$Y$1101,20,0),"")</f>
        <v/>
      </c>
      <c r="BX250" s="28"/>
      <c r="BY250" s="28"/>
      <c r="BZ250" s="28"/>
      <c r="CA250" s="28"/>
      <c r="CB250" s="28"/>
      <c r="CC250" s="28"/>
      <c r="CD250" s="28"/>
      <c r="CE250" s="28"/>
      <c r="CF250" s="28"/>
      <c r="CG250" s="28"/>
      <c r="CH250" s="28"/>
      <c r="CI250" s="28"/>
      <c r="CJ250" s="28"/>
      <c r="CK250" s="28"/>
      <c r="CL250" s="28"/>
      <c r="CM250" s="28"/>
      <c r="CN250" s="28"/>
      <c r="CO250" s="28"/>
      <c r="CP250" s="28"/>
      <c r="CQ250" s="28"/>
      <c r="CR250" s="28"/>
      <c r="CS250" s="28"/>
      <c r="CT250" s="28"/>
      <c r="CU250" s="28"/>
      <c r="CV250" s="28"/>
      <c r="CW250" s="28"/>
      <c r="CX250" s="28"/>
      <c r="CY250" s="28"/>
      <c r="CZ250" s="28"/>
      <c r="DA250" s="28"/>
      <c r="DB250" s="28"/>
      <c r="DC250" s="28"/>
      <c r="DD250" s="28"/>
      <c r="DE250" s="28"/>
      <c r="DF250" s="28"/>
      <c r="DG250" s="28"/>
      <c r="DH250" s="28"/>
      <c r="DI250" s="28"/>
      <c r="DJ250" s="28"/>
      <c r="DK250" s="28"/>
      <c r="DL250" s="28"/>
      <c r="DM250" s="28"/>
      <c r="DN250" s="28"/>
      <c r="DO250" s="28"/>
      <c r="DP250" s="28"/>
      <c r="DQ250" s="28"/>
      <c r="DR250" s="28"/>
      <c r="DS250" s="28"/>
      <c r="DT250" s="28"/>
      <c r="DU250" s="28"/>
      <c r="DV250" s="28"/>
      <c r="DW250" s="28"/>
      <c r="DX250" s="28"/>
      <c r="DY250" s="28"/>
      <c r="DZ250" s="28"/>
      <c r="EA250" s="28"/>
      <c r="EB250" s="28"/>
      <c r="EC250" s="28"/>
      <c r="ED250" s="28"/>
      <c r="EE250" s="28"/>
      <c r="EF250" s="28"/>
      <c r="EG250" s="28"/>
      <c r="EH250" s="28"/>
      <c r="EI250" s="28"/>
      <c r="EJ250" s="28"/>
      <c r="EK250" s="28"/>
      <c r="EL250" s="28"/>
      <c r="EM250" s="28"/>
      <c r="EN250" s="28"/>
      <c r="EO250" s="28"/>
      <c r="EP250" s="28"/>
      <c r="EQ250" s="28"/>
      <c r="ER250" s="28"/>
      <c r="ES250" s="28"/>
      <c r="ET250" s="28"/>
      <c r="EU250" s="28"/>
      <c r="EV250" s="28"/>
      <c r="EW250" s="28"/>
      <c r="EX250" s="28"/>
      <c r="EY250" s="28"/>
      <c r="EZ250" s="28"/>
      <c r="FA250" s="28"/>
      <c r="FB250" s="28"/>
      <c r="FC250" s="28"/>
      <c r="FD250" s="28"/>
      <c r="FE250" s="28"/>
      <c r="FF250" s="28"/>
      <c r="FG250" s="28"/>
      <c r="FH250" s="28"/>
      <c r="FI250" s="28"/>
      <c r="FJ250" s="28"/>
      <c r="FK250" s="28"/>
      <c r="FL250" s="28"/>
      <c r="FM250" s="28"/>
      <c r="FN250" s="28"/>
      <c r="FO250" s="28"/>
      <c r="FP250" s="28"/>
      <c r="FQ250" s="28"/>
      <c r="FR250" s="28"/>
      <c r="FS250" s="28"/>
      <c r="FT250" s="28"/>
      <c r="FU250" s="28"/>
      <c r="FV250" s="28"/>
      <c r="FW250" s="28"/>
      <c r="FX250" s="28"/>
      <c r="FY250" s="28"/>
      <c r="FZ250" s="28"/>
      <c r="GA250" s="28"/>
      <c r="GB250" s="28"/>
      <c r="GC250" s="28"/>
      <c r="GD250" s="28"/>
      <c r="GE250" s="28"/>
      <c r="GF250" s="28"/>
      <c r="GG250" s="28"/>
      <c r="GH250" s="28"/>
      <c r="GI250" s="28"/>
      <c r="GJ250" s="28"/>
      <c r="GK250" s="28"/>
      <c r="GL250" s="28"/>
      <c r="GM250" s="28"/>
      <c r="GN250" s="28"/>
      <c r="GO250" s="28"/>
      <c r="GP250" s="28"/>
      <c r="GQ250" s="28"/>
      <c r="GR250" s="28"/>
      <c r="GS250" s="28"/>
      <c r="GT250" s="28"/>
      <c r="GU250" s="28"/>
      <c r="GV250" s="28"/>
      <c r="GW250" s="28"/>
      <c r="GX250" s="28"/>
      <c r="GY250" s="28"/>
      <c r="GZ250" s="28"/>
      <c r="HA250" s="28"/>
      <c r="HB250" s="28"/>
      <c r="HC250" s="28"/>
      <c r="HD250" s="28"/>
      <c r="HE250" s="28"/>
      <c r="HF250" s="28"/>
      <c r="HG250" s="28"/>
      <c r="HH250" s="28"/>
      <c r="HI250" s="28"/>
      <c r="HJ250" s="28"/>
      <c r="HK250" s="28"/>
      <c r="HL250" s="28"/>
    </row>
    <row r="251" spans="1:220" ht="15" customHeight="1">
      <c r="A251" s="31">
        <v>5</v>
      </c>
      <c r="B251" s="105" t="str">
        <f>VLOOKUP(Ruimtestaat[[#This Row],[Code]],Locaties[[Code]:[Locatie]],2,FALSE)</f>
        <v>IKC Remigius</v>
      </c>
      <c r="C251" s="105" t="str">
        <f>VLOOKUP(Ruimtestaat[[#This Row],[Code]],Locaties[[#All],[Code]:[Adres]],4,FALSE)</f>
        <v>Liemersplein 1</v>
      </c>
      <c r="D251" s="105" t="str">
        <f>VLOOKUP(Ruimtestaat[[#This Row],[Code]],Locaties[[#All],[Code]:[Postcode]],5,FALSE)</f>
        <v xml:space="preserve">6921 HN </v>
      </c>
      <c r="E251" s="105" t="str">
        <f>VLOOKUP(Ruimtestaat[[#This Row],[Code]],Locaties[#All],6,FALSE)</f>
        <v>Duiven</v>
      </c>
      <c r="F251" s="113"/>
      <c r="G251" s="31" t="s">
        <v>1826</v>
      </c>
      <c r="H251" s="31" t="s">
        <v>1859</v>
      </c>
      <c r="I251" s="113" t="s">
        <v>1648</v>
      </c>
      <c r="J251" s="31">
        <v>13</v>
      </c>
      <c r="K251" s="113" t="str">
        <f>VLOOKUP(Ruimtestaat[[#This Row],[Ruimte code]],Ruimtegroepen[[#All],[Code]:[Ruimte omschrijving]],2,FALSE)</f>
        <v>Personeelskamer</v>
      </c>
      <c r="L251" s="73" t="s">
        <v>102</v>
      </c>
      <c r="M251" s="273" t="s">
        <v>120</v>
      </c>
      <c r="N251" s="106">
        <v>28.5</v>
      </c>
      <c r="O251" s="112"/>
      <c r="P251" s="112"/>
      <c r="Q251" s="107" t="str">
        <f>VLOOKUP(Ruimtestaat[[#This Row],[Ruimte code]],Ruimtegroepen[],4,FALSE)</f>
        <v>Ve</v>
      </c>
      <c r="R251" s="73">
        <v>40</v>
      </c>
      <c r="S251" s="73" t="s">
        <v>18</v>
      </c>
      <c r="T251" s="73">
        <f>IF(R251&gt;0,IF(RIGHT(Ruimtestaat[[#This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1" s="73">
        <f>IF(T251&gt;0,VLOOKUP($J251,Ruimtegroepen[],3,FALSE)*VLOOKUP($L251,Vloersoorten[],3,FALSE)*VLOOKUP($S251,Frequenties[],3,FALSE)*VLOOKUP($A251,Locaties[],3,FALSE),0)</f>
        <v>0</v>
      </c>
      <c r="V251" s="73">
        <f>Ruimtestaat[[#This Row],[Uitvoeringen werkdagen]]*Ruimtestaat[[#This Row],[Oppervlak (netto)]]</f>
        <v>3420</v>
      </c>
      <c r="W251" s="108">
        <f>IF(U251&gt;0,Ruimtestaat[[#This Row],[Prest. (m2 /jaar) werkdagen]]/Ruimtestaat[[#This Row],[Norm (m2/uur) werkdagen]],0)</f>
        <v>0</v>
      </c>
      <c r="X251" s="109">
        <f>Ruimtestaat[[#This Row],[uren / jaar werkdagen]]*Tariefsopbouw!$E$35</f>
        <v>0</v>
      </c>
      <c r="Y251" s="73"/>
      <c r="Z251" s="73">
        <f>IF(Ruimtestaat[[#This Row],[Frequentie weekend]]&gt;0,VALUE(LEFT(Y251,1))*R251,0)</f>
        <v>0</v>
      </c>
      <c r="AA251" s="72">
        <f>IF($Z251&gt;0,VLOOKUP($J251,Ruimtegroepen[],3,FALSE)*VLOOKUP($L251,Vloersoorten[],3,FALSE)*VLOOKUP($Y251,Frequenties[],3,FALSE)*VLOOKUP(Ruimtestaat[[#This Row],[Code]],Locaties[],3,FALSE),0)</f>
        <v>0</v>
      </c>
      <c r="AB251" s="72">
        <f>Ruimtestaat[[#This Row],[Uitvoeringen weekend]]*Ruimtestaat[[#This Row],[Oppervlak (netto)]]</f>
        <v>0</v>
      </c>
      <c r="AC251" s="72">
        <f>IF(AA251&gt;0,Ruimtestaat[[#This Row],[Prest. (m2 /jaar) weekend]]/Ruimtestaat[[#This Row],[Norm (m2/uur) weekend]],0)</f>
        <v>0</v>
      </c>
      <c r="AD251" s="109">
        <f>Ruimtestaat[[#This Row],[uren / jaar weekend]]*Tariefsopbouw!$D$40</f>
        <v>0</v>
      </c>
      <c r="AE251" s="108">
        <f>Ruimtestaat[[#This Row],[Prest. (m2 /jaar) weekend]]+Ruimtestaat[[#This Row],[Prest. (m2 /jaar) werkdagen]]</f>
        <v>3420</v>
      </c>
      <c r="AF251" s="108">
        <f>Ruimtestaat[[#This Row],[uren / jaar weekend]]+Ruimtestaat[[#This Row],[uren / jaar werkdagen]]</f>
        <v>0</v>
      </c>
      <c r="AG251" s="103">
        <f>Ruimtestaat[[#This Row],[kosten / jaar weekend]]+Ruimtestaat[[#This Row],[kosten / jaar werkdagen]]</f>
        <v>0</v>
      </c>
      <c r="AH251" s="103"/>
      <c r="AI251" s="110" t="str">
        <f>IF(Ruimtestaat[[#This Row],[Frequentie werkdagen]]="","",_xlfn.CONCAT(Ruimtestaat[[#This Row],[Ruimte code]],"-",Ruimtestaat[[#This Row],[Frequentie werkdagen]]," ",Ruimtestaat[[#This Row],[Vloer code]]))</f>
        <v>13-3w P</v>
      </c>
      <c r="AJ251" s="114" t="str">
        <f>_xlfn.IFNA(VLOOKUP($AI251,Programma!$F$3:$G$1101,2,0),"")</f>
        <v>_</v>
      </c>
      <c r="AK251" s="114" t="str">
        <f>_xlfn.IFNA(VLOOKUP($AI251,Programma!$F$3:$H$1101,3,0),"")</f>
        <v>_</v>
      </c>
      <c r="AL251" s="114" t="str">
        <f>_xlfn.IFNA(VLOOKUP($AI251,Programma!$F$3:$I$1101,4,0),"")</f>
        <v>2w</v>
      </c>
      <c r="AM251" s="114" t="str">
        <f>_xlfn.IFNA(VLOOKUP($AI251,Programma!$F$3:$J$1101,5,0),"")</f>
        <v>1w</v>
      </c>
      <c r="AN251" s="114" t="str">
        <f>_xlfn.IFNA(VLOOKUP($AI251,Programma!$F$3:$K$1101,6,0),"")</f>
        <v>1j</v>
      </c>
      <c r="AO251" s="114" t="str">
        <f>_xlfn.IFNA(VLOOKUP($AI251,Programma!$F$3:$L$1101,7,0),"")</f>
        <v>_</v>
      </c>
      <c r="AP251" s="114" t="str">
        <f>_xlfn.IFNA(VLOOKUP($AI251,Programma!$F$3:$M$1101,8,0),"")</f>
        <v>_</v>
      </c>
      <c r="AQ251" s="114" t="str">
        <f>_xlfn.IFNA(VLOOKUP($AI251,Programma!$F$3:$N$1101,9,0),"")</f>
        <v>_</v>
      </c>
      <c r="AR251" s="114" t="str">
        <f>_xlfn.IFNA(VLOOKUP($AI251,Programma!$F$3:$O$1101,10,0),"")</f>
        <v>3w</v>
      </c>
      <c r="AS251" s="114" t="str">
        <f>_xlfn.IFNA(VLOOKUP($AI251,Programma!$F$3:$P$1101,11,0),"")</f>
        <v>3w</v>
      </c>
      <c r="AT251" s="114" t="str">
        <f>_xlfn.IFNA(VLOOKUP($AI251,Programma!$F$3:$Q$1101,12,0),"")</f>
        <v>1w</v>
      </c>
      <c r="AU251" s="114" t="str">
        <f>_xlfn.IFNA(VLOOKUP($AI251,Programma!$F$3:$R$1101,13,0),"")</f>
        <v>1w</v>
      </c>
      <c r="AV251" s="114" t="str">
        <f>_xlfn.IFNA(VLOOKUP($AI251,Programma!$F$3:$S$1101,14,0),"")</f>
        <v>1m</v>
      </c>
      <c r="AW251" s="114" t="str">
        <f>_xlfn.IFNA(VLOOKUP($AI251,Programma!$F$3:$T$1101,15,0),"")</f>
        <v>2j</v>
      </c>
      <c r="AX251" s="114" t="str">
        <f>_xlfn.IFNA(VLOOKUP($AI251,Programma!$F$3:$U$1101,16,0),"")</f>
        <v>1j</v>
      </c>
      <c r="AY251" s="114" t="str">
        <f>_xlfn.IFNA(VLOOKUP($AI251,Programma!$F$3:$V$1101,17,0),"")</f>
        <v>_</v>
      </c>
      <c r="AZ251" s="114" t="str">
        <f>_xlfn.IFNA(VLOOKUP($AI251,Programma!$F$3:$W$1101,18,0),"")</f>
        <v>_</v>
      </c>
      <c r="BA251" s="114" t="str">
        <f>_xlfn.IFNA(VLOOKUP($AI251,Programma!$F$3:$X$1101,19,0),"")</f>
        <v>_</v>
      </c>
      <c r="BB251" s="114" t="str">
        <f>_xlfn.IFNA(VLOOKUP($AI251,Programma!$F$3:$Y$1101,20,0),"")</f>
        <v>_</v>
      </c>
      <c r="BC251" s="111"/>
      <c r="BD251" s="110" t="str">
        <f>IF(Ruimtestaat[[#This Row],[Frequentie weekend]]="","",_xlfn.CONCAT(Ruimtestaat[[#This Row],[Ruimte code]],"-",Ruimtestaat[[#This Row],[Frequentie weekend]]," ",Ruimtestaat[[#This Row],[Vloer code]]))</f>
        <v/>
      </c>
      <c r="BE251" s="114" t="str">
        <f>_xlfn.IFNA(VLOOKUP($BD251,Programma!$F$3:$G$1101,2,0),"")</f>
        <v/>
      </c>
      <c r="BF251" s="114" t="str">
        <f>_xlfn.IFNA(VLOOKUP($BD251,Programma!$F$3:$H$1101,3,0),"")</f>
        <v/>
      </c>
      <c r="BG251" s="114" t="str">
        <f>_xlfn.IFNA(VLOOKUP($BD251,Programma!$F$3:$I$1101,4,0),"")</f>
        <v/>
      </c>
      <c r="BH251" s="114" t="str">
        <f>_xlfn.IFNA(VLOOKUP($BD251,Programma!$F$3:$J$1101,5,0),"")</f>
        <v/>
      </c>
      <c r="BI251" s="114" t="str">
        <f>_xlfn.IFNA(VLOOKUP($BD251,Programma!$F$3:$K$1101,6,0),"")</f>
        <v/>
      </c>
      <c r="BJ251" s="114" t="str">
        <f>_xlfn.IFNA(VLOOKUP($BD251,Programma!$F$3:$L$1101,7,0),"")</f>
        <v/>
      </c>
      <c r="BK251" s="114" t="str">
        <f>_xlfn.IFNA(VLOOKUP($BD251,Programma!$F$3:$M$1101,8,0),"")</f>
        <v/>
      </c>
      <c r="BL251" s="114" t="str">
        <f>_xlfn.IFNA(VLOOKUP($BD251,Programma!$F$3:$N$1101,9,0),"")</f>
        <v/>
      </c>
      <c r="BM251" s="114" t="str">
        <f>_xlfn.IFNA(VLOOKUP($BD251,Programma!$F$3:$O$1101,10,0),"")</f>
        <v/>
      </c>
      <c r="BN251" s="114" t="str">
        <f>_xlfn.IFNA(VLOOKUP($BD251,Programma!$F$3:$P$1101,11,0),"")</f>
        <v/>
      </c>
      <c r="BO251" s="114" t="str">
        <f>_xlfn.IFNA(VLOOKUP($BD251,Programma!$F$3:$Q$1101,12,0),"")</f>
        <v/>
      </c>
      <c r="BP251" s="114" t="str">
        <f>_xlfn.IFNA(VLOOKUP($BD251,Programma!$F$3:$R$1101,13,0),"")</f>
        <v/>
      </c>
      <c r="BQ251" s="114" t="str">
        <f>_xlfn.IFNA(VLOOKUP($BD251,Programma!$F$3:$S$1101,14,0),"")</f>
        <v/>
      </c>
      <c r="BR251" s="114" t="str">
        <f>_xlfn.IFNA(VLOOKUP($BD251,Programma!$F$3:$T$1101,15,0),"")</f>
        <v/>
      </c>
      <c r="BS251" s="114" t="str">
        <f>_xlfn.IFNA(VLOOKUP($BD251,Programma!$F$3:$U$1101,16,0),"")</f>
        <v/>
      </c>
      <c r="BT251" s="114" t="str">
        <f>_xlfn.IFNA(VLOOKUP($BD251,Programma!$F$3:$V$1101,17,0),"")</f>
        <v/>
      </c>
      <c r="BU251" s="114" t="str">
        <f>_xlfn.IFNA(VLOOKUP($BD251,Programma!$F$3:$W$1101,18,0),"")</f>
        <v/>
      </c>
      <c r="BV251" s="114" t="str">
        <f>_xlfn.IFNA(VLOOKUP($BD251,Programma!$F$3:$X$1101,19,0),"")</f>
        <v/>
      </c>
      <c r="BW251" s="114" t="str">
        <f>_xlfn.IFNA(VLOOKUP($BD251,Programma!$F$3:$Y$1101,20,0),"")</f>
        <v/>
      </c>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c r="DE251" s="28"/>
      <c r="DF251" s="28"/>
      <c r="DG251" s="28"/>
      <c r="DH251" s="28"/>
      <c r="DI251" s="28"/>
      <c r="DJ251" s="28"/>
      <c r="DK251" s="28"/>
      <c r="DL251" s="28"/>
      <c r="DM251" s="28"/>
      <c r="DN251" s="28"/>
      <c r="DO251" s="28"/>
      <c r="DP251" s="28"/>
      <c r="DQ251" s="28"/>
      <c r="DR251" s="28"/>
      <c r="DS251" s="28"/>
      <c r="DT251" s="28"/>
      <c r="DU251" s="28"/>
      <c r="DV251" s="28"/>
      <c r="DW251" s="28"/>
      <c r="DX251" s="28"/>
      <c r="DY251" s="28"/>
      <c r="DZ251" s="28"/>
      <c r="EA251" s="28"/>
      <c r="EB251" s="28"/>
      <c r="EC251" s="28"/>
      <c r="ED251" s="28"/>
      <c r="EE251" s="28"/>
      <c r="EF251" s="28"/>
      <c r="EG251" s="28"/>
      <c r="EH251" s="28"/>
      <c r="EI251" s="28"/>
      <c r="EJ251" s="28"/>
      <c r="EK251" s="28"/>
      <c r="EL251" s="28"/>
      <c r="EM251" s="28"/>
      <c r="EN251" s="28"/>
      <c r="EO251" s="28"/>
      <c r="EP251" s="28"/>
      <c r="EQ251" s="28"/>
      <c r="ER251" s="28"/>
      <c r="ES251" s="28"/>
      <c r="ET251" s="28"/>
      <c r="EU251" s="28"/>
      <c r="EV251" s="28"/>
      <c r="EW251" s="28"/>
      <c r="EX251" s="28"/>
      <c r="EY251" s="28"/>
      <c r="EZ251" s="28"/>
      <c r="FA251" s="28"/>
      <c r="FB251" s="28"/>
      <c r="FC251" s="28"/>
      <c r="FD251" s="28"/>
      <c r="FE251" s="28"/>
      <c r="FF251" s="28"/>
      <c r="FG251" s="28"/>
      <c r="FH251" s="28"/>
      <c r="FI251" s="28"/>
      <c r="FJ251" s="28"/>
      <c r="FK251" s="28"/>
      <c r="FL251" s="28"/>
      <c r="FM251" s="28"/>
      <c r="FN251" s="28"/>
      <c r="FO251" s="28"/>
      <c r="FP251" s="28"/>
      <c r="FQ251" s="28"/>
      <c r="FR251" s="28"/>
      <c r="FS251" s="28"/>
      <c r="FT251" s="28"/>
      <c r="FU251" s="28"/>
      <c r="FV251" s="28"/>
      <c r="FW251" s="28"/>
      <c r="FX251" s="28"/>
      <c r="FY251" s="28"/>
      <c r="FZ251" s="28"/>
      <c r="GA251" s="28"/>
      <c r="GB251" s="28"/>
      <c r="GC251" s="28"/>
      <c r="GD251" s="28"/>
      <c r="GE251" s="28"/>
      <c r="GF251" s="28"/>
      <c r="GG251" s="28"/>
      <c r="GH251" s="28"/>
      <c r="GI251" s="28"/>
      <c r="GJ251" s="28"/>
      <c r="GK251" s="28"/>
      <c r="GL251" s="28"/>
      <c r="GM251" s="28"/>
      <c r="GN251" s="28"/>
      <c r="GO251" s="28"/>
      <c r="GP251" s="28"/>
      <c r="GQ251" s="28"/>
      <c r="GR251" s="28"/>
      <c r="GS251" s="28"/>
      <c r="GT251" s="28"/>
      <c r="GU251" s="28"/>
      <c r="GV251" s="28"/>
      <c r="GW251" s="28"/>
      <c r="GX251" s="28"/>
      <c r="GY251" s="28"/>
      <c r="GZ251" s="28"/>
      <c r="HA251" s="28"/>
      <c r="HB251" s="28"/>
      <c r="HC251" s="28"/>
      <c r="HD251" s="28"/>
      <c r="HE251" s="28"/>
      <c r="HF251" s="28"/>
      <c r="HG251" s="28"/>
      <c r="HH251" s="28"/>
      <c r="HI251" s="28"/>
      <c r="HJ251" s="28"/>
      <c r="HK251" s="28"/>
      <c r="HL251" s="28"/>
    </row>
    <row r="252" spans="1:220" ht="15" customHeight="1">
      <c r="A252" s="31">
        <v>5</v>
      </c>
      <c r="B252" s="105" t="str">
        <f>VLOOKUP(Ruimtestaat[[#This Row],[Code]],Locaties[[Code]:[Locatie]],2,FALSE)</f>
        <v>IKC Remigius</v>
      </c>
      <c r="C252" s="105" t="str">
        <f>VLOOKUP(Ruimtestaat[[#This Row],[Code]],Locaties[[#All],[Code]:[Adres]],4,FALSE)</f>
        <v>Liemersplein 1</v>
      </c>
      <c r="D252" s="105" t="str">
        <f>VLOOKUP(Ruimtestaat[[#This Row],[Code]],Locaties[[#All],[Code]:[Postcode]],5,FALSE)</f>
        <v xml:space="preserve">6921 HN </v>
      </c>
      <c r="E252" s="105" t="str">
        <f>VLOOKUP(Ruimtestaat[[#This Row],[Code]],Locaties[#All],6,FALSE)</f>
        <v>Duiven</v>
      </c>
      <c r="F252" s="113"/>
      <c r="G252" s="31" t="s">
        <v>1826</v>
      </c>
      <c r="H252" s="31" t="s">
        <v>1860</v>
      </c>
      <c r="I252" s="113" t="s">
        <v>1861</v>
      </c>
      <c r="J252" s="31">
        <v>20</v>
      </c>
      <c r="K252" s="113" t="str">
        <f>VLOOKUP(Ruimtestaat[[#This Row],[Ruimte code]],Ruimtegroepen[[#All],[Code]:[Ruimte omschrijving]],2,FALSE)</f>
        <v>Niet in Onderhoud</v>
      </c>
      <c r="L252" s="73"/>
      <c r="M252" s="273"/>
      <c r="N252" s="106"/>
      <c r="O252" s="112">
        <v>1.7</v>
      </c>
      <c r="P252" s="73"/>
      <c r="Q252" s="107">
        <f>VLOOKUP(Ruimtestaat[[#This Row],[Ruimte code]],Ruimtegroepen[],4,FALSE)</f>
        <v>0</v>
      </c>
      <c r="R252" s="73"/>
      <c r="S252" s="73"/>
      <c r="T252" s="73">
        <f>IF(R252&gt;0,IF(RIGHT(Ruimtestaat[[#This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2" s="73">
        <f>IF(T252&gt;0,VLOOKUP($J252,Ruimtegroepen[],3,FALSE)*VLOOKUP($L252,Vloersoorten[],3,FALSE)*VLOOKUP($S252,Frequenties[],3,FALSE)*VLOOKUP($A252,Locaties[],3,FALSE),0)</f>
        <v>0</v>
      </c>
      <c r="V252" s="73">
        <f>Ruimtestaat[[#This Row],[Uitvoeringen werkdagen]]*Ruimtestaat[[#This Row],[Oppervlak (netto)]]</f>
        <v>0</v>
      </c>
      <c r="W252" s="108">
        <f>IF(U252&gt;0,Ruimtestaat[[#This Row],[Prest. (m2 /jaar) werkdagen]]/Ruimtestaat[[#This Row],[Norm (m2/uur) werkdagen]],0)</f>
        <v>0</v>
      </c>
      <c r="X252" s="109">
        <f>Ruimtestaat[[#This Row],[uren / jaar werkdagen]]*Tariefsopbouw!$E$35</f>
        <v>0</v>
      </c>
      <c r="Y252" s="73"/>
      <c r="Z252" s="73">
        <f>IF(Ruimtestaat[[#This Row],[Frequentie weekend]]&gt;0,VALUE(LEFT(Y252,1))*R252,0)</f>
        <v>0</v>
      </c>
      <c r="AA252" s="72">
        <f>IF($Z252&gt;0,VLOOKUP($J252,Ruimtegroepen[],3,FALSE)*VLOOKUP($L252,Vloersoorten[],3,FALSE)*VLOOKUP($Y252,Frequenties[],3,FALSE)*VLOOKUP(Ruimtestaat[[#This Row],[Code]],Locaties[],3,FALSE),0)</f>
        <v>0</v>
      </c>
      <c r="AB252" s="72">
        <f>Ruimtestaat[[#This Row],[Uitvoeringen weekend]]*Ruimtestaat[[#This Row],[Oppervlak (netto)]]</f>
        <v>0</v>
      </c>
      <c r="AC252" s="72">
        <f>IF(AA252&gt;0,Ruimtestaat[[#This Row],[Prest. (m2 /jaar) weekend]]/Ruimtestaat[[#This Row],[Norm (m2/uur) weekend]],0)</f>
        <v>0</v>
      </c>
      <c r="AD252" s="109">
        <f>Ruimtestaat[[#This Row],[uren / jaar weekend]]*Tariefsopbouw!$D$40</f>
        <v>0</v>
      </c>
      <c r="AE252" s="108">
        <f>Ruimtestaat[[#This Row],[Prest. (m2 /jaar) weekend]]+Ruimtestaat[[#This Row],[Prest. (m2 /jaar) werkdagen]]</f>
        <v>0</v>
      </c>
      <c r="AF252" s="108">
        <f>Ruimtestaat[[#This Row],[uren / jaar weekend]]+Ruimtestaat[[#This Row],[uren / jaar werkdagen]]</f>
        <v>0</v>
      </c>
      <c r="AG252" s="103">
        <f>Ruimtestaat[[#This Row],[kosten / jaar weekend]]+Ruimtestaat[[#This Row],[kosten / jaar werkdagen]]</f>
        <v>0</v>
      </c>
      <c r="AH252" s="103"/>
      <c r="AI252" s="110" t="str">
        <f>IF(Ruimtestaat[[#This Row],[Frequentie werkdagen]]="","",_xlfn.CONCAT(Ruimtestaat[[#This Row],[Ruimte code]],"-",Ruimtestaat[[#This Row],[Frequentie werkdagen]]," ",Ruimtestaat[[#This Row],[Vloer code]]))</f>
        <v/>
      </c>
      <c r="AJ252" s="114" t="str">
        <f>_xlfn.IFNA(VLOOKUP($AI252,Programma!$F$3:$G$1101,2,0),"")</f>
        <v/>
      </c>
      <c r="AK252" s="114" t="str">
        <f>_xlfn.IFNA(VLOOKUP($AI252,Programma!$F$3:$H$1101,3,0),"")</f>
        <v/>
      </c>
      <c r="AL252" s="114" t="str">
        <f>_xlfn.IFNA(VLOOKUP($AI252,Programma!$F$3:$I$1101,4,0),"")</f>
        <v/>
      </c>
      <c r="AM252" s="114" t="str">
        <f>_xlfn.IFNA(VLOOKUP($AI252,Programma!$F$3:$J$1101,5,0),"")</f>
        <v/>
      </c>
      <c r="AN252" s="114" t="str">
        <f>_xlfn.IFNA(VLOOKUP($AI252,Programma!$F$3:$K$1101,6,0),"")</f>
        <v/>
      </c>
      <c r="AO252" s="114" t="str">
        <f>_xlfn.IFNA(VLOOKUP($AI252,Programma!$F$3:$L$1101,7,0),"")</f>
        <v/>
      </c>
      <c r="AP252" s="114" t="str">
        <f>_xlfn.IFNA(VLOOKUP($AI252,Programma!$F$3:$M$1101,8,0),"")</f>
        <v/>
      </c>
      <c r="AQ252" s="114" t="str">
        <f>_xlfn.IFNA(VLOOKUP($AI252,Programma!$F$3:$N$1101,9,0),"")</f>
        <v/>
      </c>
      <c r="AR252" s="114" t="str">
        <f>_xlfn.IFNA(VLOOKUP($AI252,Programma!$F$3:$O$1101,10,0),"")</f>
        <v/>
      </c>
      <c r="AS252" s="114" t="str">
        <f>_xlfn.IFNA(VLOOKUP($AI252,Programma!$F$3:$P$1101,11,0),"")</f>
        <v/>
      </c>
      <c r="AT252" s="114" t="str">
        <f>_xlfn.IFNA(VLOOKUP($AI252,Programma!$F$3:$Q$1101,12,0),"")</f>
        <v/>
      </c>
      <c r="AU252" s="114" t="str">
        <f>_xlfn.IFNA(VLOOKUP($AI252,Programma!$F$3:$R$1101,13,0),"")</f>
        <v/>
      </c>
      <c r="AV252" s="114" t="str">
        <f>_xlfn.IFNA(VLOOKUP($AI252,Programma!$F$3:$S$1101,14,0),"")</f>
        <v/>
      </c>
      <c r="AW252" s="114" t="str">
        <f>_xlfn.IFNA(VLOOKUP($AI252,Programma!$F$3:$T$1101,15,0),"")</f>
        <v/>
      </c>
      <c r="AX252" s="114" t="str">
        <f>_xlfn.IFNA(VLOOKUP($AI252,Programma!$F$3:$U$1101,16,0),"")</f>
        <v/>
      </c>
      <c r="AY252" s="114" t="str">
        <f>_xlfn.IFNA(VLOOKUP($AI252,Programma!$F$3:$V$1101,17,0),"")</f>
        <v/>
      </c>
      <c r="AZ252" s="114" t="str">
        <f>_xlfn.IFNA(VLOOKUP($AI252,Programma!$F$3:$W$1101,18,0),"")</f>
        <v/>
      </c>
      <c r="BA252" s="114" t="str">
        <f>_xlfn.IFNA(VLOOKUP($AI252,Programma!$F$3:$X$1101,19,0),"")</f>
        <v/>
      </c>
      <c r="BB252" s="114" t="str">
        <f>_xlfn.IFNA(VLOOKUP($AI252,Programma!$F$3:$Y$1101,20,0),"")</f>
        <v/>
      </c>
      <c r="BC252" s="111"/>
      <c r="BD252" s="110" t="str">
        <f>IF(Ruimtestaat[[#This Row],[Frequentie weekend]]="","",_xlfn.CONCAT(Ruimtestaat[[#This Row],[Ruimte code]],"-",Ruimtestaat[[#This Row],[Frequentie weekend]]," ",Ruimtestaat[[#This Row],[Vloer code]]))</f>
        <v/>
      </c>
      <c r="BE252" s="114" t="str">
        <f>_xlfn.IFNA(VLOOKUP($BD252,Programma!$F$3:$G$1101,2,0),"")</f>
        <v/>
      </c>
      <c r="BF252" s="114" t="str">
        <f>_xlfn.IFNA(VLOOKUP($BD252,Programma!$F$3:$H$1101,3,0),"")</f>
        <v/>
      </c>
      <c r="BG252" s="114" t="str">
        <f>_xlfn.IFNA(VLOOKUP($BD252,Programma!$F$3:$I$1101,4,0),"")</f>
        <v/>
      </c>
      <c r="BH252" s="114" t="str">
        <f>_xlfn.IFNA(VLOOKUP($BD252,Programma!$F$3:$J$1101,5,0),"")</f>
        <v/>
      </c>
      <c r="BI252" s="114" t="str">
        <f>_xlfn.IFNA(VLOOKUP($BD252,Programma!$F$3:$K$1101,6,0),"")</f>
        <v/>
      </c>
      <c r="BJ252" s="114" t="str">
        <f>_xlfn.IFNA(VLOOKUP($BD252,Programma!$F$3:$L$1101,7,0),"")</f>
        <v/>
      </c>
      <c r="BK252" s="114" t="str">
        <f>_xlfn.IFNA(VLOOKUP($BD252,Programma!$F$3:$M$1101,8,0),"")</f>
        <v/>
      </c>
      <c r="BL252" s="114" t="str">
        <f>_xlfn.IFNA(VLOOKUP($BD252,Programma!$F$3:$N$1101,9,0),"")</f>
        <v/>
      </c>
      <c r="BM252" s="114" t="str">
        <f>_xlfn.IFNA(VLOOKUP($BD252,Programma!$F$3:$O$1101,10,0),"")</f>
        <v/>
      </c>
      <c r="BN252" s="114" t="str">
        <f>_xlfn.IFNA(VLOOKUP($BD252,Programma!$F$3:$P$1101,11,0),"")</f>
        <v/>
      </c>
      <c r="BO252" s="114" t="str">
        <f>_xlfn.IFNA(VLOOKUP($BD252,Programma!$F$3:$Q$1101,12,0),"")</f>
        <v/>
      </c>
      <c r="BP252" s="114" t="str">
        <f>_xlfn.IFNA(VLOOKUP($BD252,Programma!$F$3:$R$1101,13,0),"")</f>
        <v/>
      </c>
      <c r="BQ252" s="114" t="str">
        <f>_xlfn.IFNA(VLOOKUP($BD252,Programma!$F$3:$S$1101,14,0),"")</f>
        <v/>
      </c>
      <c r="BR252" s="114" t="str">
        <f>_xlfn.IFNA(VLOOKUP($BD252,Programma!$F$3:$T$1101,15,0),"")</f>
        <v/>
      </c>
      <c r="BS252" s="114" t="str">
        <f>_xlfn.IFNA(VLOOKUP($BD252,Programma!$F$3:$U$1101,16,0),"")</f>
        <v/>
      </c>
      <c r="BT252" s="114" t="str">
        <f>_xlfn.IFNA(VLOOKUP($BD252,Programma!$F$3:$V$1101,17,0),"")</f>
        <v/>
      </c>
      <c r="BU252" s="114" t="str">
        <f>_xlfn.IFNA(VLOOKUP($BD252,Programma!$F$3:$W$1101,18,0),"")</f>
        <v/>
      </c>
      <c r="BV252" s="114" t="str">
        <f>_xlfn.IFNA(VLOOKUP($BD252,Programma!$F$3:$X$1101,19,0),"")</f>
        <v/>
      </c>
      <c r="BW252" s="114" t="str">
        <f>_xlfn.IFNA(VLOOKUP($BD252,Programma!$F$3:$Y$1101,20,0),"")</f>
        <v/>
      </c>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c r="DE252" s="28"/>
      <c r="DF252" s="28"/>
      <c r="DG252" s="28"/>
      <c r="DH252" s="28"/>
      <c r="DI252" s="28"/>
      <c r="DJ252" s="28"/>
      <c r="DK252" s="28"/>
      <c r="DL252" s="28"/>
      <c r="DM252" s="28"/>
      <c r="DN252" s="28"/>
      <c r="DO252" s="28"/>
      <c r="DP252" s="28"/>
      <c r="DQ252" s="28"/>
      <c r="DR252" s="28"/>
      <c r="DS252" s="28"/>
      <c r="DT252" s="28"/>
      <c r="DU252" s="28"/>
      <c r="DV252" s="28"/>
      <c r="DW252" s="28"/>
      <c r="DX252" s="28"/>
      <c r="DY252" s="28"/>
      <c r="DZ252" s="28"/>
      <c r="EA252" s="28"/>
      <c r="EB252" s="28"/>
      <c r="EC252" s="28"/>
      <c r="ED252" s="28"/>
      <c r="EE252" s="28"/>
      <c r="EF252" s="28"/>
      <c r="EG252" s="28"/>
      <c r="EH252" s="28"/>
      <c r="EI252" s="28"/>
      <c r="EJ252" s="28"/>
      <c r="EK252" s="28"/>
      <c r="EL252" s="28"/>
      <c r="EM252" s="28"/>
      <c r="EN252" s="28"/>
      <c r="EO252" s="28"/>
      <c r="EP252" s="28"/>
      <c r="EQ252" s="28"/>
      <c r="ER252" s="28"/>
      <c r="ES252" s="28"/>
      <c r="ET252" s="28"/>
      <c r="EU252" s="28"/>
      <c r="EV252" s="28"/>
      <c r="EW252" s="28"/>
      <c r="EX252" s="28"/>
      <c r="EY252" s="28"/>
      <c r="EZ252" s="28"/>
      <c r="FA252" s="28"/>
      <c r="FB252" s="28"/>
      <c r="FC252" s="28"/>
      <c r="FD252" s="28"/>
      <c r="FE252" s="28"/>
      <c r="FF252" s="28"/>
      <c r="FG252" s="28"/>
      <c r="FH252" s="28"/>
      <c r="FI252" s="28"/>
      <c r="FJ252" s="28"/>
      <c r="FK252" s="28"/>
      <c r="FL252" s="28"/>
      <c r="FM252" s="28"/>
      <c r="FN252" s="28"/>
      <c r="FO252" s="28"/>
      <c r="FP252" s="28"/>
      <c r="FQ252" s="28"/>
      <c r="FR252" s="28"/>
      <c r="FS252" s="28"/>
      <c r="FT252" s="28"/>
      <c r="FU252" s="28"/>
      <c r="FV252" s="28"/>
      <c r="FW252" s="28"/>
      <c r="FX252" s="28"/>
      <c r="FY252" s="28"/>
      <c r="FZ252" s="28"/>
      <c r="GA252" s="28"/>
      <c r="GB252" s="28"/>
      <c r="GC252" s="28"/>
      <c r="GD252" s="28"/>
      <c r="GE252" s="28"/>
      <c r="GF252" s="28"/>
      <c r="GG252" s="28"/>
      <c r="GH252" s="28"/>
      <c r="GI252" s="28"/>
      <c r="GJ252" s="28"/>
      <c r="GK252" s="28"/>
      <c r="GL252" s="28"/>
      <c r="GM252" s="28"/>
      <c r="GN252" s="28"/>
      <c r="GO252" s="28"/>
      <c r="GP252" s="28"/>
      <c r="GQ252" s="28"/>
      <c r="GR252" s="28"/>
      <c r="GS252" s="28"/>
      <c r="GT252" s="28"/>
      <c r="GU252" s="28"/>
      <c r="GV252" s="28"/>
      <c r="GW252" s="28"/>
      <c r="GX252" s="28"/>
      <c r="GY252" s="28"/>
      <c r="GZ252" s="28"/>
      <c r="HA252" s="28"/>
      <c r="HB252" s="28"/>
      <c r="HC252" s="28"/>
      <c r="HD252" s="28"/>
      <c r="HE252" s="28"/>
      <c r="HF252" s="28"/>
      <c r="HG252" s="28"/>
      <c r="HH252" s="28"/>
      <c r="HI252" s="28"/>
      <c r="HJ252" s="28"/>
      <c r="HK252" s="28"/>
      <c r="HL252" s="28"/>
    </row>
    <row r="253" spans="1:220" ht="15" customHeight="1">
      <c r="A253" s="31">
        <v>5</v>
      </c>
      <c r="B253" s="105" t="str">
        <f>VLOOKUP(Ruimtestaat[[#This Row],[Code]],Locaties[[Code]:[Locatie]],2,FALSE)</f>
        <v>IKC Remigius</v>
      </c>
      <c r="C253" s="105" t="str">
        <f>VLOOKUP(Ruimtestaat[[#This Row],[Code]],Locaties[[#All],[Code]:[Adres]],4,FALSE)</f>
        <v>Liemersplein 1</v>
      </c>
      <c r="D253" s="105" t="str">
        <f>VLOOKUP(Ruimtestaat[[#This Row],[Code]],Locaties[[#All],[Code]:[Postcode]],5,FALSE)</f>
        <v xml:space="preserve">6921 HN </v>
      </c>
      <c r="E253" s="105" t="str">
        <f>VLOOKUP(Ruimtestaat[[#This Row],[Code]],Locaties[#All],6,FALSE)</f>
        <v>Duiven</v>
      </c>
      <c r="F253" s="113"/>
      <c r="G253" s="31" t="s">
        <v>1826</v>
      </c>
      <c r="H253" s="31" t="s">
        <v>1862</v>
      </c>
      <c r="I253" s="113" t="s">
        <v>1863</v>
      </c>
      <c r="J253" s="31">
        <v>20</v>
      </c>
      <c r="K253" s="113" t="str">
        <f>VLOOKUP(Ruimtestaat[[#This Row],[Ruimte code]],Ruimtegroepen[[#All],[Code]:[Ruimte omschrijving]],2,FALSE)</f>
        <v>Niet in Onderhoud</v>
      </c>
      <c r="L253" s="73"/>
      <c r="M253" s="273"/>
      <c r="N253" s="106"/>
      <c r="O253" s="112">
        <v>1.7</v>
      </c>
      <c r="P253" s="112"/>
      <c r="Q253" s="107">
        <f>VLOOKUP(Ruimtestaat[[#This Row],[Ruimte code]],Ruimtegroepen[],4,FALSE)</f>
        <v>0</v>
      </c>
      <c r="R253" s="73"/>
      <c r="S253" s="73"/>
      <c r="T253" s="73">
        <f>IF(R253&gt;0,IF(RIGHT(Ruimtestaat[[#This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3" s="73">
        <f>IF(T253&gt;0,VLOOKUP($J253,Ruimtegroepen[],3,FALSE)*VLOOKUP($L253,Vloersoorten[],3,FALSE)*VLOOKUP($S253,Frequenties[],3,FALSE)*VLOOKUP($A253,Locaties[],3,FALSE),0)</f>
        <v>0</v>
      </c>
      <c r="V253" s="73">
        <f>Ruimtestaat[[#This Row],[Uitvoeringen werkdagen]]*Ruimtestaat[[#This Row],[Oppervlak (netto)]]</f>
        <v>0</v>
      </c>
      <c r="W253" s="108">
        <f>IF(U253&gt;0,Ruimtestaat[[#This Row],[Prest. (m2 /jaar) werkdagen]]/Ruimtestaat[[#This Row],[Norm (m2/uur) werkdagen]],0)</f>
        <v>0</v>
      </c>
      <c r="X253" s="109">
        <f>Ruimtestaat[[#This Row],[uren / jaar werkdagen]]*Tariefsopbouw!$E$35</f>
        <v>0</v>
      </c>
      <c r="Y253" s="73"/>
      <c r="Z253" s="73">
        <f>IF(Ruimtestaat[[#This Row],[Frequentie weekend]]&gt;0,VALUE(LEFT(Y253,1))*R253,0)</f>
        <v>0</v>
      </c>
      <c r="AA253" s="72">
        <f>IF($Z253&gt;0,VLOOKUP($J253,Ruimtegroepen[],3,FALSE)*VLOOKUP($L253,Vloersoorten[],3,FALSE)*VLOOKUP($Y253,Frequenties[],3,FALSE)*VLOOKUP(Ruimtestaat[[#This Row],[Code]],Locaties[],3,FALSE),0)</f>
        <v>0</v>
      </c>
      <c r="AB253" s="72">
        <f>Ruimtestaat[[#This Row],[Uitvoeringen weekend]]*Ruimtestaat[[#This Row],[Oppervlak (netto)]]</f>
        <v>0</v>
      </c>
      <c r="AC253" s="72">
        <f>IF(AA253&gt;0,Ruimtestaat[[#This Row],[Prest. (m2 /jaar) weekend]]/Ruimtestaat[[#This Row],[Norm (m2/uur) weekend]],0)</f>
        <v>0</v>
      </c>
      <c r="AD253" s="109">
        <f>Ruimtestaat[[#This Row],[uren / jaar weekend]]*Tariefsopbouw!$D$40</f>
        <v>0</v>
      </c>
      <c r="AE253" s="108">
        <f>Ruimtestaat[[#This Row],[Prest. (m2 /jaar) weekend]]+Ruimtestaat[[#This Row],[Prest. (m2 /jaar) werkdagen]]</f>
        <v>0</v>
      </c>
      <c r="AF253" s="108">
        <f>Ruimtestaat[[#This Row],[uren / jaar weekend]]+Ruimtestaat[[#This Row],[uren / jaar werkdagen]]</f>
        <v>0</v>
      </c>
      <c r="AG253" s="103">
        <f>Ruimtestaat[[#This Row],[kosten / jaar weekend]]+Ruimtestaat[[#This Row],[kosten / jaar werkdagen]]</f>
        <v>0</v>
      </c>
      <c r="AH253" s="103"/>
      <c r="AI253" s="110" t="str">
        <f>IF(Ruimtestaat[[#This Row],[Frequentie werkdagen]]="","",_xlfn.CONCAT(Ruimtestaat[[#This Row],[Ruimte code]],"-",Ruimtestaat[[#This Row],[Frequentie werkdagen]]," ",Ruimtestaat[[#This Row],[Vloer code]]))</f>
        <v/>
      </c>
      <c r="AJ253" s="114" t="str">
        <f>_xlfn.IFNA(VLOOKUP($AI253,Programma!$F$3:$G$1101,2,0),"")</f>
        <v/>
      </c>
      <c r="AK253" s="114" t="str">
        <f>_xlfn.IFNA(VLOOKUP($AI253,Programma!$F$3:$H$1101,3,0),"")</f>
        <v/>
      </c>
      <c r="AL253" s="114" t="str">
        <f>_xlfn.IFNA(VLOOKUP($AI253,Programma!$F$3:$I$1101,4,0),"")</f>
        <v/>
      </c>
      <c r="AM253" s="114" t="str">
        <f>_xlfn.IFNA(VLOOKUP($AI253,Programma!$F$3:$J$1101,5,0),"")</f>
        <v/>
      </c>
      <c r="AN253" s="114" t="str">
        <f>_xlfn.IFNA(VLOOKUP($AI253,Programma!$F$3:$K$1101,6,0),"")</f>
        <v/>
      </c>
      <c r="AO253" s="114" t="str">
        <f>_xlfn.IFNA(VLOOKUP($AI253,Programma!$F$3:$L$1101,7,0),"")</f>
        <v/>
      </c>
      <c r="AP253" s="114" t="str">
        <f>_xlfn.IFNA(VLOOKUP($AI253,Programma!$F$3:$M$1101,8,0),"")</f>
        <v/>
      </c>
      <c r="AQ253" s="114" t="str">
        <f>_xlfn.IFNA(VLOOKUP($AI253,Programma!$F$3:$N$1101,9,0),"")</f>
        <v/>
      </c>
      <c r="AR253" s="114" t="str">
        <f>_xlfn.IFNA(VLOOKUP($AI253,Programma!$F$3:$O$1101,10,0),"")</f>
        <v/>
      </c>
      <c r="AS253" s="114" t="str">
        <f>_xlfn.IFNA(VLOOKUP($AI253,Programma!$F$3:$P$1101,11,0),"")</f>
        <v/>
      </c>
      <c r="AT253" s="114" t="str">
        <f>_xlfn.IFNA(VLOOKUP($AI253,Programma!$F$3:$Q$1101,12,0),"")</f>
        <v/>
      </c>
      <c r="AU253" s="114" t="str">
        <f>_xlfn.IFNA(VLOOKUP($AI253,Programma!$F$3:$R$1101,13,0),"")</f>
        <v/>
      </c>
      <c r="AV253" s="114" t="str">
        <f>_xlfn.IFNA(VLOOKUP($AI253,Programma!$F$3:$S$1101,14,0),"")</f>
        <v/>
      </c>
      <c r="AW253" s="114" t="str">
        <f>_xlfn.IFNA(VLOOKUP($AI253,Programma!$F$3:$T$1101,15,0),"")</f>
        <v/>
      </c>
      <c r="AX253" s="114" t="str">
        <f>_xlfn.IFNA(VLOOKUP($AI253,Programma!$F$3:$U$1101,16,0),"")</f>
        <v/>
      </c>
      <c r="AY253" s="114" t="str">
        <f>_xlfn.IFNA(VLOOKUP($AI253,Programma!$F$3:$V$1101,17,0),"")</f>
        <v/>
      </c>
      <c r="AZ253" s="114" t="str">
        <f>_xlfn.IFNA(VLOOKUP($AI253,Programma!$F$3:$W$1101,18,0),"")</f>
        <v/>
      </c>
      <c r="BA253" s="114" t="str">
        <f>_xlfn.IFNA(VLOOKUP($AI253,Programma!$F$3:$X$1101,19,0),"")</f>
        <v/>
      </c>
      <c r="BB253" s="114" t="str">
        <f>_xlfn.IFNA(VLOOKUP($AI253,Programma!$F$3:$Y$1101,20,0),"")</f>
        <v/>
      </c>
      <c r="BC253" s="111"/>
      <c r="BD253" s="110" t="str">
        <f>IF(Ruimtestaat[[#This Row],[Frequentie weekend]]="","",_xlfn.CONCAT(Ruimtestaat[[#This Row],[Ruimte code]],"-",Ruimtestaat[[#This Row],[Frequentie weekend]]," ",Ruimtestaat[[#This Row],[Vloer code]]))</f>
        <v/>
      </c>
      <c r="BE253" s="114" t="str">
        <f>_xlfn.IFNA(VLOOKUP($BD253,Programma!$F$3:$G$1101,2,0),"")</f>
        <v/>
      </c>
      <c r="BF253" s="114" t="str">
        <f>_xlfn.IFNA(VLOOKUP($BD253,Programma!$F$3:$H$1101,3,0),"")</f>
        <v/>
      </c>
      <c r="BG253" s="114" t="str">
        <f>_xlfn.IFNA(VLOOKUP($BD253,Programma!$F$3:$I$1101,4,0),"")</f>
        <v/>
      </c>
      <c r="BH253" s="114" t="str">
        <f>_xlfn.IFNA(VLOOKUP($BD253,Programma!$F$3:$J$1101,5,0),"")</f>
        <v/>
      </c>
      <c r="BI253" s="114" t="str">
        <f>_xlfn.IFNA(VLOOKUP($BD253,Programma!$F$3:$K$1101,6,0),"")</f>
        <v/>
      </c>
      <c r="BJ253" s="114" t="str">
        <f>_xlfn.IFNA(VLOOKUP($BD253,Programma!$F$3:$L$1101,7,0),"")</f>
        <v/>
      </c>
      <c r="BK253" s="114" t="str">
        <f>_xlfn.IFNA(VLOOKUP($BD253,Programma!$F$3:$M$1101,8,0),"")</f>
        <v/>
      </c>
      <c r="BL253" s="114" t="str">
        <f>_xlfn.IFNA(VLOOKUP($BD253,Programma!$F$3:$N$1101,9,0),"")</f>
        <v/>
      </c>
      <c r="BM253" s="114" t="str">
        <f>_xlfn.IFNA(VLOOKUP($BD253,Programma!$F$3:$O$1101,10,0),"")</f>
        <v/>
      </c>
      <c r="BN253" s="114" t="str">
        <f>_xlfn.IFNA(VLOOKUP($BD253,Programma!$F$3:$P$1101,11,0),"")</f>
        <v/>
      </c>
      <c r="BO253" s="114" t="str">
        <f>_xlfn.IFNA(VLOOKUP($BD253,Programma!$F$3:$Q$1101,12,0),"")</f>
        <v/>
      </c>
      <c r="BP253" s="114" t="str">
        <f>_xlfn.IFNA(VLOOKUP($BD253,Programma!$F$3:$R$1101,13,0),"")</f>
        <v/>
      </c>
      <c r="BQ253" s="114" t="str">
        <f>_xlfn.IFNA(VLOOKUP($BD253,Programma!$F$3:$S$1101,14,0),"")</f>
        <v/>
      </c>
      <c r="BR253" s="114" t="str">
        <f>_xlfn.IFNA(VLOOKUP($BD253,Programma!$F$3:$T$1101,15,0),"")</f>
        <v/>
      </c>
      <c r="BS253" s="114" t="str">
        <f>_xlfn.IFNA(VLOOKUP($BD253,Programma!$F$3:$U$1101,16,0),"")</f>
        <v/>
      </c>
      <c r="BT253" s="114" t="str">
        <f>_xlfn.IFNA(VLOOKUP($BD253,Programma!$F$3:$V$1101,17,0),"")</f>
        <v/>
      </c>
      <c r="BU253" s="114" t="str">
        <f>_xlfn.IFNA(VLOOKUP($BD253,Programma!$F$3:$W$1101,18,0),"")</f>
        <v/>
      </c>
      <c r="BV253" s="114" t="str">
        <f>_xlfn.IFNA(VLOOKUP($BD253,Programma!$F$3:$X$1101,19,0),"")</f>
        <v/>
      </c>
      <c r="BW253" s="114" t="str">
        <f>_xlfn.IFNA(VLOOKUP($BD253,Programma!$F$3:$Y$1101,20,0),"")</f>
        <v/>
      </c>
      <c r="BX253" s="28"/>
      <c r="BY253" s="28"/>
      <c r="BZ253" s="28"/>
      <c r="CA253" s="28"/>
      <c r="CB253" s="28"/>
      <c r="CC253" s="28"/>
      <c r="CD253" s="28"/>
      <c r="CE253" s="28"/>
      <c r="CF253" s="28"/>
      <c r="CG253" s="28"/>
      <c r="CH253" s="28"/>
      <c r="CI253" s="28"/>
      <c r="CJ253" s="28"/>
      <c r="CK253" s="28"/>
      <c r="CL253" s="28"/>
      <c r="CM253" s="28"/>
      <c r="CN253" s="28"/>
      <c r="CO253" s="28"/>
      <c r="CP253" s="28"/>
      <c r="CQ253" s="28"/>
      <c r="CR253" s="28"/>
      <c r="CS253" s="28"/>
      <c r="CT253" s="28"/>
      <c r="CU253" s="28"/>
      <c r="CV253" s="28"/>
      <c r="CW253" s="28"/>
      <c r="CX253" s="28"/>
      <c r="CY253" s="28"/>
      <c r="CZ253" s="28"/>
      <c r="DA253" s="28"/>
      <c r="DB253" s="28"/>
      <c r="DC253" s="28"/>
      <c r="DD253" s="28"/>
      <c r="DE253" s="28"/>
      <c r="DF253" s="28"/>
      <c r="DG253" s="28"/>
      <c r="DH253" s="28"/>
      <c r="DI253" s="28"/>
      <c r="DJ253" s="28"/>
      <c r="DK253" s="28"/>
      <c r="DL253" s="28"/>
      <c r="DM253" s="28"/>
      <c r="DN253" s="28"/>
      <c r="DO253" s="28"/>
      <c r="DP253" s="28"/>
      <c r="DQ253" s="28"/>
      <c r="DR253" s="28"/>
      <c r="DS253" s="28"/>
      <c r="DT253" s="28"/>
      <c r="DU253" s="28"/>
      <c r="DV253" s="28"/>
      <c r="DW253" s="28"/>
      <c r="DX253" s="28"/>
      <c r="DY253" s="28"/>
      <c r="DZ253" s="28"/>
      <c r="EA253" s="28"/>
      <c r="EB253" s="28"/>
      <c r="EC253" s="28"/>
      <c r="ED253" s="28"/>
      <c r="EE253" s="28"/>
      <c r="EF253" s="28"/>
      <c r="EG253" s="28"/>
      <c r="EH253" s="28"/>
      <c r="EI253" s="28"/>
      <c r="EJ253" s="28"/>
      <c r="EK253" s="28"/>
      <c r="EL253" s="28"/>
      <c r="EM253" s="28"/>
      <c r="EN253" s="28"/>
      <c r="EO253" s="28"/>
      <c r="EP253" s="28"/>
      <c r="EQ253" s="28"/>
      <c r="ER253" s="28"/>
      <c r="ES253" s="28"/>
      <c r="ET253" s="28"/>
      <c r="EU253" s="28"/>
      <c r="EV253" s="28"/>
      <c r="EW253" s="28"/>
      <c r="EX253" s="28"/>
      <c r="EY253" s="28"/>
      <c r="EZ253" s="28"/>
      <c r="FA253" s="28"/>
      <c r="FB253" s="28"/>
      <c r="FC253" s="28"/>
      <c r="FD253" s="28"/>
      <c r="FE253" s="28"/>
      <c r="FF253" s="28"/>
      <c r="FG253" s="28"/>
      <c r="FH253" s="28"/>
      <c r="FI253" s="28"/>
      <c r="FJ253" s="28"/>
      <c r="FK253" s="28"/>
      <c r="FL253" s="28"/>
      <c r="FM253" s="28"/>
      <c r="FN253" s="28"/>
      <c r="FO253" s="28"/>
      <c r="FP253" s="28"/>
      <c r="FQ253" s="28"/>
      <c r="FR253" s="28"/>
      <c r="FS253" s="28"/>
      <c r="FT253" s="28"/>
      <c r="FU253" s="28"/>
      <c r="FV253" s="28"/>
      <c r="FW253" s="28"/>
      <c r="FX253" s="28"/>
      <c r="FY253" s="28"/>
      <c r="FZ253" s="28"/>
      <c r="GA253" s="28"/>
      <c r="GB253" s="28"/>
      <c r="GC253" s="28"/>
      <c r="GD253" s="28"/>
      <c r="GE253" s="28"/>
      <c r="GF253" s="28"/>
      <c r="GG253" s="28"/>
      <c r="GH253" s="28"/>
      <c r="GI253" s="28"/>
      <c r="GJ253" s="28"/>
      <c r="GK253" s="28"/>
      <c r="GL253" s="28"/>
      <c r="GM253" s="28"/>
      <c r="GN253" s="28"/>
      <c r="GO253" s="28"/>
      <c r="GP253" s="28"/>
      <c r="GQ253" s="28"/>
      <c r="GR253" s="28"/>
      <c r="GS253" s="28"/>
      <c r="GT253" s="28"/>
      <c r="GU253" s="28"/>
      <c r="GV253" s="28"/>
      <c r="GW253" s="28"/>
      <c r="GX253" s="28"/>
      <c r="GY253" s="28"/>
      <c r="GZ253" s="28"/>
      <c r="HA253" s="28"/>
      <c r="HB253" s="28"/>
      <c r="HC253" s="28"/>
      <c r="HD253" s="28"/>
      <c r="HE253" s="28"/>
      <c r="HF253" s="28"/>
      <c r="HG253" s="28"/>
      <c r="HH253" s="28"/>
      <c r="HI253" s="28"/>
      <c r="HJ253" s="28"/>
      <c r="HK253" s="28"/>
      <c r="HL253" s="28"/>
    </row>
    <row r="254" spans="1:220" ht="15" customHeight="1">
      <c r="A254" s="31">
        <v>5</v>
      </c>
      <c r="B254" s="105" t="str">
        <f>VLOOKUP(Ruimtestaat[[#This Row],[Code]],Locaties[[Code]:[Locatie]],2,FALSE)</f>
        <v>IKC Remigius</v>
      </c>
      <c r="C254" s="105" t="str">
        <f>VLOOKUP(Ruimtestaat[[#This Row],[Code]],Locaties[[#All],[Code]:[Adres]],4,FALSE)</f>
        <v>Liemersplein 1</v>
      </c>
      <c r="D254" s="105" t="str">
        <f>VLOOKUP(Ruimtestaat[[#This Row],[Code]],Locaties[[#All],[Code]:[Postcode]],5,FALSE)</f>
        <v xml:space="preserve">6921 HN </v>
      </c>
      <c r="E254" s="105" t="str">
        <f>VLOOKUP(Ruimtestaat[[#This Row],[Code]],Locaties[#All],6,FALSE)</f>
        <v>Duiven</v>
      </c>
      <c r="F254" s="113"/>
      <c r="G254" s="31" t="s">
        <v>1826</v>
      </c>
      <c r="H254" s="31" t="s">
        <v>1864</v>
      </c>
      <c r="I254" s="113" t="s">
        <v>1813</v>
      </c>
      <c r="J254" s="31">
        <v>1</v>
      </c>
      <c r="K254" s="113" t="str">
        <f>VLOOKUP(Ruimtestaat[[#This Row],[Ruimte code]],Ruimtegroepen[[#All],[Code]:[Ruimte omschrijving]],2,FALSE)</f>
        <v>Magazijnen/bergingen</v>
      </c>
      <c r="L254" s="73" t="s">
        <v>102</v>
      </c>
      <c r="M254" s="273" t="s">
        <v>120</v>
      </c>
      <c r="N254" s="106">
        <v>1.2</v>
      </c>
      <c r="O254" s="112"/>
      <c r="P254" s="112"/>
      <c r="Q254" s="107" t="str">
        <f>VLOOKUP(Ruimtestaat[[#This Row],[Ruimte code]],Ruimtegroepen[],4,FALSE)</f>
        <v>Ve</v>
      </c>
      <c r="R254" s="73">
        <v>40</v>
      </c>
      <c r="S254" s="73" t="s">
        <v>16</v>
      </c>
      <c r="T254" s="73">
        <f>IF(R254&gt;0,IF(RIGHT(Ruimtestaat[[#This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54" s="73">
        <f>IF(T254&gt;0,VLOOKUP($J254,Ruimtegroepen[],3,FALSE)*VLOOKUP($L254,Vloersoorten[],3,FALSE)*VLOOKUP($S254,Frequenties[],3,FALSE)*VLOOKUP($A254,Locaties[],3,FALSE),0)</f>
        <v>0</v>
      </c>
      <c r="V254" s="73">
        <f>Ruimtestaat[[#This Row],[Uitvoeringen werkdagen]]*Ruimtestaat[[#This Row],[Oppervlak (netto)]]</f>
        <v>14.399999999999999</v>
      </c>
      <c r="W254" s="108">
        <f>IF(U254&gt;0,Ruimtestaat[[#This Row],[Prest. (m2 /jaar) werkdagen]]/Ruimtestaat[[#This Row],[Norm (m2/uur) werkdagen]],0)</f>
        <v>0</v>
      </c>
      <c r="X254" s="109">
        <f>Ruimtestaat[[#This Row],[uren / jaar werkdagen]]*Tariefsopbouw!$E$35</f>
        <v>0</v>
      </c>
      <c r="Y254" s="73"/>
      <c r="Z254" s="73">
        <f>IF(Ruimtestaat[[#This Row],[Frequentie weekend]]&gt;0,VALUE(LEFT(Y254,1))*R254,0)</f>
        <v>0</v>
      </c>
      <c r="AA254" s="72">
        <f>IF($Z254&gt;0,VLOOKUP($J254,Ruimtegroepen[],3,FALSE)*VLOOKUP($L254,Vloersoorten[],3,FALSE)*VLOOKUP($Y254,Frequenties[],3,FALSE)*VLOOKUP(Ruimtestaat[[#This Row],[Code]],Locaties[],3,FALSE),0)</f>
        <v>0</v>
      </c>
      <c r="AB254" s="72">
        <f>Ruimtestaat[[#This Row],[Uitvoeringen weekend]]*Ruimtestaat[[#This Row],[Oppervlak (netto)]]</f>
        <v>0</v>
      </c>
      <c r="AC254" s="72">
        <f>IF(AA254&gt;0,Ruimtestaat[[#This Row],[Prest. (m2 /jaar) weekend]]/Ruimtestaat[[#This Row],[Norm (m2/uur) weekend]],0)</f>
        <v>0</v>
      </c>
      <c r="AD254" s="109">
        <f>Ruimtestaat[[#This Row],[uren / jaar weekend]]*Tariefsopbouw!$D$40</f>
        <v>0</v>
      </c>
      <c r="AE254" s="108">
        <f>Ruimtestaat[[#This Row],[Prest. (m2 /jaar) weekend]]+Ruimtestaat[[#This Row],[Prest. (m2 /jaar) werkdagen]]</f>
        <v>14.399999999999999</v>
      </c>
      <c r="AF254" s="108">
        <f>Ruimtestaat[[#This Row],[uren / jaar weekend]]+Ruimtestaat[[#This Row],[uren / jaar werkdagen]]</f>
        <v>0</v>
      </c>
      <c r="AG254" s="103">
        <f>Ruimtestaat[[#This Row],[kosten / jaar weekend]]+Ruimtestaat[[#This Row],[kosten / jaar werkdagen]]</f>
        <v>0</v>
      </c>
      <c r="AH254" s="103"/>
      <c r="AI254" s="110" t="str">
        <f>IF(Ruimtestaat[[#This Row],[Frequentie werkdagen]]="","",_xlfn.CONCAT(Ruimtestaat[[#This Row],[Ruimte code]],"-",Ruimtestaat[[#This Row],[Frequentie werkdagen]]," ",Ruimtestaat[[#This Row],[Vloer code]]))</f>
        <v>1-1m P</v>
      </c>
      <c r="AJ254" s="114" t="str">
        <f>_xlfn.IFNA(VLOOKUP($AI254,Programma!$F$3:$G$1101,2,0),"")</f>
        <v>_</v>
      </c>
      <c r="AK254" s="114" t="str">
        <f>_xlfn.IFNA(VLOOKUP($AI254,Programma!$F$3:$H$1101,3,0),"")</f>
        <v>_</v>
      </c>
      <c r="AL254" s="114" t="str">
        <f>_xlfn.IFNA(VLOOKUP($AI254,Programma!$F$3:$I$1101,4,0),"")</f>
        <v>1m</v>
      </c>
      <c r="AM254" s="114" t="str">
        <f>_xlfn.IFNA(VLOOKUP($AI254,Programma!$F$3:$J$1101,5,0),"")</f>
        <v>1m</v>
      </c>
      <c r="AN254" s="114" t="str">
        <f>_xlfn.IFNA(VLOOKUP($AI254,Programma!$F$3:$K$1101,6,0),"")</f>
        <v>1j</v>
      </c>
      <c r="AO254" s="114" t="str">
        <f>_xlfn.IFNA(VLOOKUP($AI254,Programma!$F$3:$L$1101,7,0),"")</f>
        <v>_</v>
      </c>
      <c r="AP254" s="114" t="str">
        <f>_xlfn.IFNA(VLOOKUP($AI254,Programma!$F$3:$M$1101,8,0),"")</f>
        <v>_</v>
      </c>
      <c r="AQ254" s="114" t="str">
        <f>_xlfn.IFNA(VLOOKUP($AI254,Programma!$F$3:$N$1101,9,0),"")</f>
        <v>_</v>
      </c>
      <c r="AR254" s="114" t="str">
        <f>_xlfn.IFNA(VLOOKUP($AI254,Programma!$F$3:$O$1101,10,0),"")</f>
        <v>_</v>
      </c>
      <c r="AS254" s="114" t="str">
        <f>_xlfn.IFNA(VLOOKUP($AI254,Programma!$F$3:$P$1101,11,0),"")</f>
        <v>_</v>
      </c>
      <c r="AT254" s="114" t="str">
        <f>_xlfn.IFNA(VLOOKUP($AI254,Programma!$F$3:$Q$1101,12,0),"")</f>
        <v>_</v>
      </c>
      <c r="AU254" s="114" t="str">
        <f>_xlfn.IFNA(VLOOKUP($AI254,Programma!$F$3:$R$1101,13,0),"")</f>
        <v>_</v>
      </c>
      <c r="AV254" s="114" t="str">
        <f>_xlfn.IFNA(VLOOKUP($AI254,Programma!$F$3:$S$1101,14,0),"")</f>
        <v>1m</v>
      </c>
      <c r="AW254" s="114" t="str">
        <f>_xlfn.IFNA(VLOOKUP($AI254,Programma!$F$3:$T$1101,15,0),"")</f>
        <v>4j</v>
      </c>
      <c r="AX254" s="114" t="str">
        <f>_xlfn.IFNA(VLOOKUP($AI254,Programma!$F$3:$U$1101,16,0),"")</f>
        <v>4j</v>
      </c>
      <c r="AY254" s="114" t="str">
        <f>_xlfn.IFNA(VLOOKUP($AI254,Programma!$F$3:$V$1101,17,0),"")</f>
        <v>_</v>
      </c>
      <c r="AZ254" s="114" t="str">
        <f>_xlfn.IFNA(VLOOKUP($AI254,Programma!$F$3:$W$1101,18,0),"")</f>
        <v>_</v>
      </c>
      <c r="BA254" s="114" t="str">
        <f>_xlfn.IFNA(VLOOKUP($AI254,Programma!$F$3:$X$1101,19,0),"")</f>
        <v>_</v>
      </c>
      <c r="BB254" s="114" t="str">
        <f>_xlfn.IFNA(VLOOKUP($AI254,Programma!$F$3:$Y$1101,20,0),"")</f>
        <v>_</v>
      </c>
      <c r="BC254" s="111"/>
      <c r="BD254" s="110" t="str">
        <f>IF(Ruimtestaat[[#This Row],[Frequentie weekend]]="","",_xlfn.CONCAT(Ruimtestaat[[#This Row],[Ruimte code]],"-",Ruimtestaat[[#This Row],[Frequentie weekend]]," ",Ruimtestaat[[#This Row],[Vloer code]]))</f>
        <v/>
      </c>
      <c r="BE254" s="114" t="str">
        <f>_xlfn.IFNA(VLOOKUP($BD254,Programma!$F$3:$G$1101,2,0),"")</f>
        <v/>
      </c>
      <c r="BF254" s="114" t="str">
        <f>_xlfn.IFNA(VLOOKUP($BD254,Programma!$F$3:$H$1101,3,0),"")</f>
        <v/>
      </c>
      <c r="BG254" s="114" t="str">
        <f>_xlfn.IFNA(VLOOKUP($BD254,Programma!$F$3:$I$1101,4,0),"")</f>
        <v/>
      </c>
      <c r="BH254" s="114" t="str">
        <f>_xlfn.IFNA(VLOOKUP($BD254,Programma!$F$3:$J$1101,5,0),"")</f>
        <v/>
      </c>
      <c r="BI254" s="114" t="str">
        <f>_xlfn.IFNA(VLOOKUP($BD254,Programma!$F$3:$K$1101,6,0),"")</f>
        <v/>
      </c>
      <c r="BJ254" s="114" t="str">
        <f>_xlfn.IFNA(VLOOKUP($BD254,Programma!$F$3:$L$1101,7,0),"")</f>
        <v/>
      </c>
      <c r="BK254" s="114" t="str">
        <f>_xlfn.IFNA(VLOOKUP($BD254,Programma!$F$3:$M$1101,8,0),"")</f>
        <v/>
      </c>
      <c r="BL254" s="114" t="str">
        <f>_xlfn.IFNA(VLOOKUP($BD254,Programma!$F$3:$N$1101,9,0),"")</f>
        <v/>
      </c>
      <c r="BM254" s="114" t="str">
        <f>_xlfn.IFNA(VLOOKUP($BD254,Programma!$F$3:$O$1101,10,0),"")</f>
        <v/>
      </c>
      <c r="BN254" s="114" t="str">
        <f>_xlfn.IFNA(VLOOKUP($BD254,Programma!$F$3:$P$1101,11,0),"")</f>
        <v/>
      </c>
      <c r="BO254" s="114" t="str">
        <f>_xlfn.IFNA(VLOOKUP($BD254,Programma!$F$3:$Q$1101,12,0),"")</f>
        <v/>
      </c>
      <c r="BP254" s="114" t="str">
        <f>_xlfn.IFNA(VLOOKUP($BD254,Programma!$F$3:$R$1101,13,0),"")</f>
        <v/>
      </c>
      <c r="BQ254" s="114" t="str">
        <f>_xlfn.IFNA(VLOOKUP($BD254,Programma!$F$3:$S$1101,14,0),"")</f>
        <v/>
      </c>
      <c r="BR254" s="114" t="str">
        <f>_xlfn.IFNA(VLOOKUP($BD254,Programma!$F$3:$T$1101,15,0),"")</f>
        <v/>
      </c>
      <c r="BS254" s="114" t="str">
        <f>_xlfn.IFNA(VLOOKUP($BD254,Programma!$F$3:$U$1101,16,0),"")</f>
        <v/>
      </c>
      <c r="BT254" s="114" t="str">
        <f>_xlfn.IFNA(VLOOKUP($BD254,Programma!$F$3:$V$1101,17,0),"")</f>
        <v/>
      </c>
      <c r="BU254" s="114" t="str">
        <f>_xlfn.IFNA(VLOOKUP($BD254,Programma!$F$3:$W$1101,18,0),"")</f>
        <v/>
      </c>
      <c r="BV254" s="114" t="str">
        <f>_xlfn.IFNA(VLOOKUP($BD254,Programma!$F$3:$X$1101,19,0),"")</f>
        <v/>
      </c>
      <c r="BW254" s="114" t="str">
        <f>_xlfn.IFNA(VLOOKUP($BD254,Programma!$F$3:$Y$1101,20,0),"")</f>
        <v/>
      </c>
      <c r="BX254" s="28"/>
      <c r="BY254" s="28"/>
      <c r="BZ254" s="28"/>
      <c r="CA254" s="28"/>
      <c r="CB254" s="28"/>
      <c r="CC254" s="28"/>
      <c r="CD254" s="28"/>
      <c r="CE254" s="28"/>
      <c r="CF254" s="28"/>
      <c r="CG254" s="28"/>
      <c r="CH254" s="28"/>
      <c r="CI254" s="28"/>
      <c r="CJ254" s="28"/>
      <c r="CK254" s="28"/>
      <c r="CL254" s="28"/>
      <c r="CM254" s="28"/>
      <c r="CN254" s="28"/>
      <c r="CO254" s="28"/>
      <c r="CP254" s="28"/>
      <c r="CQ254" s="28"/>
      <c r="CR254" s="28"/>
      <c r="CS254" s="28"/>
      <c r="CT254" s="28"/>
      <c r="CU254" s="28"/>
      <c r="CV254" s="28"/>
      <c r="CW254" s="28"/>
      <c r="CX254" s="28"/>
      <c r="CY254" s="28"/>
      <c r="CZ254" s="28"/>
      <c r="DA254" s="28"/>
      <c r="DB254" s="28"/>
      <c r="DC254" s="28"/>
      <c r="DD254" s="28"/>
      <c r="DE254" s="28"/>
      <c r="DF254" s="28"/>
      <c r="DG254" s="28"/>
      <c r="DH254" s="28"/>
      <c r="DI254" s="28"/>
      <c r="DJ254" s="28"/>
      <c r="DK254" s="28"/>
      <c r="DL254" s="28"/>
      <c r="DM254" s="28"/>
      <c r="DN254" s="28"/>
      <c r="DO254" s="28"/>
      <c r="DP254" s="28"/>
      <c r="DQ254" s="28"/>
      <c r="DR254" s="28"/>
      <c r="DS254" s="28"/>
      <c r="DT254" s="28"/>
      <c r="DU254" s="28"/>
      <c r="DV254" s="28"/>
      <c r="DW254" s="28"/>
      <c r="DX254" s="28"/>
      <c r="DY254" s="28"/>
      <c r="DZ254" s="28"/>
      <c r="EA254" s="28"/>
      <c r="EB254" s="28"/>
      <c r="EC254" s="28"/>
      <c r="ED254" s="28"/>
      <c r="EE254" s="28"/>
      <c r="EF254" s="28"/>
      <c r="EG254" s="28"/>
      <c r="EH254" s="28"/>
      <c r="EI254" s="28"/>
      <c r="EJ254" s="28"/>
      <c r="EK254" s="28"/>
      <c r="EL254" s="28"/>
      <c r="EM254" s="28"/>
      <c r="EN254" s="28"/>
      <c r="EO254" s="28"/>
      <c r="EP254" s="28"/>
      <c r="EQ254" s="28"/>
      <c r="ER254" s="28"/>
      <c r="ES254" s="28"/>
      <c r="ET254" s="28"/>
      <c r="EU254" s="28"/>
      <c r="EV254" s="28"/>
      <c r="EW254" s="28"/>
      <c r="EX254" s="28"/>
      <c r="EY254" s="28"/>
      <c r="EZ254" s="28"/>
      <c r="FA254" s="28"/>
      <c r="FB254" s="28"/>
      <c r="FC254" s="28"/>
      <c r="FD254" s="28"/>
      <c r="FE254" s="28"/>
      <c r="FF254" s="28"/>
      <c r="FG254" s="28"/>
      <c r="FH254" s="28"/>
      <c r="FI254" s="28"/>
      <c r="FJ254" s="28"/>
      <c r="FK254" s="28"/>
      <c r="FL254" s="28"/>
      <c r="FM254" s="28"/>
      <c r="FN254" s="28"/>
      <c r="FO254" s="28"/>
      <c r="FP254" s="28"/>
      <c r="FQ254" s="28"/>
      <c r="FR254" s="28"/>
      <c r="FS254" s="28"/>
      <c r="FT254" s="28"/>
      <c r="FU254" s="28"/>
      <c r="FV254" s="28"/>
      <c r="FW254" s="28"/>
      <c r="FX254" s="28"/>
      <c r="FY254" s="28"/>
      <c r="FZ254" s="28"/>
      <c r="GA254" s="28"/>
      <c r="GB254" s="28"/>
      <c r="GC254" s="28"/>
      <c r="GD254" s="28"/>
      <c r="GE254" s="28"/>
      <c r="GF254" s="28"/>
      <c r="GG254" s="28"/>
      <c r="GH254" s="28"/>
      <c r="GI254" s="28"/>
      <c r="GJ254" s="28"/>
      <c r="GK254" s="28"/>
      <c r="GL254" s="28"/>
      <c r="GM254" s="28"/>
      <c r="GN254" s="28"/>
      <c r="GO254" s="28"/>
      <c r="GP254" s="28"/>
      <c r="GQ254" s="28"/>
      <c r="GR254" s="28"/>
      <c r="GS254" s="28"/>
      <c r="GT254" s="28"/>
      <c r="GU254" s="28"/>
      <c r="GV254" s="28"/>
      <c r="GW254" s="28"/>
      <c r="GX254" s="28"/>
      <c r="GY254" s="28"/>
      <c r="GZ254" s="28"/>
      <c r="HA254" s="28"/>
      <c r="HB254" s="28"/>
      <c r="HC254" s="28"/>
      <c r="HD254" s="28"/>
      <c r="HE254" s="28"/>
      <c r="HF254" s="28"/>
      <c r="HG254" s="28"/>
      <c r="HH254" s="28"/>
      <c r="HI254" s="28"/>
      <c r="HJ254" s="28"/>
      <c r="HK254" s="28"/>
      <c r="HL254" s="28"/>
    </row>
    <row r="255" spans="1:220" ht="15" customHeight="1">
      <c r="A255" s="31">
        <v>5</v>
      </c>
      <c r="B255" s="105" t="str">
        <f>VLOOKUP(Ruimtestaat[[#This Row],[Code]],Locaties[[Code]:[Locatie]],2,FALSE)</f>
        <v>IKC Remigius</v>
      </c>
      <c r="C255" s="105" t="str">
        <f>VLOOKUP(Ruimtestaat[[#This Row],[Code]],Locaties[[#All],[Code]:[Adres]],4,FALSE)</f>
        <v>Liemersplein 1</v>
      </c>
      <c r="D255" s="105" t="str">
        <f>VLOOKUP(Ruimtestaat[[#This Row],[Code]],Locaties[[#All],[Code]:[Postcode]],5,FALSE)</f>
        <v xml:space="preserve">6921 HN </v>
      </c>
      <c r="E255" s="105" t="str">
        <f>VLOOKUP(Ruimtestaat[[#This Row],[Code]],Locaties[#All],6,FALSE)</f>
        <v>Duiven</v>
      </c>
      <c r="F255" s="113"/>
      <c r="G255" s="31" t="s">
        <v>1826</v>
      </c>
      <c r="H255" s="31" t="s">
        <v>1865</v>
      </c>
      <c r="I255" s="113" t="s">
        <v>1790</v>
      </c>
      <c r="J255" s="31">
        <v>5</v>
      </c>
      <c r="K255" s="113" t="str">
        <f>VLOOKUP(Ruimtestaat[[#This Row],[Ruimte code]],Ruimtegroepen[[#All],[Code]:[Ruimte omschrijving]],2,FALSE)</f>
        <v>Sanitair</v>
      </c>
      <c r="L255" s="73" t="s">
        <v>101</v>
      </c>
      <c r="M255" s="273" t="s">
        <v>1893</v>
      </c>
      <c r="N255" s="106">
        <v>3.7</v>
      </c>
      <c r="O255" s="112"/>
      <c r="P255" s="73"/>
      <c r="Q255" s="107" t="str">
        <f>VLOOKUP(Ruimtestaat[[#This Row],[Ruimte code]],Ruimtegroepen[],4,FALSE)</f>
        <v>Sa</v>
      </c>
      <c r="R255" s="73">
        <v>40</v>
      </c>
      <c r="S255" s="73" t="s">
        <v>2</v>
      </c>
      <c r="T255" s="73">
        <f>IF(R255&gt;0,IF(RIGHT(Ruimtestaat[[#This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5" s="73">
        <f>IF(T255&gt;0,VLOOKUP($J255,Ruimtegroepen[],3,FALSE)*VLOOKUP($L255,Vloersoorten[],3,FALSE)*VLOOKUP($S255,Frequenties[],3,FALSE)*VLOOKUP($A255,Locaties[],3,FALSE),0)</f>
        <v>0</v>
      </c>
      <c r="V255" s="73">
        <f>Ruimtestaat[[#This Row],[Uitvoeringen werkdagen]]*Ruimtestaat[[#This Row],[Oppervlak (netto)]]</f>
        <v>740</v>
      </c>
      <c r="W255" s="108">
        <f>IF(U255&gt;0,Ruimtestaat[[#This Row],[Prest. (m2 /jaar) werkdagen]]/Ruimtestaat[[#This Row],[Norm (m2/uur) werkdagen]],0)</f>
        <v>0</v>
      </c>
      <c r="X255" s="109">
        <f>Ruimtestaat[[#This Row],[uren / jaar werkdagen]]*Tariefsopbouw!$E$35</f>
        <v>0</v>
      </c>
      <c r="Y255" s="73"/>
      <c r="Z255" s="73">
        <f>IF(Ruimtestaat[[#This Row],[Frequentie weekend]]&gt;0,VALUE(LEFT(Y255,1))*R255,0)</f>
        <v>0</v>
      </c>
      <c r="AA255" s="72">
        <f>IF($Z255&gt;0,VLOOKUP($J255,Ruimtegroepen[],3,FALSE)*VLOOKUP($L255,Vloersoorten[],3,FALSE)*VLOOKUP($Y255,Frequenties[],3,FALSE)*VLOOKUP(Ruimtestaat[[#This Row],[Code]],Locaties[],3,FALSE),0)</f>
        <v>0</v>
      </c>
      <c r="AB255" s="72">
        <f>Ruimtestaat[[#This Row],[Uitvoeringen weekend]]*Ruimtestaat[[#This Row],[Oppervlak (netto)]]</f>
        <v>0</v>
      </c>
      <c r="AC255" s="72">
        <f>IF(AA255&gt;0,Ruimtestaat[[#This Row],[Prest. (m2 /jaar) weekend]]/Ruimtestaat[[#This Row],[Norm (m2/uur) weekend]],0)</f>
        <v>0</v>
      </c>
      <c r="AD255" s="109">
        <f>Ruimtestaat[[#This Row],[uren / jaar weekend]]*Tariefsopbouw!$D$40</f>
        <v>0</v>
      </c>
      <c r="AE255" s="108">
        <f>Ruimtestaat[[#This Row],[Prest. (m2 /jaar) weekend]]+Ruimtestaat[[#This Row],[Prest. (m2 /jaar) werkdagen]]</f>
        <v>740</v>
      </c>
      <c r="AF255" s="108">
        <f>Ruimtestaat[[#This Row],[uren / jaar weekend]]+Ruimtestaat[[#This Row],[uren / jaar werkdagen]]</f>
        <v>0</v>
      </c>
      <c r="AG255" s="103">
        <f>Ruimtestaat[[#This Row],[kosten / jaar weekend]]+Ruimtestaat[[#This Row],[kosten / jaar werkdagen]]</f>
        <v>0</v>
      </c>
      <c r="AH255" s="103"/>
      <c r="AI255" s="110" t="str">
        <f>IF(Ruimtestaat[[#This Row],[Frequentie werkdagen]]="","",_xlfn.CONCAT(Ruimtestaat[[#This Row],[Ruimte code]],"-",Ruimtestaat[[#This Row],[Frequentie werkdagen]]," ",Ruimtestaat[[#This Row],[Vloer code]]))</f>
        <v>5-5w S</v>
      </c>
      <c r="AJ255" s="114" t="str">
        <f>_xlfn.IFNA(VLOOKUP($AI255,Programma!$F$3:$G$1101,2,0),"")</f>
        <v>_</v>
      </c>
      <c r="AK255" s="114" t="str">
        <f>_xlfn.IFNA(VLOOKUP($AI255,Programma!$F$3:$H$1101,3,0),"")</f>
        <v>_</v>
      </c>
      <c r="AL255" s="114" t="str">
        <f>_xlfn.IFNA(VLOOKUP($AI255,Programma!$F$3:$I$1101,4,0),"")</f>
        <v>_</v>
      </c>
      <c r="AM255" s="114" t="str">
        <f>_xlfn.IFNA(VLOOKUP($AI255,Programma!$F$3:$J$1101,5,0),"")</f>
        <v>4w</v>
      </c>
      <c r="AN255" s="114" t="str">
        <f>_xlfn.IFNA(VLOOKUP($AI255,Programma!$F$3:$K$1101,6,0),"")</f>
        <v>1w</v>
      </c>
      <c r="AO255" s="114" t="str">
        <f>_xlfn.IFNA(VLOOKUP($AI255,Programma!$F$3:$L$1101,7,0),"")</f>
        <v>_</v>
      </c>
      <c r="AP255" s="114" t="str">
        <f>_xlfn.IFNA(VLOOKUP($AI255,Programma!$F$3:$M$1101,8,0),"")</f>
        <v>_</v>
      </c>
      <c r="AQ255" s="114" t="str">
        <f>_xlfn.IFNA(VLOOKUP($AI255,Programma!$F$3:$N$1101,9,0),"")</f>
        <v>_</v>
      </c>
      <c r="AR255" s="114" t="str">
        <f>_xlfn.IFNA(VLOOKUP($AI255,Programma!$F$3:$O$1101,10,0),"")</f>
        <v>_</v>
      </c>
      <c r="AS255" s="114" t="str">
        <f>_xlfn.IFNA(VLOOKUP($AI255,Programma!$F$3:$P$1101,11,0),"")</f>
        <v>_</v>
      </c>
      <c r="AT255" s="114" t="str">
        <f>_xlfn.IFNA(VLOOKUP($AI255,Programma!$F$3:$Q$1101,12,0),"")</f>
        <v>_</v>
      </c>
      <c r="AU255" s="114" t="str">
        <f>_xlfn.IFNA(VLOOKUP($AI255,Programma!$F$3:$R$1101,13,0),"")</f>
        <v>_</v>
      </c>
      <c r="AV255" s="114" t="str">
        <f>_xlfn.IFNA(VLOOKUP($AI255,Programma!$F$3:$S$1101,14,0),"")</f>
        <v>_</v>
      </c>
      <c r="AW255" s="114" t="str">
        <f>_xlfn.IFNA(VLOOKUP($AI255,Programma!$F$3:$T$1101,15,0),"")</f>
        <v>_</v>
      </c>
      <c r="AX255" s="114" t="str">
        <f>_xlfn.IFNA(VLOOKUP($AI255,Programma!$F$3:$U$1101,16,0),"")</f>
        <v>_</v>
      </c>
      <c r="AY255" s="114" t="str">
        <f>_xlfn.IFNA(VLOOKUP($AI255,Programma!$F$3:$V$1101,17,0),"")</f>
        <v>_</v>
      </c>
      <c r="AZ255" s="114" t="str">
        <f>_xlfn.IFNA(VLOOKUP($AI255,Programma!$F$3:$W$1101,18,0),"")</f>
        <v>4w</v>
      </c>
      <c r="BA255" s="114" t="str">
        <f>_xlfn.IFNA(VLOOKUP($AI255,Programma!$F$3:$X$1101,19,0),"")</f>
        <v>1w</v>
      </c>
      <c r="BB255" s="114" t="str">
        <f>_xlfn.IFNA(VLOOKUP($AI255,Programma!$F$3:$Y$1101,20,0),"")</f>
        <v>_</v>
      </c>
      <c r="BC255" s="111"/>
      <c r="BD255" s="110" t="str">
        <f>IF(Ruimtestaat[[#This Row],[Frequentie weekend]]="","",_xlfn.CONCAT(Ruimtestaat[[#This Row],[Ruimte code]],"-",Ruimtestaat[[#This Row],[Frequentie weekend]]," ",Ruimtestaat[[#This Row],[Vloer code]]))</f>
        <v/>
      </c>
      <c r="BE255" s="114" t="str">
        <f>_xlfn.IFNA(VLOOKUP($BD255,Programma!$F$3:$G$1101,2,0),"")</f>
        <v/>
      </c>
      <c r="BF255" s="114" t="str">
        <f>_xlfn.IFNA(VLOOKUP($BD255,Programma!$F$3:$H$1101,3,0),"")</f>
        <v/>
      </c>
      <c r="BG255" s="114" t="str">
        <f>_xlfn.IFNA(VLOOKUP($BD255,Programma!$F$3:$I$1101,4,0),"")</f>
        <v/>
      </c>
      <c r="BH255" s="114" t="str">
        <f>_xlfn.IFNA(VLOOKUP($BD255,Programma!$F$3:$J$1101,5,0),"")</f>
        <v/>
      </c>
      <c r="BI255" s="114" t="str">
        <f>_xlfn.IFNA(VLOOKUP($BD255,Programma!$F$3:$K$1101,6,0),"")</f>
        <v/>
      </c>
      <c r="BJ255" s="114" t="str">
        <f>_xlfn.IFNA(VLOOKUP($BD255,Programma!$F$3:$L$1101,7,0),"")</f>
        <v/>
      </c>
      <c r="BK255" s="114" t="str">
        <f>_xlfn.IFNA(VLOOKUP($BD255,Programma!$F$3:$M$1101,8,0),"")</f>
        <v/>
      </c>
      <c r="BL255" s="114" t="str">
        <f>_xlfn.IFNA(VLOOKUP($BD255,Programma!$F$3:$N$1101,9,0),"")</f>
        <v/>
      </c>
      <c r="BM255" s="114" t="str">
        <f>_xlfn.IFNA(VLOOKUP($BD255,Programma!$F$3:$O$1101,10,0),"")</f>
        <v/>
      </c>
      <c r="BN255" s="114" t="str">
        <f>_xlfn.IFNA(VLOOKUP($BD255,Programma!$F$3:$P$1101,11,0),"")</f>
        <v/>
      </c>
      <c r="BO255" s="114" t="str">
        <f>_xlfn.IFNA(VLOOKUP($BD255,Programma!$F$3:$Q$1101,12,0),"")</f>
        <v/>
      </c>
      <c r="BP255" s="114" t="str">
        <f>_xlfn.IFNA(VLOOKUP($BD255,Programma!$F$3:$R$1101,13,0),"")</f>
        <v/>
      </c>
      <c r="BQ255" s="114" t="str">
        <f>_xlfn.IFNA(VLOOKUP($BD255,Programma!$F$3:$S$1101,14,0),"")</f>
        <v/>
      </c>
      <c r="BR255" s="114" t="str">
        <f>_xlfn.IFNA(VLOOKUP($BD255,Programma!$F$3:$T$1101,15,0),"")</f>
        <v/>
      </c>
      <c r="BS255" s="114" t="str">
        <f>_xlfn.IFNA(VLOOKUP($BD255,Programma!$F$3:$U$1101,16,0),"")</f>
        <v/>
      </c>
      <c r="BT255" s="114" t="str">
        <f>_xlfn.IFNA(VLOOKUP($BD255,Programma!$F$3:$V$1101,17,0),"")</f>
        <v/>
      </c>
      <c r="BU255" s="114" t="str">
        <f>_xlfn.IFNA(VLOOKUP($BD255,Programma!$F$3:$W$1101,18,0),"")</f>
        <v/>
      </c>
      <c r="BV255" s="114" t="str">
        <f>_xlfn.IFNA(VLOOKUP($BD255,Programma!$F$3:$X$1101,19,0),"")</f>
        <v/>
      </c>
      <c r="BW255" s="114" t="str">
        <f>_xlfn.IFNA(VLOOKUP($BD255,Programma!$F$3:$Y$1101,20,0),"")</f>
        <v/>
      </c>
      <c r="BX255" s="28"/>
      <c r="BY255" s="28"/>
      <c r="BZ255" s="28"/>
      <c r="CA255" s="28"/>
      <c r="CB255" s="28"/>
      <c r="CC255" s="28"/>
      <c r="CD255" s="28"/>
      <c r="CE255" s="28"/>
      <c r="CF255" s="28"/>
      <c r="CG255" s="28"/>
      <c r="CH255" s="28"/>
      <c r="CI255" s="28"/>
      <c r="CJ255" s="28"/>
      <c r="CK255" s="28"/>
      <c r="CL255" s="28"/>
      <c r="CM255" s="28"/>
      <c r="CN255" s="28"/>
      <c r="CO255" s="28"/>
      <c r="CP255" s="28"/>
      <c r="CQ255" s="28"/>
      <c r="CR255" s="28"/>
      <c r="CS255" s="28"/>
      <c r="CT255" s="28"/>
      <c r="CU255" s="28"/>
      <c r="CV255" s="28"/>
      <c r="CW255" s="28"/>
      <c r="CX255" s="28"/>
      <c r="CY255" s="28"/>
      <c r="CZ255" s="28"/>
      <c r="DA255" s="28"/>
      <c r="DB255" s="28"/>
      <c r="DC255" s="28"/>
      <c r="DD255" s="28"/>
      <c r="DE255" s="28"/>
      <c r="DF255" s="28"/>
      <c r="DG255" s="28"/>
      <c r="DH255" s="28"/>
      <c r="DI255" s="28"/>
      <c r="DJ255" s="28"/>
      <c r="DK255" s="28"/>
      <c r="DL255" s="28"/>
      <c r="DM255" s="28"/>
      <c r="DN255" s="28"/>
      <c r="DO255" s="28"/>
      <c r="DP255" s="28"/>
      <c r="DQ255" s="28"/>
      <c r="DR255" s="28"/>
      <c r="DS255" s="28"/>
      <c r="DT255" s="28"/>
      <c r="DU255" s="28"/>
      <c r="DV255" s="28"/>
      <c r="DW255" s="28"/>
      <c r="DX255" s="28"/>
      <c r="DY255" s="28"/>
      <c r="DZ255" s="28"/>
      <c r="EA255" s="28"/>
      <c r="EB255" s="28"/>
      <c r="EC255" s="28"/>
      <c r="ED255" s="28"/>
      <c r="EE255" s="28"/>
      <c r="EF255" s="28"/>
      <c r="EG255" s="28"/>
      <c r="EH255" s="28"/>
      <c r="EI255" s="28"/>
      <c r="EJ255" s="28"/>
      <c r="EK255" s="28"/>
      <c r="EL255" s="28"/>
      <c r="EM255" s="28"/>
      <c r="EN255" s="28"/>
      <c r="EO255" s="28"/>
      <c r="EP255" s="28"/>
      <c r="EQ255" s="28"/>
      <c r="ER255" s="28"/>
      <c r="ES255" s="28"/>
      <c r="ET255" s="28"/>
      <c r="EU255" s="28"/>
      <c r="EV255" s="28"/>
      <c r="EW255" s="28"/>
      <c r="EX255" s="28"/>
      <c r="EY255" s="28"/>
      <c r="EZ255" s="28"/>
      <c r="FA255" s="28"/>
      <c r="FB255" s="28"/>
      <c r="FC255" s="28"/>
      <c r="FD255" s="28"/>
      <c r="FE255" s="28"/>
      <c r="FF255" s="28"/>
      <c r="FG255" s="28"/>
      <c r="FH255" s="28"/>
      <c r="FI255" s="28"/>
      <c r="FJ255" s="28"/>
      <c r="FK255" s="28"/>
      <c r="FL255" s="28"/>
      <c r="FM255" s="28"/>
      <c r="FN255" s="28"/>
      <c r="FO255" s="28"/>
      <c r="FP255" s="28"/>
      <c r="FQ255" s="28"/>
      <c r="FR255" s="28"/>
      <c r="FS255" s="28"/>
      <c r="FT255" s="28"/>
      <c r="FU255" s="28"/>
      <c r="FV255" s="28"/>
      <c r="FW255" s="28"/>
      <c r="FX255" s="28"/>
      <c r="FY255" s="28"/>
      <c r="FZ255" s="28"/>
      <c r="GA255" s="28"/>
      <c r="GB255" s="28"/>
      <c r="GC255" s="28"/>
      <c r="GD255" s="28"/>
      <c r="GE255" s="28"/>
      <c r="GF255" s="28"/>
      <c r="GG255" s="28"/>
      <c r="GH255" s="28"/>
      <c r="GI255" s="28"/>
      <c r="GJ255" s="28"/>
      <c r="GK255" s="28"/>
      <c r="GL255" s="28"/>
      <c r="GM255" s="28"/>
      <c r="GN255" s="28"/>
      <c r="GO255" s="28"/>
      <c r="GP255" s="28"/>
      <c r="GQ255" s="28"/>
      <c r="GR255" s="28"/>
      <c r="GS255" s="28"/>
      <c r="GT255" s="28"/>
      <c r="GU255" s="28"/>
      <c r="GV255" s="28"/>
      <c r="GW255" s="28"/>
      <c r="GX255" s="28"/>
      <c r="GY255" s="28"/>
      <c r="GZ255" s="28"/>
      <c r="HA255" s="28"/>
      <c r="HB255" s="28"/>
      <c r="HC255" s="28"/>
      <c r="HD255" s="28"/>
      <c r="HE255" s="28"/>
      <c r="HF255" s="28"/>
      <c r="HG255" s="28"/>
      <c r="HH255" s="28"/>
      <c r="HI255" s="28"/>
      <c r="HJ255" s="28"/>
      <c r="HK255" s="28"/>
      <c r="HL255" s="28"/>
    </row>
    <row r="256" spans="1:220" ht="15" customHeight="1">
      <c r="A256" s="31">
        <v>5</v>
      </c>
      <c r="B256" s="105" t="str">
        <f>VLOOKUP(Ruimtestaat[[#This Row],[Code]],Locaties[[Code]:[Locatie]],2,FALSE)</f>
        <v>IKC Remigius</v>
      </c>
      <c r="C256" s="105" t="str">
        <f>VLOOKUP(Ruimtestaat[[#This Row],[Code]],Locaties[[#All],[Code]:[Adres]],4,FALSE)</f>
        <v>Liemersplein 1</v>
      </c>
      <c r="D256" s="105" t="str">
        <f>VLOOKUP(Ruimtestaat[[#This Row],[Code]],Locaties[[#All],[Code]:[Postcode]],5,FALSE)</f>
        <v xml:space="preserve">6921 HN </v>
      </c>
      <c r="E256" s="105" t="str">
        <f>VLOOKUP(Ruimtestaat[[#This Row],[Code]],Locaties[#All],6,FALSE)</f>
        <v>Duiven</v>
      </c>
      <c r="F256" s="113"/>
      <c r="G256" s="31" t="s">
        <v>1826</v>
      </c>
      <c r="H256" s="31" t="s">
        <v>1866</v>
      </c>
      <c r="I256" s="113" t="s">
        <v>1867</v>
      </c>
      <c r="J256" s="31">
        <v>10</v>
      </c>
      <c r="K256" s="113" t="str">
        <f>VLOOKUP(Ruimtestaat[[#This Row],[Ruimte code]],Ruimtegroepen[[#All],[Code]:[Ruimte omschrijving]],2,FALSE)</f>
        <v>Trappenhuizen/lift</v>
      </c>
      <c r="L256" s="73" t="s">
        <v>102</v>
      </c>
      <c r="M256" s="273" t="s">
        <v>120</v>
      </c>
      <c r="N256" s="106">
        <v>10.6</v>
      </c>
      <c r="O256" s="112"/>
      <c r="P256" s="112"/>
      <c r="Q256" s="107" t="str">
        <f>VLOOKUP(Ruimtestaat[[#This Row],[Ruimte code]],Ruimtegroepen[],4,FALSE)</f>
        <v>Ve</v>
      </c>
      <c r="R256" s="73">
        <v>40</v>
      </c>
      <c r="S256" s="73" t="s">
        <v>2</v>
      </c>
      <c r="T256" s="73">
        <f>IF(R256&gt;0,IF(RIGHT(Ruimtestaat[[#This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6" s="73">
        <f>IF(T256&gt;0,VLOOKUP($J256,Ruimtegroepen[],3,FALSE)*VLOOKUP($L256,Vloersoorten[],3,FALSE)*VLOOKUP($S256,Frequenties[],3,FALSE)*VLOOKUP($A256,Locaties[],3,FALSE),0)</f>
        <v>0</v>
      </c>
      <c r="V256" s="73">
        <f>Ruimtestaat[[#This Row],[Uitvoeringen werkdagen]]*Ruimtestaat[[#This Row],[Oppervlak (netto)]]</f>
        <v>2120</v>
      </c>
      <c r="W256" s="108">
        <f>IF(U256&gt;0,Ruimtestaat[[#This Row],[Prest. (m2 /jaar) werkdagen]]/Ruimtestaat[[#This Row],[Norm (m2/uur) werkdagen]],0)</f>
        <v>0</v>
      </c>
      <c r="X256" s="109">
        <f>Ruimtestaat[[#This Row],[uren / jaar werkdagen]]*Tariefsopbouw!$E$35</f>
        <v>0</v>
      </c>
      <c r="Y256" s="73"/>
      <c r="Z256" s="73">
        <f>IF(Ruimtestaat[[#This Row],[Frequentie weekend]]&gt;0,VALUE(LEFT(Y256,1))*R256,0)</f>
        <v>0</v>
      </c>
      <c r="AA256" s="72">
        <f>IF($Z256&gt;0,VLOOKUP($J256,Ruimtegroepen[],3,FALSE)*VLOOKUP($L256,Vloersoorten[],3,FALSE)*VLOOKUP($Y256,Frequenties[],3,FALSE)*VLOOKUP(Ruimtestaat[[#This Row],[Code]],Locaties[],3,FALSE),0)</f>
        <v>0</v>
      </c>
      <c r="AB256" s="72">
        <f>Ruimtestaat[[#This Row],[Uitvoeringen weekend]]*Ruimtestaat[[#This Row],[Oppervlak (netto)]]</f>
        <v>0</v>
      </c>
      <c r="AC256" s="72">
        <f>IF(AA256&gt;0,Ruimtestaat[[#This Row],[Prest. (m2 /jaar) weekend]]/Ruimtestaat[[#This Row],[Norm (m2/uur) weekend]],0)</f>
        <v>0</v>
      </c>
      <c r="AD256" s="109">
        <f>Ruimtestaat[[#This Row],[uren / jaar weekend]]*Tariefsopbouw!$D$40</f>
        <v>0</v>
      </c>
      <c r="AE256" s="108">
        <f>Ruimtestaat[[#This Row],[Prest. (m2 /jaar) weekend]]+Ruimtestaat[[#This Row],[Prest. (m2 /jaar) werkdagen]]</f>
        <v>2120</v>
      </c>
      <c r="AF256" s="108">
        <f>Ruimtestaat[[#This Row],[uren / jaar weekend]]+Ruimtestaat[[#This Row],[uren / jaar werkdagen]]</f>
        <v>0</v>
      </c>
      <c r="AG256" s="103">
        <f>Ruimtestaat[[#This Row],[kosten / jaar weekend]]+Ruimtestaat[[#This Row],[kosten / jaar werkdagen]]</f>
        <v>0</v>
      </c>
      <c r="AH256" s="103"/>
      <c r="AI256" s="110" t="str">
        <f>IF(Ruimtestaat[[#This Row],[Frequentie werkdagen]]="","",_xlfn.CONCAT(Ruimtestaat[[#This Row],[Ruimte code]],"-",Ruimtestaat[[#This Row],[Frequentie werkdagen]]," ",Ruimtestaat[[#This Row],[Vloer code]]))</f>
        <v>10-5w P</v>
      </c>
      <c r="AJ256" s="114" t="str">
        <f>_xlfn.IFNA(VLOOKUP($AI256,Programma!$F$3:$G$1101,2,0),"")</f>
        <v>_</v>
      </c>
      <c r="AK256" s="114" t="str">
        <f>_xlfn.IFNA(VLOOKUP($AI256,Programma!$F$3:$H$1101,3,0),"")</f>
        <v>_</v>
      </c>
      <c r="AL256" s="114" t="str">
        <f>_xlfn.IFNA(VLOOKUP($AI256,Programma!$F$3:$I$1101,4,0),"")</f>
        <v>5w</v>
      </c>
      <c r="AM256" s="114" t="str">
        <f>_xlfn.IFNA(VLOOKUP($AI256,Programma!$F$3:$J$1101,5,0),"")</f>
        <v>_</v>
      </c>
      <c r="AN256" s="114" t="str">
        <f>_xlfn.IFNA(VLOOKUP($AI256,Programma!$F$3:$K$1101,6,0),"")</f>
        <v>4j</v>
      </c>
      <c r="AO256" s="114" t="str">
        <f>_xlfn.IFNA(VLOOKUP($AI256,Programma!$F$3:$L$1101,7,0),"")</f>
        <v>_</v>
      </c>
      <c r="AP256" s="114" t="str">
        <f>_xlfn.IFNA(VLOOKUP($AI256,Programma!$F$3:$M$1101,8,0),"")</f>
        <v>_</v>
      </c>
      <c r="AQ256" s="114" t="str">
        <f>_xlfn.IFNA(VLOOKUP($AI256,Programma!$F$3:$N$1101,9,0),"")</f>
        <v>_</v>
      </c>
      <c r="AR256" s="114" t="str">
        <f>_xlfn.IFNA(VLOOKUP($AI256,Programma!$F$3:$O$1101,10,0),"")</f>
        <v>5w</v>
      </c>
      <c r="AS256" s="114" t="str">
        <f>_xlfn.IFNA(VLOOKUP($AI256,Programma!$F$3:$P$1101,11,0),"")</f>
        <v>5w</v>
      </c>
      <c r="AT256" s="114" t="str">
        <f>_xlfn.IFNA(VLOOKUP($AI256,Programma!$F$3:$Q$1101,12,0),"")</f>
        <v>1w</v>
      </c>
      <c r="AU256" s="114" t="str">
        <f>_xlfn.IFNA(VLOOKUP($AI256,Programma!$F$3:$R$1101,13,0),"")</f>
        <v>1w</v>
      </c>
      <c r="AV256" s="114" t="str">
        <f>_xlfn.IFNA(VLOOKUP($AI256,Programma!$F$3:$S$1101,14,0),"")</f>
        <v>1m</v>
      </c>
      <c r="AW256" s="114" t="str">
        <f>_xlfn.IFNA(VLOOKUP($AI256,Programma!$F$3:$T$1101,15,0),"")</f>
        <v>2j</v>
      </c>
      <c r="AX256" s="114" t="str">
        <f>_xlfn.IFNA(VLOOKUP($AI256,Programma!$F$3:$U$1101,16,0),"")</f>
        <v>1j</v>
      </c>
      <c r="AY256" s="114" t="str">
        <f>_xlfn.IFNA(VLOOKUP($AI256,Programma!$F$3:$V$1101,17,0),"")</f>
        <v>_</v>
      </c>
      <c r="AZ256" s="114" t="str">
        <f>_xlfn.IFNA(VLOOKUP($AI256,Programma!$F$3:$W$1101,18,0),"")</f>
        <v>_</v>
      </c>
      <c r="BA256" s="114" t="str">
        <f>_xlfn.IFNA(VLOOKUP($AI256,Programma!$F$3:$X$1101,19,0),"")</f>
        <v>_</v>
      </c>
      <c r="BB256" s="114" t="str">
        <f>_xlfn.IFNA(VLOOKUP($AI256,Programma!$F$3:$Y$1101,20,0),"")</f>
        <v>_</v>
      </c>
      <c r="BC256" s="111"/>
      <c r="BD256" s="110" t="str">
        <f>IF(Ruimtestaat[[#This Row],[Frequentie weekend]]="","",_xlfn.CONCAT(Ruimtestaat[[#This Row],[Ruimte code]],"-",Ruimtestaat[[#This Row],[Frequentie weekend]]," ",Ruimtestaat[[#This Row],[Vloer code]]))</f>
        <v/>
      </c>
      <c r="BE256" s="114" t="str">
        <f>_xlfn.IFNA(VLOOKUP($BD256,Programma!$F$3:$G$1101,2,0),"")</f>
        <v/>
      </c>
      <c r="BF256" s="114" t="str">
        <f>_xlfn.IFNA(VLOOKUP($BD256,Programma!$F$3:$H$1101,3,0),"")</f>
        <v/>
      </c>
      <c r="BG256" s="114" t="str">
        <f>_xlfn.IFNA(VLOOKUP($BD256,Programma!$F$3:$I$1101,4,0),"")</f>
        <v/>
      </c>
      <c r="BH256" s="114" t="str">
        <f>_xlfn.IFNA(VLOOKUP($BD256,Programma!$F$3:$J$1101,5,0),"")</f>
        <v/>
      </c>
      <c r="BI256" s="114" t="str">
        <f>_xlfn.IFNA(VLOOKUP($BD256,Programma!$F$3:$K$1101,6,0),"")</f>
        <v/>
      </c>
      <c r="BJ256" s="114" t="str">
        <f>_xlfn.IFNA(VLOOKUP($BD256,Programma!$F$3:$L$1101,7,0),"")</f>
        <v/>
      </c>
      <c r="BK256" s="114" t="str">
        <f>_xlfn.IFNA(VLOOKUP($BD256,Programma!$F$3:$M$1101,8,0),"")</f>
        <v/>
      </c>
      <c r="BL256" s="114" t="str">
        <f>_xlfn.IFNA(VLOOKUP($BD256,Programma!$F$3:$N$1101,9,0),"")</f>
        <v/>
      </c>
      <c r="BM256" s="114" t="str">
        <f>_xlfn.IFNA(VLOOKUP($BD256,Programma!$F$3:$O$1101,10,0),"")</f>
        <v/>
      </c>
      <c r="BN256" s="114" t="str">
        <f>_xlfn.IFNA(VLOOKUP($BD256,Programma!$F$3:$P$1101,11,0),"")</f>
        <v/>
      </c>
      <c r="BO256" s="114" t="str">
        <f>_xlfn.IFNA(VLOOKUP($BD256,Programma!$F$3:$Q$1101,12,0),"")</f>
        <v/>
      </c>
      <c r="BP256" s="114" t="str">
        <f>_xlfn.IFNA(VLOOKUP($BD256,Programma!$F$3:$R$1101,13,0),"")</f>
        <v/>
      </c>
      <c r="BQ256" s="114" t="str">
        <f>_xlfn.IFNA(VLOOKUP($BD256,Programma!$F$3:$S$1101,14,0),"")</f>
        <v/>
      </c>
      <c r="BR256" s="114" t="str">
        <f>_xlfn.IFNA(VLOOKUP($BD256,Programma!$F$3:$T$1101,15,0),"")</f>
        <v/>
      </c>
      <c r="BS256" s="114" t="str">
        <f>_xlfn.IFNA(VLOOKUP($BD256,Programma!$F$3:$U$1101,16,0),"")</f>
        <v/>
      </c>
      <c r="BT256" s="114" t="str">
        <f>_xlfn.IFNA(VLOOKUP($BD256,Programma!$F$3:$V$1101,17,0),"")</f>
        <v/>
      </c>
      <c r="BU256" s="114" t="str">
        <f>_xlfn.IFNA(VLOOKUP($BD256,Programma!$F$3:$W$1101,18,0),"")</f>
        <v/>
      </c>
      <c r="BV256" s="114" t="str">
        <f>_xlfn.IFNA(VLOOKUP($BD256,Programma!$F$3:$X$1101,19,0),"")</f>
        <v/>
      </c>
      <c r="BW256" s="114" t="str">
        <f>_xlfn.IFNA(VLOOKUP($BD256,Programma!$F$3:$Y$1101,20,0),"")</f>
        <v/>
      </c>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8"/>
      <c r="FI256" s="28"/>
      <c r="FJ256" s="28"/>
      <c r="FK256" s="28"/>
      <c r="FL256" s="28"/>
      <c r="FM256" s="28"/>
      <c r="FN256" s="28"/>
      <c r="FO256" s="28"/>
      <c r="FP256" s="28"/>
      <c r="FQ256" s="28"/>
      <c r="FR256" s="28"/>
      <c r="FS256" s="28"/>
      <c r="FT256" s="28"/>
      <c r="FU256" s="28"/>
      <c r="FV256" s="28"/>
      <c r="FW256" s="28"/>
      <c r="FX256" s="28"/>
      <c r="FY256" s="28"/>
      <c r="FZ256" s="28"/>
      <c r="GA256" s="28"/>
      <c r="GB256" s="28"/>
      <c r="GC256" s="28"/>
      <c r="GD256" s="28"/>
      <c r="GE256" s="28"/>
      <c r="GF256" s="28"/>
      <c r="GG256" s="28"/>
      <c r="GH256" s="28"/>
      <c r="GI256" s="28"/>
      <c r="GJ256" s="28"/>
      <c r="GK256" s="28"/>
      <c r="GL256" s="28"/>
      <c r="GM256" s="28"/>
      <c r="GN256" s="28"/>
      <c r="GO256" s="28"/>
      <c r="GP256" s="28"/>
      <c r="GQ256" s="28"/>
      <c r="GR256" s="28"/>
      <c r="GS256" s="28"/>
      <c r="GT256" s="28"/>
      <c r="GU256" s="28"/>
      <c r="GV256" s="28"/>
      <c r="GW256" s="28"/>
      <c r="GX256" s="28"/>
      <c r="GY256" s="28"/>
      <c r="GZ256" s="28"/>
      <c r="HA256" s="28"/>
      <c r="HB256" s="28"/>
      <c r="HC256" s="28"/>
      <c r="HD256" s="28"/>
      <c r="HE256" s="28"/>
      <c r="HF256" s="28"/>
      <c r="HG256" s="28"/>
      <c r="HH256" s="28"/>
      <c r="HI256" s="28"/>
      <c r="HJ256" s="28"/>
      <c r="HK256" s="28"/>
      <c r="HL256" s="28"/>
    </row>
    <row r="257" spans="1:220" ht="15" customHeight="1">
      <c r="A257" s="31">
        <v>5</v>
      </c>
      <c r="B257" s="105" t="str">
        <f>VLOOKUP(Ruimtestaat[[#This Row],[Code]],Locaties[[Code]:[Locatie]],2,FALSE)</f>
        <v>IKC Remigius</v>
      </c>
      <c r="C257" s="105" t="str">
        <f>VLOOKUP(Ruimtestaat[[#This Row],[Code]],Locaties[[#All],[Code]:[Adres]],4,FALSE)</f>
        <v>Liemersplein 1</v>
      </c>
      <c r="D257" s="105" t="str">
        <f>VLOOKUP(Ruimtestaat[[#This Row],[Code]],Locaties[[#All],[Code]:[Postcode]],5,FALSE)</f>
        <v xml:space="preserve">6921 HN </v>
      </c>
      <c r="E257" s="105" t="str">
        <f>VLOOKUP(Ruimtestaat[[#This Row],[Code]],Locaties[#All],6,FALSE)</f>
        <v>Duiven</v>
      </c>
      <c r="F257" s="113"/>
      <c r="G257" s="31" t="s">
        <v>1826</v>
      </c>
      <c r="H257" s="31" t="s">
        <v>1868</v>
      </c>
      <c r="I257" s="113" t="s">
        <v>1726</v>
      </c>
      <c r="J257" s="31">
        <v>2</v>
      </c>
      <c r="K257" s="113" t="str">
        <f>VLOOKUP(Ruimtestaat[[#This Row],[Ruimte code]],Ruimtegroepen[[#All],[Code]:[Ruimte omschrijving]],2,FALSE)</f>
        <v>Kantoren</v>
      </c>
      <c r="L257" s="73" t="s">
        <v>102</v>
      </c>
      <c r="M257" s="273" t="s">
        <v>120</v>
      </c>
      <c r="N257" s="106">
        <v>9.8000000000000007</v>
      </c>
      <c r="O257" s="112"/>
      <c r="P257" s="112"/>
      <c r="Q257" s="107" t="str">
        <f>VLOOKUP(Ruimtestaat[[#This Row],[Ruimte code]],Ruimtegroepen[],4,FALSE)</f>
        <v>Bu</v>
      </c>
      <c r="R257" s="73">
        <v>40</v>
      </c>
      <c r="S257" s="73" t="s">
        <v>15</v>
      </c>
      <c r="T257" s="73">
        <f>IF(R257&gt;0,IF(RIGHT(Ruimtestaat[[#This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57" s="73">
        <f>IF(T257&gt;0,VLOOKUP($J257,Ruimtegroepen[],3,FALSE)*VLOOKUP($L257,Vloersoorten[],3,FALSE)*VLOOKUP($S257,Frequenties[],3,FALSE)*VLOOKUP($A257,Locaties[],3,FALSE),0)</f>
        <v>0</v>
      </c>
      <c r="V257" s="73">
        <f>Ruimtestaat[[#This Row],[Uitvoeringen werkdagen]]*Ruimtestaat[[#This Row],[Oppervlak (netto)]]</f>
        <v>392</v>
      </c>
      <c r="W257" s="108">
        <f>IF(U257&gt;0,Ruimtestaat[[#This Row],[Prest. (m2 /jaar) werkdagen]]/Ruimtestaat[[#This Row],[Norm (m2/uur) werkdagen]],0)</f>
        <v>0</v>
      </c>
      <c r="X257" s="109">
        <f>Ruimtestaat[[#This Row],[uren / jaar werkdagen]]*Tariefsopbouw!$E$35</f>
        <v>0</v>
      </c>
      <c r="Y257" s="73"/>
      <c r="Z257" s="73">
        <f>IF(Ruimtestaat[[#This Row],[Frequentie weekend]]&gt;0,VALUE(LEFT(Y257,1))*R257,0)</f>
        <v>0</v>
      </c>
      <c r="AA257" s="72">
        <f>IF($Z257&gt;0,VLOOKUP($J257,Ruimtegroepen[],3,FALSE)*VLOOKUP($L257,Vloersoorten[],3,FALSE)*VLOOKUP($Y257,Frequenties[],3,FALSE)*VLOOKUP(Ruimtestaat[[#This Row],[Code]],Locaties[],3,FALSE),0)</f>
        <v>0</v>
      </c>
      <c r="AB257" s="72">
        <f>Ruimtestaat[[#This Row],[Uitvoeringen weekend]]*Ruimtestaat[[#This Row],[Oppervlak (netto)]]</f>
        <v>0</v>
      </c>
      <c r="AC257" s="72">
        <f>IF(AA257&gt;0,Ruimtestaat[[#This Row],[Prest. (m2 /jaar) weekend]]/Ruimtestaat[[#This Row],[Norm (m2/uur) weekend]],0)</f>
        <v>0</v>
      </c>
      <c r="AD257" s="109">
        <f>Ruimtestaat[[#This Row],[uren / jaar weekend]]*Tariefsopbouw!$D$40</f>
        <v>0</v>
      </c>
      <c r="AE257" s="108">
        <f>Ruimtestaat[[#This Row],[Prest. (m2 /jaar) weekend]]+Ruimtestaat[[#This Row],[Prest. (m2 /jaar) werkdagen]]</f>
        <v>392</v>
      </c>
      <c r="AF257" s="108">
        <f>Ruimtestaat[[#This Row],[uren / jaar weekend]]+Ruimtestaat[[#This Row],[uren / jaar werkdagen]]</f>
        <v>0</v>
      </c>
      <c r="AG257" s="103">
        <f>Ruimtestaat[[#This Row],[kosten / jaar weekend]]+Ruimtestaat[[#This Row],[kosten / jaar werkdagen]]</f>
        <v>0</v>
      </c>
      <c r="AH257" s="103"/>
      <c r="AI257" s="110" t="str">
        <f>IF(Ruimtestaat[[#This Row],[Frequentie werkdagen]]="","",_xlfn.CONCAT(Ruimtestaat[[#This Row],[Ruimte code]],"-",Ruimtestaat[[#This Row],[Frequentie werkdagen]]," ",Ruimtestaat[[#This Row],[Vloer code]]))</f>
        <v>2-1w P</v>
      </c>
      <c r="AJ257" s="114" t="str">
        <f>_xlfn.IFNA(VLOOKUP($AI257,Programma!$F$3:$G$1101,2,0),"")</f>
        <v>_</v>
      </c>
      <c r="AK257" s="114" t="str">
        <f>_xlfn.IFNA(VLOOKUP($AI257,Programma!$F$3:$H$1101,3,0),"")</f>
        <v>_</v>
      </c>
      <c r="AL257" s="114" t="str">
        <f>_xlfn.IFNA(VLOOKUP($AI257,Programma!$F$3:$I$1101,4,0),"")</f>
        <v>_</v>
      </c>
      <c r="AM257" s="114" t="str">
        <f>_xlfn.IFNA(VLOOKUP($AI257,Programma!$F$3:$J$1101,5,0),"")</f>
        <v>1w</v>
      </c>
      <c r="AN257" s="114" t="str">
        <f>_xlfn.IFNA(VLOOKUP($AI257,Programma!$F$3:$K$1101,6,0),"")</f>
        <v>1j</v>
      </c>
      <c r="AO257" s="114" t="str">
        <f>_xlfn.IFNA(VLOOKUP($AI257,Programma!$F$3:$L$1101,7,0),"")</f>
        <v>_</v>
      </c>
      <c r="AP257" s="114" t="str">
        <f>_xlfn.IFNA(VLOOKUP($AI257,Programma!$F$3:$M$1101,8,0),"")</f>
        <v>_</v>
      </c>
      <c r="AQ257" s="114" t="str">
        <f>_xlfn.IFNA(VLOOKUP($AI257,Programma!$F$3:$N$1101,9,0),"")</f>
        <v>_</v>
      </c>
      <c r="AR257" s="114" t="str">
        <f>_xlfn.IFNA(VLOOKUP($AI257,Programma!$F$3:$O$1101,10,0),"")</f>
        <v>1w</v>
      </c>
      <c r="AS257" s="114" t="str">
        <f>_xlfn.IFNA(VLOOKUP($AI257,Programma!$F$3:$P$1101,11,0),"")</f>
        <v>1w</v>
      </c>
      <c r="AT257" s="114" t="str">
        <f>_xlfn.IFNA(VLOOKUP($AI257,Programma!$F$3:$Q$1101,12,0),"")</f>
        <v>1w</v>
      </c>
      <c r="AU257" s="114" t="str">
        <f>_xlfn.IFNA(VLOOKUP($AI257,Programma!$F$3:$R$1101,13,0),"")</f>
        <v>1w</v>
      </c>
      <c r="AV257" s="114" t="str">
        <f>_xlfn.IFNA(VLOOKUP($AI257,Programma!$F$3:$S$1101,14,0),"")</f>
        <v>1m</v>
      </c>
      <c r="AW257" s="114" t="str">
        <f>_xlfn.IFNA(VLOOKUP($AI257,Programma!$F$3:$T$1101,15,0),"")</f>
        <v>2j</v>
      </c>
      <c r="AX257" s="114" t="str">
        <f>_xlfn.IFNA(VLOOKUP($AI257,Programma!$F$3:$U$1101,16,0),"")</f>
        <v>1j</v>
      </c>
      <c r="AY257" s="114" t="str">
        <f>_xlfn.IFNA(VLOOKUP($AI257,Programma!$F$3:$V$1101,17,0),"")</f>
        <v>_</v>
      </c>
      <c r="AZ257" s="114" t="str">
        <f>_xlfn.IFNA(VLOOKUP($AI257,Programma!$F$3:$W$1101,18,0),"")</f>
        <v>_</v>
      </c>
      <c r="BA257" s="114" t="str">
        <f>_xlfn.IFNA(VLOOKUP($AI257,Programma!$F$3:$X$1101,19,0),"")</f>
        <v>_</v>
      </c>
      <c r="BB257" s="114" t="str">
        <f>_xlfn.IFNA(VLOOKUP($AI257,Programma!$F$3:$Y$1101,20,0),"")</f>
        <v>_</v>
      </c>
      <c r="BC257" s="111"/>
      <c r="BD257" s="110" t="str">
        <f>IF(Ruimtestaat[[#This Row],[Frequentie weekend]]="","",_xlfn.CONCAT(Ruimtestaat[[#This Row],[Ruimte code]],"-",Ruimtestaat[[#This Row],[Frequentie weekend]]," ",Ruimtestaat[[#This Row],[Vloer code]]))</f>
        <v/>
      </c>
      <c r="BE257" s="114" t="str">
        <f>_xlfn.IFNA(VLOOKUP($BD257,Programma!$F$3:$G$1101,2,0),"")</f>
        <v/>
      </c>
      <c r="BF257" s="114" t="str">
        <f>_xlfn.IFNA(VLOOKUP($BD257,Programma!$F$3:$H$1101,3,0),"")</f>
        <v/>
      </c>
      <c r="BG257" s="114" t="str">
        <f>_xlfn.IFNA(VLOOKUP($BD257,Programma!$F$3:$I$1101,4,0),"")</f>
        <v/>
      </c>
      <c r="BH257" s="114" t="str">
        <f>_xlfn.IFNA(VLOOKUP($BD257,Programma!$F$3:$J$1101,5,0),"")</f>
        <v/>
      </c>
      <c r="BI257" s="114" t="str">
        <f>_xlfn.IFNA(VLOOKUP($BD257,Programma!$F$3:$K$1101,6,0),"")</f>
        <v/>
      </c>
      <c r="BJ257" s="114" t="str">
        <f>_xlfn.IFNA(VLOOKUP($BD257,Programma!$F$3:$L$1101,7,0),"")</f>
        <v/>
      </c>
      <c r="BK257" s="114" t="str">
        <f>_xlfn.IFNA(VLOOKUP($BD257,Programma!$F$3:$M$1101,8,0),"")</f>
        <v/>
      </c>
      <c r="BL257" s="114" t="str">
        <f>_xlfn.IFNA(VLOOKUP($BD257,Programma!$F$3:$N$1101,9,0),"")</f>
        <v/>
      </c>
      <c r="BM257" s="114" t="str">
        <f>_xlfn.IFNA(VLOOKUP($BD257,Programma!$F$3:$O$1101,10,0),"")</f>
        <v/>
      </c>
      <c r="BN257" s="114" t="str">
        <f>_xlfn.IFNA(VLOOKUP($BD257,Programma!$F$3:$P$1101,11,0),"")</f>
        <v/>
      </c>
      <c r="BO257" s="114" t="str">
        <f>_xlfn.IFNA(VLOOKUP($BD257,Programma!$F$3:$Q$1101,12,0),"")</f>
        <v/>
      </c>
      <c r="BP257" s="114" t="str">
        <f>_xlfn.IFNA(VLOOKUP($BD257,Programma!$F$3:$R$1101,13,0),"")</f>
        <v/>
      </c>
      <c r="BQ257" s="114" t="str">
        <f>_xlfn.IFNA(VLOOKUP($BD257,Programma!$F$3:$S$1101,14,0),"")</f>
        <v/>
      </c>
      <c r="BR257" s="114" t="str">
        <f>_xlfn.IFNA(VLOOKUP($BD257,Programma!$F$3:$T$1101,15,0),"")</f>
        <v/>
      </c>
      <c r="BS257" s="114" t="str">
        <f>_xlfn.IFNA(VLOOKUP($BD257,Programma!$F$3:$U$1101,16,0),"")</f>
        <v/>
      </c>
      <c r="BT257" s="114" t="str">
        <f>_xlfn.IFNA(VLOOKUP($BD257,Programma!$F$3:$V$1101,17,0),"")</f>
        <v/>
      </c>
      <c r="BU257" s="114" t="str">
        <f>_xlfn.IFNA(VLOOKUP($BD257,Programma!$F$3:$W$1101,18,0),"")</f>
        <v/>
      </c>
      <c r="BV257" s="114" t="str">
        <f>_xlfn.IFNA(VLOOKUP($BD257,Programma!$F$3:$X$1101,19,0),"")</f>
        <v/>
      </c>
      <c r="BW257" s="114" t="str">
        <f>_xlfn.IFNA(VLOOKUP($BD257,Programma!$F$3:$Y$1101,20,0),"")</f>
        <v/>
      </c>
      <c r="BX257" s="28"/>
      <c r="BY257" s="28"/>
      <c r="BZ257" s="28"/>
      <c r="CA257" s="28"/>
      <c r="CB257" s="28"/>
      <c r="CC257" s="28"/>
      <c r="CD257" s="28"/>
      <c r="CE257" s="28"/>
      <c r="CF257" s="28"/>
      <c r="CG257" s="28"/>
      <c r="CH257" s="28"/>
      <c r="CI257" s="28"/>
      <c r="CJ257" s="28"/>
      <c r="CK257" s="28"/>
      <c r="CL257" s="28"/>
      <c r="CM257" s="28"/>
      <c r="CN257" s="28"/>
      <c r="CO257" s="28"/>
      <c r="CP257" s="28"/>
      <c r="CQ257" s="28"/>
      <c r="CR257" s="28"/>
      <c r="CS257" s="28"/>
      <c r="CT257" s="28"/>
      <c r="CU257" s="28"/>
      <c r="CV257" s="28"/>
      <c r="CW257" s="28"/>
      <c r="CX257" s="28"/>
      <c r="CY257" s="28"/>
      <c r="CZ257" s="28"/>
      <c r="DA257" s="28"/>
      <c r="DB257" s="28"/>
      <c r="DC257" s="28"/>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c r="EO257" s="28"/>
      <c r="EP257" s="28"/>
      <c r="EQ257" s="28"/>
      <c r="ER257" s="28"/>
      <c r="ES257" s="28"/>
      <c r="ET257" s="28"/>
      <c r="EU257" s="28"/>
      <c r="EV257" s="28"/>
      <c r="EW257" s="28"/>
      <c r="EX257" s="28"/>
      <c r="EY257" s="28"/>
      <c r="EZ257" s="28"/>
      <c r="FA257" s="28"/>
      <c r="FB257" s="28"/>
      <c r="FC257" s="28"/>
      <c r="FD257" s="28"/>
      <c r="FE257" s="28"/>
      <c r="FF257" s="28"/>
      <c r="FG257" s="28"/>
      <c r="FH257" s="28"/>
      <c r="FI257" s="28"/>
      <c r="FJ257" s="28"/>
      <c r="FK257" s="28"/>
      <c r="FL257" s="28"/>
      <c r="FM257" s="28"/>
      <c r="FN257" s="28"/>
      <c r="FO257" s="28"/>
      <c r="FP257" s="28"/>
      <c r="FQ257" s="28"/>
      <c r="FR257" s="28"/>
      <c r="FS257" s="28"/>
      <c r="FT257" s="28"/>
      <c r="FU257" s="28"/>
      <c r="FV257" s="28"/>
      <c r="FW257" s="28"/>
      <c r="FX257" s="28"/>
      <c r="FY257" s="28"/>
      <c r="FZ257" s="28"/>
      <c r="GA257" s="28"/>
      <c r="GB257" s="28"/>
      <c r="GC257" s="28"/>
      <c r="GD257" s="28"/>
      <c r="GE257" s="28"/>
      <c r="GF257" s="28"/>
      <c r="GG257" s="28"/>
      <c r="GH257" s="28"/>
      <c r="GI257" s="28"/>
      <c r="GJ257" s="28"/>
      <c r="GK257" s="28"/>
      <c r="GL257" s="28"/>
      <c r="GM257" s="28"/>
      <c r="GN257" s="28"/>
      <c r="GO257" s="28"/>
      <c r="GP257" s="28"/>
      <c r="GQ257" s="28"/>
      <c r="GR257" s="28"/>
      <c r="GS257" s="28"/>
      <c r="GT257" s="28"/>
      <c r="GU257" s="28"/>
      <c r="GV257" s="28"/>
      <c r="GW257" s="28"/>
      <c r="GX257" s="28"/>
      <c r="GY257" s="28"/>
      <c r="GZ257" s="28"/>
      <c r="HA257" s="28"/>
      <c r="HB257" s="28"/>
      <c r="HC257" s="28"/>
      <c r="HD257" s="28"/>
      <c r="HE257" s="28"/>
      <c r="HF257" s="28"/>
      <c r="HG257" s="28"/>
      <c r="HH257" s="28"/>
      <c r="HI257" s="28"/>
      <c r="HJ257" s="28"/>
      <c r="HK257" s="28"/>
      <c r="HL257" s="28"/>
    </row>
    <row r="258" spans="1:220" ht="15" customHeight="1">
      <c r="A258" s="31">
        <v>5</v>
      </c>
      <c r="B258" s="105" t="str">
        <f>VLOOKUP(Ruimtestaat[[#This Row],[Code]],Locaties[[Code]:[Locatie]],2,FALSE)</f>
        <v>IKC Remigius</v>
      </c>
      <c r="C258" s="105" t="str">
        <f>VLOOKUP(Ruimtestaat[[#This Row],[Code]],Locaties[[#All],[Code]:[Adres]],4,FALSE)</f>
        <v>Liemersplein 1</v>
      </c>
      <c r="D258" s="105" t="str">
        <f>VLOOKUP(Ruimtestaat[[#This Row],[Code]],Locaties[[#All],[Code]:[Postcode]],5,FALSE)</f>
        <v xml:space="preserve">6921 HN </v>
      </c>
      <c r="E258" s="105" t="str">
        <f>VLOOKUP(Ruimtestaat[[#This Row],[Code]],Locaties[#All],6,FALSE)</f>
        <v>Duiven</v>
      </c>
      <c r="F258" s="113"/>
      <c r="G258" s="31" t="s">
        <v>1826</v>
      </c>
      <c r="H258" s="31" t="s">
        <v>1869</v>
      </c>
      <c r="I258" s="113" t="s">
        <v>1726</v>
      </c>
      <c r="J258" s="31">
        <v>2</v>
      </c>
      <c r="K258" s="113" t="str">
        <f>VLOOKUP(Ruimtestaat[[#This Row],[Ruimte code]],Ruimtegroepen[[#All],[Code]:[Ruimte omschrijving]],2,FALSE)</f>
        <v>Kantoren</v>
      </c>
      <c r="L258" s="73" t="s">
        <v>102</v>
      </c>
      <c r="M258" s="273" t="s">
        <v>120</v>
      </c>
      <c r="N258" s="106">
        <v>9.6</v>
      </c>
      <c r="O258" s="112"/>
      <c r="P258" s="73"/>
      <c r="Q258" s="107" t="str">
        <f>VLOOKUP(Ruimtestaat[[#This Row],[Ruimte code]],Ruimtegroepen[],4,FALSE)</f>
        <v>Bu</v>
      </c>
      <c r="R258" s="73">
        <v>40</v>
      </c>
      <c r="S258" s="73" t="s">
        <v>15</v>
      </c>
      <c r="T258" s="73">
        <f>IF(R258&gt;0,IF(RIGHT(Ruimtestaat[[#This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58" s="73">
        <f>IF(T258&gt;0,VLOOKUP($J258,Ruimtegroepen[],3,FALSE)*VLOOKUP($L258,Vloersoorten[],3,FALSE)*VLOOKUP($S258,Frequenties[],3,FALSE)*VLOOKUP($A258,Locaties[],3,FALSE),0)</f>
        <v>0</v>
      </c>
      <c r="V258" s="73">
        <f>Ruimtestaat[[#This Row],[Uitvoeringen werkdagen]]*Ruimtestaat[[#This Row],[Oppervlak (netto)]]</f>
        <v>384</v>
      </c>
      <c r="W258" s="108">
        <f>IF(U258&gt;0,Ruimtestaat[[#This Row],[Prest. (m2 /jaar) werkdagen]]/Ruimtestaat[[#This Row],[Norm (m2/uur) werkdagen]],0)</f>
        <v>0</v>
      </c>
      <c r="X258" s="109">
        <f>Ruimtestaat[[#This Row],[uren / jaar werkdagen]]*Tariefsopbouw!$E$35</f>
        <v>0</v>
      </c>
      <c r="Y258" s="73"/>
      <c r="Z258" s="73">
        <f>IF(Ruimtestaat[[#This Row],[Frequentie weekend]]&gt;0,VALUE(LEFT(Y258,1))*R258,0)</f>
        <v>0</v>
      </c>
      <c r="AA258" s="72">
        <f>IF($Z258&gt;0,VLOOKUP($J258,Ruimtegroepen[],3,FALSE)*VLOOKUP($L258,Vloersoorten[],3,FALSE)*VLOOKUP($Y258,Frequenties[],3,FALSE)*VLOOKUP(Ruimtestaat[[#This Row],[Code]],Locaties[],3,FALSE),0)</f>
        <v>0</v>
      </c>
      <c r="AB258" s="72">
        <f>Ruimtestaat[[#This Row],[Uitvoeringen weekend]]*Ruimtestaat[[#This Row],[Oppervlak (netto)]]</f>
        <v>0</v>
      </c>
      <c r="AC258" s="72">
        <f>IF(AA258&gt;0,Ruimtestaat[[#This Row],[Prest. (m2 /jaar) weekend]]/Ruimtestaat[[#This Row],[Norm (m2/uur) weekend]],0)</f>
        <v>0</v>
      </c>
      <c r="AD258" s="109">
        <f>Ruimtestaat[[#This Row],[uren / jaar weekend]]*Tariefsopbouw!$D$40</f>
        <v>0</v>
      </c>
      <c r="AE258" s="108">
        <f>Ruimtestaat[[#This Row],[Prest. (m2 /jaar) weekend]]+Ruimtestaat[[#This Row],[Prest. (m2 /jaar) werkdagen]]</f>
        <v>384</v>
      </c>
      <c r="AF258" s="108">
        <f>Ruimtestaat[[#This Row],[uren / jaar weekend]]+Ruimtestaat[[#This Row],[uren / jaar werkdagen]]</f>
        <v>0</v>
      </c>
      <c r="AG258" s="103">
        <f>Ruimtestaat[[#This Row],[kosten / jaar weekend]]+Ruimtestaat[[#This Row],[kosten / jaar werkdagen]]</f>
        <v>0</v>
      </c>
      <c r="AH258" s="103"/>
      <c r="AI258" s="110" t="str">
        <f>IF(Ruimtestaat[[#This Row],[Frequentie werkdagen]]="","",_xlfn.CONCAT(Ruimtestaat[[#This Row],[Ruimte code]],"-",Ruimtestaat[[#This Row],[Frequentie werkdagen]]," ",Ruimtestaat[[#This Row],[Vloer code]]))</f>
        <v>2-1w P</v>
      </c>
      <c r="AJ258" s="114" t="str">
        <f>_xlfn.IFNA(VLOOKUP($AI258,Programma!$F$3:$G$1101,2,0),"")</f>
        <v>_</v>
      </c>
      <c r="AK258" s="114" t="str">
        <f>_xlfn.IFNA(VLOOKUP($AI258,Programma!$F$3:$H$1101,3,0),"")</f>
        <v>_</v>
      </c>
      <c r="AL258" s="114" t="str">
        <f>_xlfn.IFNA(VLOOKUP($AI258,Programma!$F$3:$I$1101,4,0),"")</f>
        <v>_</v>
      </c>
      <c r="AM258" s="114" t="str">
        <f>_xlfn.IFNA(VLOOKUP($AI258,Programma!$F$3:$J$1101,5,0),"")</f>
        <v>1w</v>
      </c>
      <c r="AN258" s="114" t="str">
        <f>_xlfn.IFNA(VLOOKUP($AI258,Programma!$F$3:$K$1101,6,0),"")</f>
        <v>1j</v>
      </c>
      <c r="AO258" s="114" t="str">
        <f>_xlfn.IFNA(VLOOKUP($AI258,Programma!$F$3:$L$1101,7,0),"")</f>
        <v>_</v>
      </c>
      <c r="AP258" s="114" t="str">
        <f>_xlfn.IFNA(VLOOKUP($AI258,Programma!$F$3:$M$1101,8,0),"")</f>
        <v>_</v>
      </c>
      <c r="AQ258" s="114" t="str">
        <f>_xlfn.IFNA(VLOOKUP($AI258,Programma!$F$3:$N$1101,9,0),"")</f>
        <v>_</v>
      </c>
      <c r="AR258" s="114" t="str">
        <f>_xlfn.IFNA(VLOOKUP($AI258,Programma!$F$3:$O$1101,10,0),"")</f>
        <v>1w</v>
      </c>
      <c r="AS258" s="114" t="str">
        <f>_xlfn.IFNA(VLOOKUP($AI258,Programma!$F$3:$P$1101,11,0),"")</f>
        <v>1w</v>
      </c>
      <c r="AT258" s="114" t="str">
        <f>_xlfn.IFNA(VLOOKUP($AI258,Programma!$F$3:$Q$1101,12,0),"")</f>
        <v>1w</v>
      </c>
      <c r="AU258" s="114" t="str">
        <f>_xlfn.IFNA(VLOOKUP($AI258,Programma!$F$3:$R$1101,13,0),"")</f>
        <v>1w</v>
      </c>
      <c r="AV258" s="114" t="str">
        <f>_xlfn.IFNA(VLOOKUP($AI258,Programma!$F$3:$S$1101,14,0),"")</f>
        <v>1m</v>
      </c>
      <c r="AW258" s="114" t="str">
        <f>_xlfn.IFNA(VLOOKUP($AI258,Programma!$F$3:$T$1101,15,0),"")</f>
        <v>2j</v>
      </c>
      <c r="AX258" s="114" t="str">
        <f>_xlfn.IFNA(VLOOKUP($AI258,Programma!$F$3:$U$1101,16,0),"")</f>
        <v>1j</v>
      </c>
      <c r="AY258" s="114" t="str">
        <f>_xlfn.IFNA(VLOOKUP($AI258,Programma!$F$3:$V$1101,17,0),"")</f>
        <v>_</v>
      </c>
      <c r="AZ258" s="114" t="str">
        <f>_xlfn.IFNA(VLOOKUP($AI258,Programma!$F$3:$W$1101,18,0),"")</f>
        <v>_</v>
      </c>
      <c r="BA258" s="114" t="str">
        <f>_xlfn.IFNA(VLOOKUP($AI258,Programma!$F$3:$X$1101,19,0),"")</f>
        <v>_</v>
      </c>
      <c r="BB258" s="114" t="str">
        <f>_xlfn.IFNA(VLOOKUP($AI258,Programma!$F$3:$Y$1101,20,0),"")</f>
        <v>_</v>
      </c>
      <c r="BC258" s="111"/>
      <c r="BD258" s="110" t="str">
        <f>IF(Ruimtestaat[[#This Row],[Frequentie weekend]]="","",_xlfn.CONCAT(Ruimtestaat[[#This Row],[Ruimte code]],"-",Ruimtestaat[[#This Row],[Frequentie weekend]]," ",Ruimtestaat[[#This Row],[Vloer code]]))</f>
        <v/>
      </c>
      <c r="BE258" s="114" t="str">
        <f>_xlfn.IFNA(VLOOKUP($BD258,Programma!$F$3:$G$1101,2,0),"")</f>
        <v/>
      </c>
      <c r="BF258" s="114" t="str">
        <f>_xlfn.IFNA(VLOOKUP($BD258,Programma!$F$3:$H$1101,3,0),"")</f>
        <v/>
      </c>
      <c r="BG258" s="114" t="str">
        <f>_xlfn.IFNA(VLOOKUP($BD258,Programma!$F$3:$I$1101,4,0),"")</f>
        <v/>
      </c>
      <c r="BH258" s="114" t="str">
        <f>_xlfn.IFNA(VLOOKUP($BD258,Programma!$F$3:$J$1101,5,0),"")</f>
        <v/>
      </c>
      <c r="BI258" s="114" t="str">
        <f>_xlfn.IFNA(VLOOKUP($BD258,Programma!$F$3:$K$1101,6,0),"")</f>
        <v/>
      </c>
      <c r="BJ258" s="114" t="str">
        <f>_xlfn.IFNA(VLOOKUP($BD258,Programma!$F$3:$L$1101,7,0),"")</f>
        <v/>
      </c>
      <c r="BK258" s="114" t="str">
        <f>_xlfn.IFNA(VLOOKUP($BD258,Programma!$F$3:$M$1101,8,0),"")</f>
        <v/>
      </c>
      <c r="BL258" s="114" t="str">
        <f>_xlfn.IFNA(VLOOKUP($BD258,Programma!$F$3:$N$1101,9,0),"")</f>
        <v/>
      </c>
      <c r="BM258" s="114" t="str">
        <f>_xlfn.IFNA(VLOOKUP($BD258,Programma!$F$3:$O$1101,10,0),"")</f>
        <v/>
      </c>
      <c r="BN258" s="114" t="str">
        <f>_xlfn.IFNA(VLOOKUP($BD258,Programma!$F$3:$P$1101,11,0),"")</f>
        <v/>
      </c>
      <c r="BO258" s="114" t="str">
        <f>_xlfn.IFNA(VLOOKUP($BD258,Programma!$F$3:$Q$1101,12,0),"")</f>
        <v/>
      </c>
      <c r="BP258" s="114" t="str">
        <f>_xlfn.IFNA(VLOOKUP($BD258,Programma!$F$3:$R$1101,13,0),"")</f>
        <v/>
      </c>
      <c r="BQ258" s="114" t="str">
        <f>_xlfn.IFNA(VLOOKUP($BD258,Programma!$F$3:$S$1101,14,0),"")</f>
        <v/>
      </c>
      <c r="BR258" s="114" t="str">
        <f>_xlfn.IFNA(VLOOKUP($BD258,Programma!$F$3:$T$1101,15,0),"")</f>
        <v/>
      </c>
      <c r="BS258" s="114" t="str">
        <f>_xlfn.IFNA(VLOOKUP($BD258,Programma!$F$3:$U$1101,16,0),"")</f>
        <v/>
      </c>
      <c r="BT258" s="114" t="str">
        <f>_xlfn.IFNA(VLOOKUP($BD258,Programma!$F$3:$V$1101,17,0),"")</f>
        <v/>
      </c>
      <c r="BU258" s="114" t="str">
        <f>_xlfn.IFNA(VLOOKUP($BD258,Programma!$F$3:$W$1101,18,0),"")</f>
        <v/>
      </c>
      <c r="BV258" s="114" t="str">
        <f>_xlfn.IFNA(VLOOKUP($BD258,Programma!$F$3:$X$1101,19,0),"")</f>
        <v/>
      </c>
      <c r="BW258" s="114" t="str">
        <f>_xlfn.IFNA(VLOOKUP($BD258,Programma!$F$3:$Y$1101,20,0),"")</f>
        <v/>
      </c>
      <c r="BX258" s="28"/>
      <c r="BY258" s="28"/>
      <c r="BZ258" s="28"/>
      <c r="CA258" s="28"/>
      <c r="CB258" s="28"/>
      <c r="CC258" s="28"/>
      <c r="CD258" s="28"/>
      <c r="CE258" s="28"/>
      <c r="CF258" s="28"/>
      <c r="CG258" s="28"/>
      <c r="CH258" s="28"/>
      <c r="CI258" s="28"/>
      <c r="CJ258" s="28"/>
      <c r="CK258" s="28"/>
      <c r="CL258" s="28"/>
      <c r="CM258" s="28"/>
      <c r="CN258" s="28"/>
      <c r="CO258" s="28"/>
      <c r="CP258" s="28"/>
      <c r="CQ258" s="28"/>
      <c r="CR258" s="28"/>
      <c r="CS258" s="28"/>
      <c r="CT258" s="28"/>
      <c r="CU258" s="28"/>
      <c r="CV258" s="28"/>
      <c r="CW258" s="28"/>
      <c r="CX258" s="28"/>
      <c r="CY258" s="28"/>
      <c r="CZ258" s="28"/>
      <c r="DA258" s="28"/>
      <c r="DB258" s="28"/>
      <c r="DC258" s="28"/>
      <c r="DD258" s="28"/>
      <c r="DE258" s="28"/>
      <c r="DF258" s="28"/>
      <c r="DG258" s="28"/>
      <c r="DH258" s="28"/>
      <c r="DI258" s="28"/>
      <c r="DJ258" s="28"/>
      <c r="DK258" s="28"/>
      <c r="DL258" s="28"/>
      <c r="DM258" s="28"/>
      <c r="DN258" s="28"/>
      <c r="DO258" s="28"/>
      <c r="DP258" s="28"/>
      <c r="DQ258" s="28"/>
      <c r="DR258" s="28"/>
      <c r="DS258" s="28"/>
      <c r="DT258" s="28"/>
      <c r="DU258" s="28"/>
      <c r="DV258" s="28"/>
      <c r="DW258" s="28"/>
      <c r="DX258" s="28"/>
      <c r="DY258" s="28"/>
      <c r="DZ258" s="28"/>
      <c r="EA258" s="28"/>
      <c r="EB258" s="28"/>
      <c r="EC258" s="28"/>
      <c r="ED258" s="28"/>
      <c r="EE258" s="28"/>
      <c r="EF258" s="28"/>
      <c r="EG258" s="28"/>
      <c r="EH258" s="28"/>
      <c r="EI258" s="28"/>
      <c r="EJ258" s="28"/>
      <c r="EK258" s="28"/>
      <c r="EL258" s="28"/>
      <c r="EM258" s="28"/>
      <c r="EN258" s="28"/>
      <c r="EO258" s="28"/>
      <c r="EP258" s="28"/>
      <c r="EQ258" s="28"/>
      <c r="ER258" s="28"/>
      <c r="ES258" s="28"/>
      <c r="ET258" s="28"/>
      <c r="EU258" s="28"/>
      <c r="EV258" s="28"/>
      <c r="EW258" s="28"/>
      <c r="EX258" s="28"/>
      <c r="EY258" s="28"/>
      <c r="EZ258" s="28"/>
      <c r="FA258" s="28"/>
      <c r="FB258" s="28"/>
      <c r="FC258" s="28"/>
      <c r="FD258" s="28"/>
      <c r="FE258" s="28"/>
      <c r="FF258" s="28"/>
      <c r="FG258" s="28"/>
      <c r="FH258" s="28"/>
      <c r="FI258" s="28"/>
      <c r="FJ258" s="28"/>
      <c r="FK258" s="28"/>
      <c r="FL258" s="28"/>
      <c r="FM258" s="28"/>
      <c r="FN258" s="28"/>
      <c r="FO258" s="28"/>
      <c r="FP258" s="28"/>
      <c r="FQ258" s="28"/>
      <c r="FR258" s="28"/>
      <c r="FS258" s="28"/>
      <c r="FT258" s="28"/>
      <c r="FU258" s="28"/>
      <c r="FV258" s="28"/>
      <c r="FW258" s="28"/>
      <c r="FX258" s="28"/>
      <c r="FY258" s="28"/>
      <c r="FZ258" s="28"/>
      <c r="GA258" s="28"/>
      <c r="GB258" s="28"/>
      <c r="GC258" s="28"/>
      <c r="GD258" s="28"/>
      <c r="GE258" s="28"/>
      <c r="GF258" s="28"/>
      <c r="GG258" s="28"/>
      <c r="GH258" s="28"/>
      <c r="GI258" s="28"/>
      <c r="GJ258" s="28"/>
      <c r="GK258" s="28"/>
      <c r="GL258" s="28"/>
      <c r="GM258" s="28"/>
      <c r="GN258" s="28"/>
      <c r="GO258" s="28"/>
      <c r="GP258" s="28"/>
      <c r="GQ258" s="28"/>
      <c r="GR258" s="28"/>
      <c r="GS258" s="28"/>
      <c r="GT258" s="28"/>
      <c r="GU258" s="28"/>
      <c r="GV258" s="28"/>
      <c r="GW258" s="28"/>
      <c r="GX258" s="28"/>
      <c r="GY258" s="28"/>
      <c r="GZ258" s="28"/>
      <c r="HA258" s="28"/>
      <c r="HB258" s="28"/>
      <c r="HC258" s="28"/>
      <c r="HD258" s="28"/>
      <c r="HE258" s="28"/>
      <c r="HF258" s="28"/>
      <c r="HG258" s="28"/>
      <c r="HH258" s="28"/>
      <c r="HI258" s="28"/>
      <c r="HJ258" s="28"/>
      <c r="HK258" s="28"/>
      <c r="HL258" s="28"/>
    </row>
    <row r="259" spans="1:220" ht="15" customHeight="1">
      <c r="A259" s="31">
        <v>5</v>
      </c>
      <c r="B259" s="105" t="str">
        <f>VLOOKUP(Ruimtestaat[[#This Row],[Code]],Locaties[[Code]:[Locatie]],2,FALSE)</f>
        <v>IKC Remigius</v>
      </c>
      <c r="C259" s="105" t="str">
        <f>VLOOKUP(Ruimtestaat[[#This Row],[Code]],Locaties[[#All],[Code]:[Adres]],4,FALSE)</f>
        <v>Liemersplein 1</v>
      </c>
      <c r="D259" s="105" t="str">
        <f>VLOOKUP(Ruimtestaat[[#This Row],[Code]],Locaties[[#All],[Code]:[Postcode]],5,FALSE)</f>
        <v xml:space="preserve">6921 HN </v>
      </c>
      <c r="E259" s="105" t="str">
        <f>VLOOKUP(Ruimtestaat[[#This Row],[Code]],Locaties[#All],6,FALSE)</f>
        <v>Duiven</v>
      </c>
      <c r="F259" s="113"/>
      <c r="G259" s="31" t="s">
        <v>1826</v>
      </c>
      <c r="H259" s="31" t="s">
        <v>1870</v>
      </c>
      <c r="I259" s="113" t="s">
        <v>1871</v>
      </c>
      <c r="J259" s="31">
        <v>2</v>
      </c>
      <c r="K259" s="113" t="str">
        <f>VLOOKUP(Ruimtestaat[[#This Row],[Ruimte code]],Ruimtegroepen[[#All],[Code]:[Ruimte omschrijving]],2,FALSE)</f>
        <v>Kantoren</v>
      </c>
      <c r="L259" s="73" t="s">
        <v>102</v>
      </c>
      <c r="M259" s="273" t="s">
        <v>120</v>
      </c>
      <c r="N259" s="106">
        <v>10.1</v>
      </c>
      <c r="O259" s="112"/>
      <c r="P259" s="112"/>
      <c r="Q259" s="107" t="str">
        <f>VLOOKUP(Ruimtestaat[[#This Row],[Ruimte code]],Ruimtegroepen[],4,FALSE)</f>
        <v>Bu</v>
      </c>
      <c r="R259" s="73">
        <v>40</v>
      </c>
      <c r="S259" s="73" t="s">
        <v>15</v>
      </c>
      <c r="T259" s="73">
        <f>IF(R259&gt;0,IF(RIGHT(Ruimtestaat[[#This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59" s="73">
        <f>IF(T259&gt;0,VLOOKUP($J259,Ruimtegroepen[],3,FALSE)*VLOOKUP($L259,Vloersoorten[],3,FALSE)*VLOOKUP($S259,Frequenties[],3,FALSE)*VLOOKUP($A259,Locaties[],3,FALSE),0)</f>
        <v>0</v>
      </c>
      <c r="V259" s="73">
        <f>Ruimtestaat[[#This Row],[Uitvoeringen werkdagen]]*Ruimtestaat[[#This Row],[Oppervlak (netto)]]</f>
        <v>404</v>
      </c>
      <c r="W259" s="108">
        <f>IF(U259&gt;0,Ruimtestaat[[#This Row],[Prest. (m2 /jaar) werkdagen]]/Ruimtestaat[[#This Row],[Norm (m2/uur) werkdagen]],0)</f>
        <v>0</v>
      </c>
      <c r="X259" s="109">
        <f>Ruimtestaat[[#This Row],[uren / jaar werkdagen]]*Tariefsopbouw!$E$35</f>
        <v>0</v>
      </c>
      <c r="Y259" s="73"/>
      <c r="Z259" s="73">
        <f>IF(Ruimtestaat[[#This Row],[Frequentie weekend]]&gt;0,VALUE(LEFT(Y259,1))*R259,0)</f>
        <v>0</v>
      </c>
      <c r="AA259" s="72">
        <f>IF($Z259&gt;0,VLOOKUP($J259,Ruimtegroepen[],3,FALSE)*VLOOKUP($L259,Vloersoorten[],3,FALSE)*VLOOKUP($Y259,Frequenties[],3,FALSE)*VLOOKUP(Ruimtestaat[[#This Row],[Code]],Locaties[],3,FALSE),0)</f>
        <v>0</v>
      </c>
      <c r="AB259" s="72">
        <f>Ruimtestaat[[#This Row],[Uitvoeringen weekend]]*Ruimtestaat[[#This Row],[Oppervlak (netto)]]</f>
        <v>0</v>
      </c>
      <c r="AC259" s="72">
        <f>IF(AA259&gt;0,Ruimtestaat[[#This Row],[Prest. (m2 /jaar) weekend]]/Ruimtestaat[[#This Row],[Norm (m2/uur) weekend]],0)</f>
        <v>0</v>
      </c>
      <c r="AD259" s="109">
        <f>Ruimtestaat[[#This Row],[uren / jaar weekend]]*Tariefsopbouw!$D$40</f>
        <v>0</v>
      </c>
      <c r="AE259" s="108">
        <f>Ruimtestaat[[#This Row],[Prest. (m2 /jaar) weekend]]+Ruimtestaat[[#This Row],[Prest. (m2 /jaar) werkdagen]]</f>
        <v>404</v>
      </c>
      <c r="AF259" s="108">
        <f>Ruimtestaat[[#This Row],[uren / jaar weekend]]+Ruimtestaat[[#This Row],[uren / jaar werkdagen]]</f>
        <v>0</v>
      </c>
      <c r="AG259" s="103">
        <f>Ruimtestaat[[#This Row],[kosten / jaar weekend]]+Ruimtestaat[[#This Row],[kosten / jaar werkdagen]]</f>
        <v>0</v>
      </c>
      <c r="AH259" s="103"/>
      <c r="AI259" s="110" t="str">
        <f>IF(Ruimtestaat[[#This Row],[Frequentie werkdagen]]="","",_xlfn.CONCAT(Ruimtestaat[[#This Row],[Ruimte code]],"-",Ruimtestaat[[#This Row],[Frequentie werkdagen]]," ",Ruimtestaat[[#This Row],[Vloer code]]))</f>
        <v>2-1w P</v>
      </c>
      <c r="AJ259" s="114" t="str">
        <f>_xlfn.IFNA(VLOOKUP($AI259,Programma!$F$3:$G$1101,2,0),"")</f>
        <v>_</v>
      </c>
      <c r="AK259" s="114" t="str">
        <f>_xlfn.IFNA(VLOOKUP($AI259,Programma!$F$3:$H$1101,3,0),"")</f>
        <v>_</v>
      </c>
      <c r="AL259" s="114" t="str">
        <f>_xlfn.IFNA(VLOOKUP($AI259,Programma!$F$3:$I$1101,4,0),"")</f>
        <v>_</v>
      </c>
      <c r="AM259" s="114" t="str">
        <f>_xlfn.IFNA(VLOOKUP($AI259,Programma!$F$3:$J$1101,5,0),"")</f>
        <v>1w</v>
      </c>
      <c r="AN259" s="114" t="str">
        <f>_xlfn.IFNA(VLOOKUP($AI259,Programma!$F$3:$K$1101,6,0),"")</f>
        <v>1j</v>
      </c>
      <c r="AO259" s="114" t="str">
        <f>_xlfn.IFNA(VLOOKUP($AI259,Programma!$F$3:$L$1101,7,0),"")</f>
        <v>_</v>
      </c>
      <c r="AP259" s="114" t="str">
        <f>_xlfn.IFNA(VLOOKUP($AI259,Programma!$F$3:$M$1101,8,0),"")</f>
        <v>_</v>
      </c>
      <c r="AQ259" s="114" t="str">
        <f>_xlfn.IFNA(VLOOKUP($AI259,Programma!$F$3:$N$1101,9,0),"")</f>
        <v>_</v>
      </c>
      <c r="AR259" s="114" t="str">
        <f>_xlfn.IFNA(VLOOKUP($AI259,Programma!$F$3:$O$1101,10,0),"")</f>
        <v>1w</v>
      </c>
      <c r="AS259" s="114" t="str">
        <f>_xlfn.IFNA(VLOOKUP($AI259,Programma!$F$3:$P$1101,11,0),"")</f>
        <v>1w</v>
      </c>
      <c r="AT259" s="114" t="str">
        <f>_xlfn.IFNA(VLOOKUP($AI259,Programma!$F$3:$Q$1101,12,0),"")</f>
        <v>1w</v>
      </c>
      <c r="AU259" s="114" t="str">
        <f>_xlfn.IFNA(VLOOKUP($AI259,Programma!$F$3:$R$1101,13,0),"")</f>
        <v>1w</v>
      </c>
      <c r="AV259" s="114" t="str">
        <f>_xlfn.IFNA(VLOOKUP($AI259,Programma!$F$3:$S$1101,14,0),"")</f>
        <v>1m</v>
      </c>
      <c r="AW259" s="114" t="str">
        <f>_xlfn.IFNA(VLOOKUP($AI259,Programma!$F$3:$T$1101,15,0),"")</f>
        <v>2j</v>
      </c>
      <c r="AX259" s="114" t="str">
        <f>_xlfn.IFNA(VLOOKUP($AI259,Programma!$F$3:$U$1101,16,0),"")</f>
        <v>1j</v>
      </c>
      <c r="AY259" s="114" t="str">
        <f>_xlfn.IFNA(VLOOKUP($AI259,Programma!$F$3:$V$1101,17,0),"")</f>
        <v>_</v>
      </c>
      <c r="AZ259" s="114" t="str">
        <f>_xlfn.IFNA(VLOOKUP($AI259,Programma!$F$3:$W$1101,18,0),"")</f>
        <v>_</v>
      </c>
      <c r="BA259" s="114" t="str">
        <f>_xlfn.IFNA(VLOOKUP($AI259,Programma!$F$3:$X$1101,19,0),"")</f>
        <v>_</v>
      </c>
      <c r="BB259" s="114" t="str">
        <f>_xlfn.IFNA(VLOOKUP($AI259,Programma!$F$3:$Y$1101,20,0),"")</f>
        <v>_</v>
      </c>
      <c r="BC259" s="111"/>
      <c r="BD259" s="110" t="str">
        <f>IF(Ruimtestaat[[#This Row],[Frequentie weekend]]="","",_xlfn.CONCAT(Ruimtestaat[[#This Row],[Ruimte code]],"-",Ruimtestaat[[#This Row],[Frequentie weekend]]," ",Ruimtestaat[[#This Row],[Vloer code]]))</f>
        <v/>
      </c>
      <c r="BE259" s="114" t="str">
        <f>_xlfn.IFNA(VLOOKUP($BD259,Programma!$F$3:$G$1101,2,0),"")</f>
        <v/>
      </c>
      <c r="BF259" s="114" t="str">
        <f>_xlfn.IFNA(VLOOKUP($BD259,Programma!$F$3:$H$1101,3,0),"")</f>
        <v/>
      </c>
      <c r="BG259" s="114" t="str">
        <f>_xlfn.IFNA(VLOOKUP($BD259,Programma!$F$3:$I$1101,4,0),"")</f>
        <v/>
      </c>
      <c r="BH259" s="114" t="str">
        <f>_xlfn.IFNA(VLOOKUP($BD259,Programma!$F$3:$J$1101,5,0),"")</f>
        <v/>
      </c>
      <c r="BI259" s="114" t="str">
        <f>_xlfn.IFNA(VLOOKUP($BD259,Programma!$F$3:$K$1101,6,0),"")</f>
        <v/>
      </c>
      <c r="BJ259" s="114" t="str">
        <f>_xlfn.IFNA(VLOOKUP($BD259,Programma!$F$3:$L$1101,7,0),"")</f>
        <v/>
      </c>
      <c r="BK259" s="114" t="str">
        <f>_xlfn.IFNA(VLOOKUP($BD259,Programma!$F$3:$M$1101,8,0),"")</f>
        <v/>
      </c>
      <c r="BL259" s="114" t="str">
        <f>_xlfn.IFNA(VLOOKUP($BD259,Programma!$F$3:$N$1101,9,0),"")</f>
        <v/>
      </c>
      <c r="BM259" s="114" t="str">
        <f>_xlfn.IFNA(VLOOKUP($BD259,Programma!$F$3:$O$1101,10,0),"")</f>
        <v/>
      </c>
      <c r="BN259" s="114" t="str">
        <f>_xlfn.IFNA(VLOOKUP($BD259,Programma!$F$3:$P$1101,11,0),"")</f>
        <v/>
      </c>
      <c r="BO259" s="114" t="str">
        <f>_xlfn.IFNA(VLOOKUP($BD259,Programma!$F$3:$Q$1101,12,0),"")</f>
        <v/>
      </c>
      <c r="BP259" s="114" t="str">
        <f>_xlfn.IFNA(VLOOKUP($BD259,Programma!$F$3:$R$1101,13,0),"")</f>
        <v/>
      </c>
      <c r="BQ259" s="114" t="str">
        <f>_xlfn.IFNA(VLOOKUP($BD259,Programma!$F$3:$S$1101,14,0),"")</f>
        <v/>
      </c>
      <c r="BR259" s="114" t="str">
        <f>_xlfn.IFNA(VLOOKUP($BD259,Programma!$F$3:$T$1101,15,0),"")</f>
        <v/>
      </c>
      <c r="BS259" s="114" t="str">
        <f>_xlfn.IFNA(VLOOKUP($BD259,Programma!$F$3:$U$1101,16,0),"")</f>
        <v/>
      </c>
      <c r="BT259" s="114" t="str">
        <f>_xlfn.IFNA(VLOOKUP($BD259,Programma!$F$3:$V$1101,17,0),"")</f>
        <v/>
      </c>
      <c r="BU259" s="114" t="str">
        <f>_xlfn.IFNA(VLOOKUP($BD259,Programma!$F$3:$W$1101,18,0),"")</f>
        <v/>
      </c>
      <c r="BV259" s="114" t="str">
        <f>_xlfn.IFNA(VLOOKUP($BD259,Programma!$F$3:$X$1101,19,0),"")</f>
        <v/>
      </c>
      <c r="BW259" s="114" t="str">
        <f>_xlfn.IFNA(VLOOKUP($BD259,Programma!$F$3:$Y$1101,20,0),"")</f>
        <v/>
      </c>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c r="EO259" s="28"/>
      <c r="EP259" s="28"/>
      <c r="EQ259" s="28"/>
      <c r="ER259" s="28"/>
      <c r="ES259" s="28"/>
      <c r="ET259" s="28"/>
      <c r="EU259" s="28"/>
      <c r="EV259" s="28"/>
      <c r="EW259" s="28"/>
      <c r="EX259" s="28"/>
      <c r="EY259" s="28"/>
      <c r="EZ259" s="28"/>
      <c r="FA259" s="28"/>
      <c r="FB259" s="28"/>
      <c r="FC259" s="28"/>
      <c r="FD259" s="28"/>
      <c r="FE259" s="28"/>
      <c r="FF259" s="28"/>
      <c r="FG259" s="28"/>
      <c r="FH259" s="28"/>
      <c r="FI259" s="28"/>
      <c r="FJ259" s="28"/>
      <c r="FK259" s="28"/>
      <c r="FL259" s="28"/>
      <c r="FM259" s="28"/>
      <c r="FN259" s="28"/>
      <c r="FO259" s="28"/>
      <c r="FP259" s="28"/>
      <c r="FQ259" s="28"/>
      <c r="FR259" s="28"/>
      <c r="FS259" s="28"/>
      <c r="FT259" s="28"/>
      <c r="FU259" s="28"/>
      <c r="FV259" s="28"/>
      <c r="FW259" s="28"/>
      <c r="FX259" s="28"/>
      <c r="FY259" s="28"/>
      <c r="FZ259" s="28"/>
      <c r="GA259" s="28"/>
      <c r="GB259" s="28"/>
      <c r="GC259" s="28"/>
      <c r="GD259" s="28"/>
      <c r="GE259" s="28"/>
      <c r="GF259" s="28"/>
      <c r="GG259" s="28"/>
      <c r="GH259" s="28"/>
      <c r="GI259" s="28"/>
      <c r="GJ259" s="28"/>
      <c r="GK259" s="28"/>
      <c r="GL259" s="28"/>
      <c r="GM259" s="28"/>
      <c r="GN259" s="28"/>
      <c r="GO259" s="28"/>
      <c r="GP259" s="28"/>
      <c r="GQ259" s="28"/>
      <c r="GR259" s="28"/>
      <c r="GS259" s="28"/>
      <c r="GT259" s="28"/>
      <c r="GU259" s="28"/>
      <c r="GV259" s="28"/>
      <c r="GW259" s="28"/>
      <c r="GX259" s="28"/>
      <c r="GY259" s="28"/>
      <c r="GZ259" s="28"/>
      <c r="HA259" s="28"/>
      <c r="HB259" s="28"/>
      <c r="HC259" s="28"/>
      <c r="HD259" s="28"/>
      <c r="HE259" s="28"/>
      <c r="HF259" s="28"/>
      <c r="HG259" s="28"/>
      <c r="HH259" s="28"/>
      <c r="HI259" s="28"/>
      <c r="HJ259" s="28"/>
      <c r="HK259" s="28"/>
      <c r="HL259" s="28"/>
    </row>
    <row r="260" spans="1:220" ht="15" customHeight="1">
      <c r="A260" s="31">
        <v>5</v>
      </c>
      <c r="B260" s="105" t="str">
        <f>VLOOKUP(Ruimtestaat[[#This Row],[Code]],Locaties[[Code]:[Locatie]],2,FALSE)</f>
        <v>IKC Remigius</v>
      </c>
      <c r="C260" s="105" t="str">
        <f>VLOOKUP(Ruimtestaat[[#This Row],[Code]],Locaties[[#All],[Code]:[Adres]],4,FALSE)</f>
        <v>Liemersplein 1</v>
      </c>
      <c r="D260" s="105" t="str">
        <f>VLOOKUP(Ruimtestaat[[#This Row],[Code]],Locaties[[#All],[Code]:[Postcode]],5,FALSE)</f>
        <v xml:space="preserve">6921 HN </v>
      </c>
      <c r="E260" s="105" t="str">
        <f>VLOOKUP(Ruimtestaat[[#This Row],[Code]],Locaties[#All],6,FALSE)</f>
        <v>Duiven</v>
      </c>
      <c r="F260" s="113"/>
      <c r="G260" s="31" t="s">
        <v>1826</v>
      </c>
      <c r="H260" s="31" t="s">
        <v>1872</v>
      </c>
      <c r="I260" s="113" t="s">
        <v>1732</v>
      </c>
      <c r="J260" s="31">
        <v>1</v>
      </c>
      <c r="K260" s="113" t="str">
        <f>VLOOKUP(Ruimtestaat[[#This Row],[Ruimte code]],Ruimtegroepen[[#All],[Code]:[Ruimte omschrijving]],2,FALSE)</f>
        <v>Magazijnen/bergingen</v>
      </c>
      <c r="L260" s="73" t="s">
        <v>102</v>
      </c>
      <c r="M260" s="273" t="s">
        <v>120</v>
      </c>
      <c r="N260" s="106">
        <v>9.9</v>
      </c>
      <c r="O260" s="112"/>
      <c r="P260" s="112"/>
      <c r="Q260" s="107" t="str">
        <f>VLOOKUP(Ruimtestaat[[#This Row],[Ruimte code]],Ruimtegroepen[],4,FALSE)</f>
        <v>Ve</v>
      </c>
      <c r="R260" s="73">
        <v>40</v>
      </c>
      <c r="S260" s="73" t="s">
        <v>16</v>
      </c>
      <c r="T260" s="73">
        <f>IF(R260&gt;0,IF(RIGHT(Ruimtestaat[[#This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60" s="73">
        <f>IF(T260&gt;0,VLOOKUP($J260,Ruimtegroepen[],3,FALSE)*VLOOKUP($L260,Vloersoorten[],3,FALSE)*VLOOKUP($S260,Frequenties[],3,FALSE)*VLOOKUP($A260,Locaties[],3,FALSE),0)</f>
        <v>0</v>
      </c>
      <c r="V260" s="73">
        <f>Ruimtestaat[[#This Row],[Uitvoeringen werkdagen]]*Ruimtestaat[[#This Row],[Oppervlak (netto)]]</f>
        <v>118.80000000000001</v>
      </c>
      <c r="W260" s="108">
        <f>IF(U260&gt;0,Ruimtestaat[[#This Row],[Prest. (m2 /jaar) werkdagen]]/Ruimtestaat[[#This Row],[Norm (m2/uur) werkdagen]],0)</f>
        <v>0</v>
      </c>
      <c r="X260" s="109">
        <f>Ruimtestaat[[#This Row],[uren / jaar werkdagen]]*Tariefsopbouw!$E$35</f>
        <v>0</v>
      </c>
      <c r="Y260" s="73"/>
      <c r="Z260" s="73">
        <f>IF(Ruimtestaat[[#This Row],[Frequentie weekend]]&gt;0,VALUE(LEFT(Y260,1))*R260,0)</f>
        <v>0</v>
      </c>
      <c r="AA260" s="72">
        <f>IF($Z260&gt;0,VLOOKUP($J260,Ruimtegroepen[],3,FALSE)*VLOOKUP($L260,Vloersoorten[],3,FALSE)*VLOOKUP($Y260,Frequenties[],3,FALSE)*VLOOKUP(Ruimtestaat[[#This Row],[Code]],Locaties[],3,FALSE),0)</f>
        <v>0</v>
      </c>
      <c r="AB260" s="72">
        <f>Ruimtestaat[[#This Row],[Uitvoeringen weekend]]*Ruimtestaat[[#This Row],[Oppervlak (netto)]]</f>
        <v>0</v>
      </c>
      <c r="AC260" s="72">
        <f>IF(AA260&gt;0,Ruimtestaat[[#This Row],[Prest. (m2 /jaar) weekend]]/Ruimtestaat[[#This Row],[Norm (m2/uur) weekend]],0)</f>
        <v>0</v>
      </c>
      <c r="AD260" s="109">
        <f>Ruimtestaat[[#This Row],[uren / jaar weekend]]*Tariefsopbouw!$D$40</f>
        <v>0</v>
      </c>
      <c r="AE260" s="108">
        <f>Ruimtestaat[[#This Row],[Prest. (m2 /jaar) weekend]]+Ruimtestaat[[#This Row],[Prest. (m2 /jaar) werkdagen]]</f>
        <v>118.80000000000001</v>
      </c>
      <c r="AF260" s="108">
        <f>Ruimtestaat[[#This Row],[uren / jaar weekend]]+Ruimtestaat[[#This Row],[uren / jaar werkdagen]]</f>
        <v>0</v>
      </c>
      <c r="AG260" s="103">
        <f>Ruimtestaat[[#This Row],[kosten / jaar weekend]]+Ruimtestaat[[#This Row],[kosten / jaar werkdagen]]</f>
        <v>0</v>
      </c>
      <c r="AH260" s="103"/>
      <c r="AI260" s="110" t="str">
        <f>IF(Ruimtestaat[[#This Row],[Frequentie werkdagen]]="","",_xlfn.CONCAT(Ruimtestaat[[#This Row],[Ruimte code]],"-",Ruimtestaat[[#This Row],[Frequentie werkdagen]]," ",Ruimtestaat[[#This Row],[Vloer code]]))</f>
        <v>1-1m P</v>
      </c>
      <c r="AJ260" s="114" t="str">
        <f>_xlfn.IFNA(VLOOKUP($AI260,Programma!$F$3:$G$1101,2,0),"")</f>
        <v>_</v>
      </c>
      <c r="AK260" s="114" t="str">
        <f>_xlfn.IFNA(VLOOKUP($AI260,Programma!$F$3:$H$1101,3,0),"")</f>
        <v>_</v>
      </c>
      <c r="AL260" s="114" t="str">
        <f>_xlfn.IFNA(VLOOKUP($AI260,Programma!$F$3:$I$1101,4,0),"")</f>
        <v>1m</v>
      </c>
      <c r="AM260" s="114" t="str">
        <f>_xlfn.IFNA(VLOOKUP($AI260,Programma!$F$3:$J$1101,5,0),"")</f>
        <v>1m</v>
      </c>
      <c r="AN260" s="114" t="str">
        <f>_xlfn.IFNA(VLOOKUP($AI260,Programma!$F$3:$K$1101,6,0),"")</f>
        <v>1j</v>
      </c>
      <c r="AO260" s="114" t="str">
        <f>_xlfn.IFNA(VLOOKUP($AI260,Programma!$F$3:$L$1101,7,0),"")</f>
        <v>_</v>
      </c>
      <c r="AP260" s="114" t="str">
        <f>_xlfn.IFNA(VLOOKUP($AI260,Programma!$F$3:$M$1101,8,0),"")</f>
        <v>_</v>
      </c>
      <c r="AQ260" s="114" t="str">
        <f>_xlfn.IFNA(VLOOKUP($AI260,Programma!$F$3:$N$1101,9,0),"")</f>
        <v>_</v>
      </c>
      <c r="AR260" s="114" t="str">
        <f>_xlfn.IFNA(VLOOKUP($AI260,Programma!$F$3:$O$1101,10,0),"")</f>
        <v>_</v>
      </c>
      <c r="AS260" s="114" t="str">
        <f>_xlfn.IFNA(VLOOKUP($AI260,Programma!$F$3:$P$1101,11,0),"")</f>
        <v>_</v>
      </c>
      <c r="AT260" s="114" t="str">
        <f>_xlfn.IFNA(VLOOKUP($AI260,Programma!$F$3:$Q$1101,12,0),"")</f>
        <v>_</v>
      </c>
      <c r="AU260" s="114" t="str">
        <f>_xlfn.IFNA(VLOOKUP($AI260,Programma!$F$3:$R$1101,13,0),"")</f>
        <v>_</v>
      </c>
      <c r="AV260" s="114" t="str">
        <f>_xlfn.IFNA(VLOOKUP($AI260,Programma!$F$3:$S$1101,14,0),"")</f>
        <v>1m</v>
      </c>
      <c r="AW260" s="114" t="str">
        <f>_xlfn.IFNA(VLOOKUP($AI260,Programma!$F$3:$T$1101,15,0),"")</f>
        <v>4j</v>
      </c>
      <c r="AX260" s="114" t="str">
        <f>_xlfn.IFNA(VLOOKUP($AI260,Programma!$F$3:$U$1101,16,0),"")</f>
        <v>4j</v>
      </c>
      <c r="AY260" s="114" t="str">
        <f>_xlfn.IFNA(VLOOKUP($AI260,Programma!$F$3:$V$1101,17,0),"")</f>
        <v>_</v>
      </c>
      <c r="AZ260" s="114" t="str">
        <f>_xlfn.IFNA(VLOOKUP($AI260,Programma!$F$3:$W$1101,18,0),"")</f>
        <v>_</v>
      </c>
      <c r="BA260" s="114" t="str">
        <f>_xlfn.IFNA(VLOOKUP($AI260,Programma!$F$3:$X$1101,19,0),"")</f>
        <v>_</v>
      </c>
      <c r="BB260" s="114" t="str">
        <f>_xlfn.IFNA(VLOOKUP($AI260,Programma!$F$3:$Y$1101,20,0),"")</f>
        <v>_</v>
      </c>
      <c r="BC260" s="111"/>
      <c r="BD260" s="110" t="str">
        <f>IF(Ruimtestaat[[#This Row],[Frequentie weekend]]="","",_xlfn.CONCAT(Ruimtestaat[[#This Row],[Ruimte code]],"-",Ruimtestaat[[#This Row],[Frequentie weekend]]," ",Ruimtestaat[[#This Row],[Vloer code]]))</f>
        <v/>
      </c>
      <c r="BE260" s="114" t="str">
        <f>_xlfn.IFNA(VLOOKUP($BD260,Programma!$F$3:$G$1101,2,0),"")</f>
        <v/>
      </c>
      <c r="BF260" s="114" t="str">
        <f>_xlfn.IFNA(VLOOKUP($BD260,Programma!$F$3:$H$1101,3,0),"")</f>
        <v/>
      </c>
      <c r="BG260" s="114" t="str">
        <f>_xlfn.IFNA(VLOOKUP($BD260,Programma!$F$3:$I$1101,4,0),"")</f>
        <v/>
      </c>
      <c r="BH260" s="114" t="str">
        <f>_xlfn.IFNA(VLOOKUP($BD260,Programma!$F$3:$J$1101,5,0),"")</f>
        <v/>
      </c>
      <c r="BI260" s="114" t="str">
        <f>_xlfn.IFNA(VLOOKUP($BD260,Programma!$F$3:$K$1101,6,0),"")</f>
        <v/>
      </c>
      <c r="BJ260" s="114" t="str">
        <f>_xlfn.IFNA(VLOOKUP($BD260,Programma!$F$3:$L$1101,7,0),"")</f>
        <v/>
      </c>
      <c r="BK260" s="114" t="str">
        <f>_xlfn.IFNA(VLOOKUP($BD260,Programma!$F$3:$M$1101,8,0),"")</f>
        <v/>
      </c>
      <c r="BL260" s="114" t="str">
        <f>_xlfn.IFNA(VLOOKUP($BD260,Programma!$F$3:$N$1101,9,0),"")</f>
        <v/>
      </c>
      <c r="BM260" s="114" t="str">
        <f>_xlfn.IFNA(VLOOKUP($BD260,Programma!$F$3:$O$1101,10,0),"")</f>
        <v/>
      </c>
      <c r="BN260" s="114" t="str">
        <f>_xlfn.IFNA(VLOOKUP($BD260,Programma!$F$3:$P$1101,11,0),"")</f>
        <v/>
      </c>
      <c r="BO260" s="114" t="str">
        <f>_xlfn.IFNA(VLOOKUP($BD260,Programma!$F$3:$Q$1101,12,0),"")</f>
        <v/>
      </c>
      <c r="BP260" s="114" t="str">
        <f>_xlfn.IFNA(VLOOKUP($BD260,Programma!$F$3:$R$1101,13,0),"")</f>
        <v/>
      </c>
      <c r="BQ260" s="114" t="str">
        <f>_xlfn.IFNA(VLOOKUP($BD260,Programma!$F$3:$S$1101,14,0),"")</f>
        <v/>
      </c>
      <c r="BR260" s="114" t="str">
        <f>_xlfn.IFNA(VLOOKUP($BD260,Programma!$F$3:$T$1101,15,0),"")</f>
        <v/>
      </c>
      <c r="BS260" s="114" t="str">
        <f>_xlfn.IFNA(VLOOKUP($BD260,Programma!$F$3:$U$1101,16,0),"")</f>
        <v/>
      </c>
      <c r="BT260" s="114" t="str">
        <f>_xlfn.IFNA(VLOOKUP($BD260,Programma!$F$3:$V$1101,17,0),"")</f>
        <v/>
      </c>
      <c r="BU260" s="114" t="str">
        <f>_xlfn.IFNA(VLOOKUP($BD260,Programma!$F$3:$W$1101,18,0),"")</f>
        <v/>
      </c>
      <c r="BV260" s="114" t="str">
        <f>_xlfn.IFNA(VLOOKUP($BD260,Programma!$F$3:$X$1101,19,0),"")</f>
        <v/>
      </c>
      <c r="BW260" s="114" t="str">
        <f>_xlfn.IFNA(VLOOKUP($BD260,Programma!$F$3:$Y$1101,20,0),"")</f>
        <v/>
      </c>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c r="EO260" s="28"/>
      <c r="EP260" s="28"/>
      <c r="EQ260" s="28"/>
      <c r="ER260" s="28"/>
      <c r="ES260" s="28"/>
      <c r="ET260" s="28"/>
      <c r="EU260" s="28"/>
      <c r="EV260" s="28"/>
      <c r="EW260" s="28"/>
      <c r="EX260" s="28"/>
      <c r="EY260" s="28"/>
      <c r="EZ260" s="28"/>
      <c r="FA260" s="28"/>
      <c r="FB260" s="28"/>
      <c r="FC260" s="28"/>
      <c r="FD260" s="28"/>
      <c r="FE260" s="28"/>
      <c r="FF260" s="28"/>
      <c r="FG260" s="28"/>
      <c r="FH260" s="28"/>
      <c r="FI260" s="28"/>
      <c r="FJ260" s="28"/>
      <c r="FK260" s="28"/>
      <c r="FL260" s="28"/>
      <c r="FM260" s="28"/>
      <c r="FN260" s="28"/>
      <c r="FO260" s="28"/>
      <c r="FP260" s="28"/>
      <c r="FQ260" s="28"/>
      <c r="FR260" s="28"/>
      <c r="FS260" s="28"/>
      <c r="FT260" s="28"/>
      <c r="FU260" s="28"/>
      <c r="FV260" s="28"/>
      <c r="FW260" s="28"/>
      <c r="FX260" s="28"/>
      <c r="FY260" s="28"/>
      <c r="FZ260" s="28"/>
      <c r="GA260" s="28"/>
      <c r="GB260" s="28"/>
      <c r="GC260" s="28"/>
      <c r="GD260" s="28"/>
      <c r="GE260" s="28"/>
      <c r="GF260" s="28"/>
      <c r="GG260" s="28"/>
      <c r="GH260" s="28"/>
      <c r="GI260" s="28"/>
      <c r="GJ260" s="28"/>
      <c r="GK260" s="28"/>
      <c r="GL260" s="28"/>
      <c r="GM260" s="28"/>
      <c r="GN260" s="28"/>
      <c r="GO260" s="28"/>
      <c r="GP260" s="28"/>
      <c r="GQ260" s="28"/>
      <c r="GR260" s="28"/>
      <c r="GS260" s="28"/>
      <c r="GT260" s="28"/>
      <c r="GU260" s="28"/>
      <c r="GV260" s="28"/>
      <c r="GW260" s="28"/>
      <c r="GX260" s="28"/>
      <c r="GY260" s="28"/>
      <c r="GZ260" s="28"/>
      <c r="HA260" s="28"/>
      <c r="HB260" s="28"/>
      <c r="HC260" s="28"/>
      <c r="HD260" s="28"/>
      <c r="HE260" s="28"/>
      <c r="HF260" s="28"/>
      <c r="HG260" s="28"/>
      <c r="HH260" s="28"/>
      <c r="HI260" s="28"/>
      <c r="HJ260" s="28"/>
      <c r="HK260" s="28"/>
      <c r="HL260" s="28"/>
    </row>
    <row r="261" spans="1:220" ht="15" customHeight="1">
      <c r="A261" s="31">
        <v>5</v>
      </c>
      <c r="B261" s="105" t="str">
        <f>VLOOKUP(Ruimtestaat[[#This Row],[Code]],Locaties[[Code]:[Locatie]],2,FALSE)</f>
        <v>IKC Remigius</v>
      </c>
      <c r="C261" s="105" t="str">
        <f>VLOOKUP(Ruimtestaat[[#This Row],[Code]],Locaties[[#All],[Code]:[Adres]],4,FALSE)</f>
        <v>Liemersplein 1</v>
      </c>
      <c r="D261" s="105" t="str">
        <f>VLOOKUP(Ruimtestaat[[#This Row],[Code]],Locaties[[#All],[Code]:[Postcode]],5,FALSE)</f>
        <v xml:space="preserve">6921 HN </v>
      </c>
      <c r="E261" s="105" t="str">
        <f>VLOOKUP(Ruimtestaat[[#This Row],[Code]],Locaties[#All],6,FALSE)</f>
        <v>Duiven</v>
      </c>
      <c r="F261" s="113"/>
      <c r="G261" s="31" t="s">
        <v>1826</v>
      </c>
      <c r="H261" s="31" t="s">
        <v>1873</v>
      </c>
      <c r="I261" s="113" t="s">
        <v>1875</v>
      </c>
      <c r="J261" s="31">
        <v>5</v>
      </c>
      <c r="K261" s="113" t="str">
        <f>VLOOKUP(Ruimtestaat[[#This Row],[Ruimte code]],Ruimtegroepen[[#All],[Code]:[Ruimte omschrijving]],2,FALSE)</f>
        <v>Sanitair</v>
      </c>
      <c r="L261" s="73" t="s">
        <v>101</v>
      </c>
      <c r="M261" s="273" t="s">
        <v>1893</v>
      </c>
      <c r="N261" s="106">
        <v>4</v>
      </c>
      <c r="O261" s="112"/>
      <c r="P261" s="73"/>
      <c r="Q261" s="107" t="str">
        <f>VLOOKUP(Ruimtestaat[[#This Row],[Ruimte code]],Ruimtegroepen[],4,FALSE)</f>
        <v>Sa</v>
      </c>
      <c r="R261" s="73">
        <v>40</v>
      </c>
      <c r="S261" s="73" t="s">
        <v>2</v>
      </c>
      <c r="T261" s="73">
        <f>IF(R261&gt;0,IF(RIGHT(Ruimtestaat[[#This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1" s="73">
        <f>IF(T261&gt;0,VLOOKUP($J261,Ruimtegroepen[],3,FALSE)*VLOOKUP($L261,Vloersoorten[],3,FALSE)*VLOOKUP($S261,Frequenties[],3,FALSE)*VLOOKUP($A261,Locaties[],3,FALSE),0)</f>
        <v>0</v>
      </c>
      <c r="V261" s="73">
        <f>Ruimtestaat[[#This Row],[Uitvoeringen werkdagen]]*Ruimtestaat[[#This Row],[Oppervlak (netto)]]</f>
        <v>800</v>
      </c>
      <c r="W261" s="108">
        <f>IF(U261&gt;0,Ruimtestaat[[#This Row],[Prest. (m2 /jaar) werkdagen]]/Ruimtestaat[[#This Row],[Norm (m2/uur) werkdagen]],0)</f>
        <v>0</v>
      </c>
      <c r="X261" s="109">
        <f>Ruimtestaat[[#This Row],[uren / jaar werkdagen]]*Tariefsopbouw!$E$35</f>
        <v>0</v>
      </c>
      <c r="Y261" s="73"/>
      <c r="Z261" s="73">
        <f>IF(Ruimtestaat[[#This Row],[Frequentie weekend]]&gt;0,VALUE(LEFT(Y261,1))*R261,0)</f>
        <v>0</v>
      </c>
      <c r="AA261" s="72">
        <f>IF($Z261&gt;0,VLOOKUP($J261,Ruimtegroepen[],3,FALSE)*VLOOKUP($L261,Vloersoorten[],3,FALSE)*VLOOKUP($Y261,Frequenties[],3,FALSE)*VLOOKUP(Ruimtestaat[[#This Row],[Code]],Locaties[],3,FALSE),0)</f>
        <v>0</v>
      </c>
      <c r="AB261" s="72">
        <f>Ruimtestaat[[#This Row],[Uitvoeringen weekend]]*Ruimtestaat[[#This Row],[Oppervlak (netto)]]</f>
        <v>0</v>
      </c>
      <c r="AC261" s="72">
        <f>IF(AA261&gt;0,Ruimtestaat[[#This Row],[Prest. (m2 /jaar) weekend]]/Ruimtestaat[[#This Row],[Norm (m2/uur) weekend]],0)</f>
        <v>0</v>
      </c>
      <c r="AD261" s="109">
        <f>Ruimtestaat[[#This Row],[uren / jaar weekend]]*Tariefsopbouw!$D$40</f>
        <v>0</v>
      </c>
      <c r="AE261" s="108">
        <f>Ruimtestaat[[#This Row],[Prest. (m2 /jaar) weekend]]+Ruimtestaat[[#This Row],[Prest. (m2 /jaar) werkdagen]]</f>
        <v>800</v>
      </c>
      <c r="AF261" s="108">
        <f>Ruimtestaat[[#This Row],[uren / jaar weekend]]+Ruimtestaat[[#This Row],[uren / jaar werkdagen]]</f>
        <v>0</v>
      </c>
      <c r="AG261" s="103">
        <f>Ruimtestaat[[#This Row],[kosten / jaar weekend]]+Ruimtestaat[[#This Row],[kosten / jaar werkdagen]]</f>
        <v>0</v>
      </c>
      <c r="AH261" s="103"/>
      <c r="AI261" s="110" t="str">
        <f>IF(Ruimtestaat[[#This Row],[Frequentie werkdagen]]="","",_xlfn.CONCAT(Ruimtestaat[[#This Row],[Ruimte code]],"-",Ruimtestaat[[#This Row],[Frequentie werkdagen]]," ",Ruimtestaat[[#This Row],[Vloer code]]))</f>
        <v>5-5w S</v>
      </c>
      <c r="AJ261" s="114" t="str">
        <f>_xlfn.IFNA(VLOOKUP($AI261,Programma!$F$3:$G$1101,2,0),"")</f>
        <v>_</v>
      </c>
      <c r="AK261" s="114" t="str">
        <f>_xlfn.IFNA(VLOOKUP($AI261,Programma!$F$3:$H$1101,3,0),"")</f>
        <v>_</v>
      </c>
      <c r="AL261" s="114" t="str">
        <f>_xlfn.IFNA(VLOOKUP($AI261,Programma!$F$3:$I$1101,4,0),"")</f>
        <v>_</v>
      </c>
      <c r="AM261" s="114" t="str">
        <f>_xlfn.IFNA(VLOOKUP($AI261,Programma!$F$3:$J$1101,5,0),"")</f>
        <v>4w</v>
      </c>
      <c r="AN261" s="114" t="str">
        <f>_xlfn.IFNA(VLOOKUP($AI261,Programma!$F$3:$K$1101,6,0),"")</f>
        <v>1w</v>
      </c>
      <c r="AO261" s="114" t="str">
        <f>_xlfn.IFNA(VLOOKUP($AI261,Programma!$F$3:$L$1101,7,0),"")</f>
        <v>_</v>
      </c>
      <c r="AP261" s="114" t="str">
        <f>_xlfn.IFNA(VLOOKUP($AI261,Programma!$F$3:$M$1101,8,0),"")</f>
        <v>_</v>
      </c>
      <c r="AQ261" s="114" t="str">
        <f>_xlfn.IFNA(VLOOKUP($AI261,Programma!$F$3:$N$1101,9,0),"")</f>
        <v>_</v>
      </c>
      <c r="AR261" s="114" t="str">
        <f>_xlfn.IFNA(VLOOKUP($AI261,Programma!$F$3:$O$1101,10,0),"")</f>
        <v>_</v>
      </c>
      <c r="AS261" s="114" t="str">
        <f>_xlfn.IFNA(VLOOKUP($AI261,Programma!$F$3:$P$1101,11,0),"")</f>
        <v>_</v>
      </c>
      <c r="AT261" s="114" t="str">
        <f>_xlfn.IFNA(VLOOKUP($AI261,Programma!$F$3:$Q$1101,12,0),"")</f>
        <v>_</v>
      </c>
      <c r="AU261" s="114" t="str">
        <f>_xlfn.IFNA(VLOOKUP($AI261,Programma!$F$3:$R$1101,13,0),"")</f>
        <v>_</v>
      </c>
      <c r="AV261" s="114" t="str">
        <f>_xlfn.IFNA(VLOOKUP($AI261,Programma!$F$3:$S$1101,14,0),"")</f>
        <v>_</v>
      </c>
      <c r="AW261" s="114" t="str">
        <f>_xlfn.IFNA(VLOOKUP($AI261,Programma!$F$3:$T$1101,15,0),"")</f>
        <v>_</v>
      </c>
      <c r="AX261" s="114" t="str">
        <f>_xlfn.IFNA(VLOOKUP($AI261,Programma!$F$3:$U$1101,16,0),"")</f>
        <v>_</v>
      </c>
      <c r="AY261" s="114" t="str">
        <f>_xlfn.IFNA(VLOOKUP($AI261,Programma!$F$3:$V$1101,17,0),"")</f>
        <v>_</v>
      </c>
      <c r="AZ261" s="114" t="str">
        <f>_xlfn.IFNA(VLOOKUP($AI261,Programma!$F$3:$W$1101,18,0),"")</f>
        <v>4w</v>
      </c>
      <c r="BA261" s="114" t="str">
        <f>_xlfn.IFNA(VLOOKUP($AI261,Programma!$F$3:$X$1101,19,0),"")</f>
        <v>1w</v>
      </c>
      <c r="BB261" s="114" t="str">
        <f>_xlfn.IFNA(VLOOKUP($AI261,Programma!$F$3:$Y$1101,20,0),"")</f>
        <v>_</v>
      </c>
      <c r="BC261" s="111"/>
      <c r="BD261" s="110" t="str">
        <f>IF(Ruimtestaat[[#This Row],[Frequentie weekend]]="","",_xlfn.CONCAT(Ruimtestaat[[#This Row],[Ruimte code]],"-",Ruimtestaat[[#This Row],[Frequentie weekend]]," ",Ruimtestaat[[#This Row],[Vloer code]]))</f>
        <v/>
      </c>
      <c r="BE261" s="114" t="str">
        <f>_xlfn.IFNA(VLOOKUP($BD261,Programma!$F$3:$G$1101,2,0),"")</f>
        <v/>
      </c>
      <c r="BF261" s="114" t="str">
        <f>_xlfn.IFNA(VLOOKUP($BD261,Programma!$F$3:$H$1101,3,0),"")</f>
        <v/>
      </c>
      <c r="BG261" s="114" t="str">
        <f>_xlfn.IFNA(VLOOKUP($BD261,Programma!$F$3:$I$1101,4,0),"")</f>
        <v/>
      </c>
      <c r="BH261" s="114" t="str">
        <f>_xlfn.IFNA(VLOOKUP($BD261,Programma!$F$3:$J$1101,5,0),"")</f>
        <v/>
      </c>
      <c r="BI261" s="114" t="str">
        <f>_xlfn.IFNA(VLOOKUP($BD261,Programma!$F$3:$K$1101,6,0),"")</f>
        <v/>
      </c>
      <c r="BJ261" s="114" t="str">
        <f>_xlfn.IFNA(VLOOKUP($BD261,Programma!$F$3:$L$1101,7,0),"")</f>
        <v/>
      </c>
      <c r="BK261" s="114" t="str">
        <f>_xlfn.IFNA(VLOOKUP($BD261,Programma!$F$3:$M$1101,8,0),"")</f>
        <v/>
      </c>
      <c r="BL261" s="114" t="str">
        <f>_xlfn.IFNA(VLOOKUP($BD261,Programma!$F$3:$N$1101,9,0),"")</f>
        <v/>
      </c>
      <c r="BM261" s="114" t="str">
        <f>_xlfn.IFNA(VLOOKUP($BD261,Programma!$F$3:$O$1101,10,0),"")</f>
        <v/>
      </c>
      <c r="BN261" s="114" t="str">
        <f>_xlfn.IFNA(VLOOKUP($BD261,Programma!$F$3:$P$1101,11,0),"")</f>
        <v/>
      </c>
      <c r="BO261" s="114" t="str">
        <f>_xlfn.IFNA(VLOOKUP($BD261,Programma!$F$3:$Q$1101,12,0),"")</f>
        <v/>
      </c>
      <c r="BP261" s="114" t="str">
        <f>_xlfn.IFNA(VLOOKUP($BD261,Programma!$F$3:$R$1101,13,0),"")</f>
        <v/>
      </c>
      <c r="BQ261" s="114" t="str">
        <f>_xlfn.IFNA(VLOOKUP($BD261,Programma!$F$3:$S$1101,14,0),"")</f>
        <v/>
      </c>
      <c r="BR261" s="114" t="str">
        <f>_xlfn.IFNA(VLOOKUP($BD261,Programma!$F$3:$T$1101,15,0),"")</f>
        <v/>
      </c>
      <c r="BS261" s="114" t="str">
        <f>_xlfn.IFNA(VLOOKUP($BD261,Programma!$F$3:$U$1101,16,0),"")</f>
        <v/>
      </c>
      <c r="BT261" s="114" t="str">
        <f>_xlfn.IFNA(VLOOKUP($BD261,Programma!$F$3:$V$1101,17,0),"")</f>
        <v/>
      </c>
      <c r="BU261" s="114" t="str">
        <f>_xlfn.IFNA(VLOOKUP($BD261,Programma!$F$3:$W$1101,18,0),"")</f>
        <v/>
      </c>
      <c r="BV261" s="114" t="str">
        <f>_xlfn.IFNA(VLOOKUP($BD261,Programma!$F$3:$X$1101,19,0),"")</f>
        <v/>
      </c>
      <c r="BW261" s="114" t="str">
        <f>_xlfn.IFNA(VLOOKUP($BD261,Programma!$F$3:$Y$1101,20,0),"")</f>
        <v/>
      </c>
      <c r="BX261" s="28"/>
      <c r="BY261" s="28"/>
      <c r="BZ261" s="28"/>
      <c r="CA261" s="28"/>
      <c r="CB261" s="28"/>
      <c r="CC261" s="28"/>
      <c r="CD261" s="28"/>
      <c r="CE261" s="28"/>
      <c r="CF261" s="28"/>
      <c r="CG261" s="28"/>
      <c r="CH261" s="28"/>
      <c r="CI261" s="28"/>
      <c r="CJ261" s="28"/>
      <c r="CK261" s="28"/>
      <c r="CL261" s="28"/>
      <c r="CM261" s="28"/>
      <c r="CN261" s="28"/>
      <c r="CO261" s="28"/>
      <c r="CP261" s="28"/>
      <c r="CQ261" s="28"/>
      <c r="CR261" s="28"/>
      <c r="CS261" s="28"/>
      <c r="CT261" s="28"/>
      <c r="CU261" s="28"/>
      <c r="CV261" s="28"/>
      <c r="CW261" s="28"/>
      <c r="CX261" s="28"/>
      <c r="CY261" s="28"/>
      <c r="CZ261" s="28"/>
      <c r="DA261" s="28"/>
      <c r="DB261" s="28"/>
      <c r="DC261" s="28"/>
      <c r="DD261" s="28"/>
      <c r="DE261" s="28"/>
      <c r="DF261" s="28"/>
      <c r="DG261" s="28"/>
      <c r="DH261" s="28"/>
      <c r="DI261" s="28"/>
      <c r="DJ261" s="28"/>
      <c r="DK261" s="28"/>
      <c r="DL261" s="28"/>
      <c r="DM261" s="28"/>
      <c r="DN261" s="28"/>
      <c r="DO261" s="28"/>
      <c r="DP261" s="28"/>
      <c r="DQ261" s="28"/>
      <c r="DR261" s="28"/>
      <c r="DS261" s="28"/>
      <c r="DT261" s="28"/>
      <c r="DU261" s="28"/>
      <c r="DV261" s="28"/>
      <c r="DW261" s="28"/>
      <c r="DX261" s="28"/>
      <c r="DY261" s="28"/>
      <c r="DZ261" s="28"/>
      <c r="EA261" s="28"/>
      <c r="EB261" s="28"/>
      <c r="EC261" s="28"/>
      <c r="ED261" s="28"/>
      <c r="EE261" s="28"/>
      <c r="EF261" s="28"/>
      <c r="EG261" s="28"/>
      <c r="EH261" s="28"/>
      <c r="EI261" s="28"/>
      <c r="EJ261" s="28"/>
      <c r="EK261" s="28"/>
      <c r="EL261" s="28"/>
      <c r="EM261" s="28"/>
      <c r="EN261" s="28"/>
      <c r="EO261" s="28"/>
      <c r="EP261" s="28"/>
      <c r="EQ261" s="28"/>
      <c r="ER261" s="28"/>
      <c r="ES261" s="28"/>
      <c r="ET261" s="28"/>
      <c r="EU261" s="28"/>
      <c r="EV261" s="28"/>
      <c r="EW261" s="28"/>
      <c r="EX261" s="28"/>
      <c r="EY261" s="28"/>
      <c r="EZ261" s="28"/>
      <c r="FA261" s="28"/>
      <c r="FB261" s="28"/>
      <c r="FC261" s="28"/>
      <c r="FD261" s="28"/>
      <c r="FE261" s="28"/>
      <c r="FF261" s="28"/>
      <c r="FG261" s="28"/>
      <c r="FH261" s="28"/>
      <c r="FI261" s="28"/>
      <c r="FJ261" s="28"/>
      <c r="FK261" s="28"/>
      <c r="FL261" s="28"/>
      <c r="FM261" s="28"/>
      <c r="FN261" s="28"/>
      <c r="FO261" s="28"/>
      <c r="FP261" s="28"/>
      <c r="FQ261" s="28"/>
      <c r="FR261" s="28"/>
      <c r="FS261" s="28"/>
      <c r="FT261" s="28"/>
      <c r="FU261" s="28"/>
      <c r="FV261" s="28"/>
      <c r="FW261" s="28"/>
      <c r="FX261" s="28"/>
      <c r="FY261" s="28"/>
      <c r="FZ261" s="28"/>
      <c r="GA261" s="28"/>
      <c r="GB261" s="28"/>
      <c r="GC261" s="28"/>
      <c r="GD261" s="28"/>
      <c r="GE261" s="28"/>
      <c r="GF261" s="28"/>
      <c r="GG261" s="28"/>
      <c r="GH261" s="28"/>
      <c r="GI261" s="28"/>
      <c r="GJ261" s="28"/>
      <c r="GK261" s="28"/>
      <c r="GL261" s="28"/>
      <c r="GM261" s="28"/>
      <c r="GN261" s="28"/>
      <c r="GO261" s="28"/>
      <c r="GP261" s="28"/>
      <c r="GQ261" s="28"/>
      <c r="GR261" s="28"/>
      <c r="GS261" s="28"/>
      <c r="GT261" s="28"/>
      <c r="GU261" s="28"/>
      <c r="GV261" s="28"/>
      <c r="GW261" s="28"/>
      <c r="GX261" s="28"/>
      <c r="GY261" s="28"/>
      <c r="GZ261" s="28"/>
      <c r="HA261" s="28"/>
      <c r="HB261" s="28"/>
      <c r="HC261" s="28"/>
      <c r="HD261" s="28"/>
      <c r="HE261" s="28"/>
      <c r="HF261" s="28"/>
      <c r="HG261" s="28"/>
      <c r="HH261" s="28"/>
      <c r="HI261" s="28"/>
      <c r="HJ261" s="28"/>
      <c r="HK261" s="28"/>
      <c r="HL261" s="28"/>
    </row>
    <row r="262" spans="1:220" ht="15" customHeight="1">
      <c r="A262" s="31">
        <v>5</v>
      </c>
      <c r="B262" s="105" t="str">
        <f>VLOOKUP(Ruimtestaat[[#This Row],[Code]],Locaties[[Code]:[Locatie]],2,FALSE)</f>
        <v>IKC Remigius</v>
      </c>
      <c r="C262" s="105" t="str">
        <f>VLOOKUP(Ruimtestaat[[#This Row],[Code]],Locaties[[#All],[Code]:[Adres]],4,FALSE)</f>
        <v>Liemersplein 1</v>
      </c>
      <c r="D262" s="105" t="str">
        <f>VLOOKUP(Ruimtestaat[[#This Row],[Code]],Locaties[[#All],[Code]:[Postcode]],5,FALSE)</f>
        <v xml:space="preserve">6921 HN </v>
      </c>
      <c r="E262" s="105" t="str">
        <f>VLOOKUP(Ruimtestaat[[#This Row],[Code]],Locaties[#All],6,FALSE)</f>
        <v>Duiven</v>
      </c>
      <c r="F262" s="113"/>
      <c r="G262" s="31" t="s">
        <v>1826</v>
      </c>
      <c r="H262" s="31" t="s">
        <v>1874</v>
      </c>
      <c r="I262" s="113" t="s">
        <v>1875</v>
      </c>
      <c r="J262" s="31">
        <v>5</v>
      </c>
      <c r="K262" s="113" t="str">
        <f>VLOOKUP(Ruimtestaat[[#This Row],[Ruimte code]],Ruimtegroepen[[#All],[Code]:[Ruimte omschrijving]],2,FALSE)</f>
        <v>Sanitair</v>
      </c>
      <c r="L262" s="73" t="s">
        <v>101</v>
      </c>
      <c r="M262" s="273" t="s">
        <v>1893</v>
      </c>
      <c r="N262" s="106">
        <v>4.0999999999999996</v>
      </c>
      <c r="O262" s="112"/>
      <c r="P262" s="112"/>
      <c r="Q262" s="107" t="str">
        <f>VLOOKUP(Ruimtestaat[[#This Row],[Ruimte code]],Ruimtegroepen[],4,FALSE)</f>
        <v>Sa</v>
      </c>
      <c r="R262" s="73">
        <v>40</v>
      </c>
      <c r="S262" s="73" t="s">
        <v>2</v>
      </c>
      <c r="T262" s="73">
        <f>IF(R262&gt;0,IF(RIGHT(Ruimtestaat[[#This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2" s="73">
        <f>IF(T262&gt;0,VLOOKUP($J262,Ruimtegroepen[],3,FALSE)*VLOOKUP($L262,Vloersoorten[],3,FALSE)*VLOOKUP($S262,Frequenties[],3,FALSE)*VLOOKUP($A262,Locaties[],3,FALSE),0)</f>
        <v>0</v>
      </c>
      <c r="V262" s="73">
        <f>Ruimtestaat[[#This Row],[Uitvoeringen werkdagen]]*Ruimtestaat[[#This Row],[Oppervlak (netto)]]</f>
        <v>819.99999999999989</v>
      </c>
      <c r="W262" s="108">
        <f>IF(U262&gt;0,Ruimtestaat[[#This Row],[Prest. (m2 /jaar) werkdagen]]/Ruimtestaat[[#This Row],[Norm (m2/uur) werkdagen]],0)</f>
        <v>0</v>
      </c>
      <c r="X262" s="109">
        <f>Ruimtestaat[[#This Row],[uren / jaar werkdagen]]*Tariefsopbouw!$E$35</f>
        <v>0</v>
      </c>
      <c r="Y262" s="73"/>
      <c r="Z262" s="73">
        <f>IF(Ruimtestaat[[#This Row],[Frequentie weekend]]&gt;0,VALUE(LEFT(Y262,1))*R262,0)</f>
        <v>0</v>
      </c>
      <c r="AA262" s="72">
        <f>IF($Z262&gt;0,VLOOKUP($J262,Ruimtegroepen[],3,FALSE)*VLOOKUP($L262,Vloersoorten[],3,FALSE)*VLOOKUP($Y262,Frequenties[],3,FALSE)*VLOOKUP(Ruimtestaat[[#This Row],[Code]],Locaties[],3,FALSE),0)</f>
        <v>0</v>
      </c>
      <c r="AB262" s="72">
        <f>Ruimtestaat[[#This Row],[Uitvoeringen weekend]]*Ruimtestaat[[#This Row],[Oppervlak (netto)]]</f>
        <v>0</v>
      </c>
      <c r="AC262" s="72">
        <f>IF(AA262&gt;0,Ruimtestaat[[#This Row],[Prest. (m2 /jaar) weekend]]/Ruimtestaat[[#This Row],[Norm (m2/uur) weekend]],0)</f>
        <v>0</v>
      </c>
      <c r="AD262" s="109">
        <f>Ruimtestaat[[#This Row],[uren / jaar weekend]]*Tariefsopbouw!$D$40</f>
        <v>0</v>
      </c>
      <c r="AE262" s="108">
        <f>Ruimtestaat[[#This Row],[Prest. (m2 /jaar) weekend]]+Ruimtestaat[[#This Row],[Prest. (m2 /jaar) werkdagen]]</f>
        <v>819.99999999999989</v>
      </c>
      <c r="AF262" s="108">
        <f>Ruimtestaat[[#This Row],[uren / jaar weekend]]+Ruimtestaat[[#This Row],[uren / jaar werkdagen]]</f>
        <v>0</v>
      </c>
      <c r="AG262" s="103">
        <f>Ruimtestaat[[#This Row],[kosten / jaar weekend]]+Ruimtestaat[[#This Row],[kosten / jaar werkdagen]]</f>
        <v>0</v>
      </c>
      <c r="AH262" s="103"/>
      <c r="AI262" s="110" t="str">
        <f>IF(Ruimtestaat[[#This Row],[Frequentie werkdagen]]="","",_xlfn.CONCAT(Ruimtestaat[[#This Row],[Ruimte code]],"-",Ruimtestaat[[#This Row],[Frequentie werkdagen]]," ",Ruimtestaat[[#This Row],[Vloer code]]))</f>
        <v>5-5w S</v>
      </c>
      <c r="AJ262" s="114" t="str">
        <f>_xlfn.IFNA(VLOOKUP($AI262,Programma!$F$3:$G$1101,2,0),"")</f>
        <v>_</v>
      </c>
      <c r="AK262" s="114" t="str">
        <f>_xlfn.IFNA(VLOOKUP($AI262,Programma!$F$3:$H$1101,3,0),"")</f>
        <v>_</v>
      </c>
      <c r="AL262" s="114" t="str">
        <f>_xlfn.IFNA(VLOOKUP($AI262,Programma!$F$3:$I$1101,4,0),"")</f>
        <v>_</v>
      </c>
      <c r="AM262" s="114" t="str">
        <f>_xlfn.IFNA(VLOOKUP($AI262,Programma!$F$3:$J$1101,5,0),"")</f>
        <v>4w</v>
      </c>
      <c r="AN262" s="114" t="str">
        <f>_xlfn.IFNA(VLOOKUP($AI262,Programma!$F$3:$K$1101,6,0),"")</f>
        <v>1w</v>
      </c>
      <c r="AO262" s="114" t="str">
        <f>_xlfn.IFNA(VLOOKUP($AI262,Programma!$F$3:$L$1101,7,0),"")</f>
        <v>_</v>
      </c>
      <c r="AP262" s="114" t="str">
        <f>_xlfn.IFNA(VLOOKUP($AI262,Programma!$F$3:$M$1101,8,0),"")</f>
        <v>_</v>
      </c>
      <c r="AQ262" s="114" t="str">
        <f>_xlfn.IFNA(VLOOKUP($AI262,Programma!$F$3:$N$1101,9,0),"")</f>
        <v>_</v>
      </c>
      <c r="AR262" s="114" t="str">
        <f>_xlfn.IFNA(VLOOKUP($AI262,Programma!$F$3:$O$1101,10,0),"")</f>
        <v>_</v>
      </c>
      <c r="AS262" s="114" t="str">
        <f>_xlfn.IFNA(VLOOKUP($AI262,Programma!$F$3:$P$1101,11,0),"")</f>
        <v>_</v>
      </c>
      <c r="AT262" s="114" t="str">
        <f>_xlfn.IFNA(VLOOKUP($AI262,Programma!$F$3:$Q$1101,12,0),"")</f>
        <v>_</v>
      </c>
      <c r="AU262" s="114" t="str">
        <f>_xlfn.IFNA(VLOOKUP($AI262,Programma!$F$3:$R$1101,13,0),"")</f>
        <v>_</v>
      </c>
      <c r="AV262" s="114" t="str">
        <f>_xlfn.IFNA(VLOOKUP($AI262,Programma!$F$3:$S$1101,14,0),"")</f>
        <v>_</v>
      </c>
      <c r="AW262" s="114" t="str">
        <f>_xlfn.IFNA(VLOOKUP($AI262,Programma!$F$3:$T$1101,15,0),"")</f>
        <v>_</v>
      </c>
      <c r="AX262" s="114" t="str">
        <f>_xlfn.IFNA(VLOOKUP($AI262,Programma!$F$3:$U$1101,16,0),"")</f>
        <v>_</v>
      </c>
      <c r="AY262" s="114" t="str">
        <f>_xlfn.IFNA(VLOOKUP($AI262,Programma!$F$3:$V$1101,17,0),"")</f>
        <v>_</v>
      </c>
      <c r="AZ262" s="114" t="str">
        <f>_xlfn.IFNA(VLOOKUP($AI262,Programma!$F$3:$W$1101,18,0),"")</f>
        <v>4w</v>
      </c>
      <c r="BA262" s="114" t="str">
        <f>_xlfn.IFNA(VLOOKUP($AI262,Programma!$F$3:$X$1101,19,0),"")</f>
        <v>1w</v>
      </c>
      <c r="BB262" s="114" t="str">
        <f>_xlfn.IFNA(VLOOKUP($AI262,Programma!$F$3:$Y$1101,20,0),"")</f>
        <v>_</v>
      </c>
      <c r="BC262" s="111"/>
      <c r="BD262" s="110" t="str">
        <f>IF(Ruimtestaat[[#This Row],[Frequentie weekend]]="","",_xlfn.CONCAT(Ruimtestaat[[#This Row],[Ruimte code]],"-",Ruimtestaat[[#This Row],[Frequentie weekend]]," ",Ruimtestaat[[#This Row],[Vloer code]]))</f>
        <v/>
      </c>
      <c r="BE262" s="114" t="str">
        <f>_xlfn.IFNA(VLOOKUP($BD262,Programma!$F$3:$G$1101,2,0),"")</f>
        <v/>
      </c>
      <c r="BF262" s="114" t="str">
        <f>_xlfn.IFNA(VLOOKUP($BD262,Programma!$F$3:$H$1101,3,0),"")</f>
        <v/>
      </c>
      <c r="BG262" s="114" t="str">
        <f>_xlfn.IFNA(VLOOKUP($BD262,Programma!$F$3:$I$1101,4,0),"")</f>
        <v/>
      </c>
      <c r="BH262" s="114" t="str">
        <f>_xlfn.IFNA(VLOOKUP($BD262,Programma!$F$3:$J$1101,5,0),"")</f>
        <v/>
      </c>
      <c r="BI262" s="114" t="str">
        <f>_xlfn.IFNA(VLOOKUP($BD262,Programma!$F$3:$K$1101,6,0),"")</f>
        <v/>
      </c>
      <c r="BJ262" s="114" t="str">
        <f>_xlfn.IFNA(VLOOKUP($BD262,Programma!$F$3:$L$1101,7,0),"")</f>
        <v/>
      </c>
      <c r="BK262" s="114" t="str">
        <f>_xlfn.IFNA(VLOOKUP($BD262,Programma!$F$3:$M$1101,8,0),"")</f>
        <v/>
      </c>
      <c r="BL262" s="114" t="str">
        <f>_xlfn.IFNA(VLOOKUP($BD262,Programma!$F$3:$N$1101,9,0),"")</f>
        <v/>
      </c>
      <c r="BM262" s="114" t="str">
        <f>_xlfn.IFNA(VLOOKUP($BD262,Programma!$F$3:$O$1101,10,0),"")</f>
        <v/>
      </c>
      <c r="BN262" s="114" t="str">
        <f>_xlfn.IFNA(VLOOKUP($BD262,Programma!$F$3:$P$1101,11,0),"")</f>
        <v/>
      </c>
      <c r="BO262" s="114" t="str">
        <f>_xlfn.IFNA(VLOOKUP($BD262,Programma!$F$3:$Q$1101,12,0),"")</f>
        <v/>
      </c>
      <c r="BP262" s="114" t="str">
        <f>_xlfn.IFNA(VLOOKUP($BD262,Programma!$F$3:$R$1101,13,0),"")</f>
        <v/>
      </c>
      <c r="BQ262" s="114" t="str">
        <f>_xlfn.IFNA(VLOOKUP($BD262,Programma!$F$3:$S$1101,14,0),"")</f>
        <v/>
      </c>
      <c r="BR262" s="114" t="str">
        <f>_xlfn.IFNA(VLOOKUP($BD262,Programma!$F$3:$T$1101,15,0),"")</f>
        <v/>
      </c>
      <c r="BS262" s="114" t="str">
        <f>_xlfn.IFNA(VLOOKUP($BD262,Programma!$F$3:$U$1101,16,0),"")</f>
        <v/>
      </c>
      <c r="BT262" s="114" t="str">
        <f>_xlfn.IFNA(VLOOKUP($BD262,Programma!$F$3:$V$1101,17,0),"")</f>
        <v/>
      </c>
      <c r="BU262" s="114" t="str">
        <f>_xlfn.IFNA(VLOOKUP($BD262,Programma!$F$3:$W$1101,18,0),"")</f>
        <v/>
      </c>
      <c r="BV262" s="114" t="str">
        <f>_xlfn.IFNA(VLOOKUP($BD262,Programma!$F$3:$X$1101,19,0),"")</f>
        <v/>
      </c>
      <c r="BW262" s="114" t="str">
        <f>_xlfn.IFNA(VLOOKUP($BD262,Programma!$F$3:$Y$1101,20,0),"")</f>
        <v/>
      </c>
      <c r="BX262" s="28"/>
      <c r="BY262" s="28"/>
      <c r="BZ262" s="28"/>
      <c r="CA262" s="28"/>
      <c r="CB262" s="28"/>
      <c r="CC262" s="28"/>
      <c r="CD262" s="28"/>
      <c r="CE262" s="28"/>
      <c r="CF262" s="28"/>
      <c r="CG262" s="28"/>
      <c r="CH262" s="28"/>
      <c r="CI262" s="28"/>
      <c r="CJ262" s="28"/>
      <c r="CK262" s="28"/>
      <c r="CL262" s="28"/>
      <c r="CM262" s="28"/>
      <c r="CN262" s="28"/>
      <c r="CO262" s="28"/>
      <c r="CP262" s="28"/>
      <c r="CQ262" s="28"/>
      <c r="CR262" s="28"/>
      <c r="CS262" s="28"/>
      <c r="CT262" s="28"/>
      <c r="CU262" s="28"/>
      <c r="CV262" s="28"/>
      <c r="CW262" s="28"/>
      <c r="CX262" s="28"/>
      <c r="CY262" s="28"/>
      <c r="CZ262" s="28"/>
      <c r="DA262" s="28"/>
      <c r="DB262" s="28"/>
      <c r="DC262" s="28"/>
      <c r="DD262" s="28"/>
      <c r="DE262" s="28"/>
      <c r="DF262" s="28"/>
      <c r="DG262" s="28"/>
      <c r="DH262" s="28"/>
      <c r="DI262" s="28"/>
      <c r="DJ262" s="28"/>
      <c r="DK262" s="28"/>
      <c r="DL262" s="28"/>
      <c r="DM262" s="28"/>
      <c r="DN262" s="28"/>
      <c r="DO262" s="28"/>
      <c r="DP262" s="28"/>
      <c r="DQ262" s="28"/>
      <c r="DR262" s="28"/>
      <c r="DS262" s="28"/>
      <c r="DT262" s="28"/>
      <c r="DU262" s="28"/>
      <c r="DV262" s="28"/>
      <c r="DW262" s="28"/>
      <c r="DX262" s="28"/>
      <c r="DY262" s="28"/>
      <c r="DZ262" s="28"/>
      <c r="EA262" s="28"/>
      <c r="EB262" s="28"/>
      <c r="EC262" s="28"/>
      <c r="ED262" s="28"/>
      <c r="EE262" s="28"/>
      <c r="EF262" s="28"/>
      <c r="EG262" s="28"/>
      <c r="EH262" s="28"/>
      <c r="EI262" s="28"/>
      <c r="EJ262" s="28"/>
      <c r="EK262" s="28"/>
      <c r="EL262" s="28"/>
      <c r="EM262" s="28"/>
      <c r="EN262" s="28"/>
      <c r="EO262" s="28"/>
      <c r="EP262" s="28"/>
      <c r="EQ262" s="28"/>
      <c r="ER262" s="28"/>
      <c r="ES262" s="28"/>
      <c r="ET262" s="28"/>
      <c r="EU262" s="28"/>
      <c r="EV262" s="28"/>
      <c r="EW262" s="28"/>
      <c r="EX262" s="28"/>
      <c r="EY262" s="28"/>
      <c r="EZ262" s="28"/>
      <c r="FA262" s="28"/>
      <c r="FB262" s="28"/>
      <c r="FC262" s="28"/>
      <c r="FD262" s="28"/>
      <c r="FE262" s="28"/>
      <c r="FF262" s="28"/>
      <c r="FG262" s="28"/>
      <c r="FH262" s="28"/>
      <c r="FI262" s="28"/>
      <c r="FJ262" s="28"/>
      <c r="FK262" s="28"/>
      <c r="FL262" s="28"/>
      <c r="FM262" s="28"/>
      <c r="FN262" s="28"/>
      <c r="FO262" s="28"/>
      <c r="FP262" s="28"/>
      <c r="FQ262" s="28"/>
      <c r="FR262" s="28"/>
      <c r="FS262" s="28"/>
      <c r="FT262" s="28"/>
      <c r="FU262" s="28"/>
      <c r="FV262" s="28"/>
      <c r="FW262" s="28"/>
      <c r="FX262" s="28"/>
      <c r="FY262" s="28"/>
      <c r="FZ262" s="28"/>
      <c r="GA262" s="28"/>
      <c r="GB262" s="28"/>
      <c r="GC262" s="28"/>
      <c r="GD262" s="28"/>
      <c r="GE262" s="28"/>
      <c r="GF262" s="28"/>
      <c r="GG262" s="28"/>
      <c r="GH262" s="28"/>
      <c r="GI262" s="28"/>
      <c r="GJ262" s="28"/>
      <c r="GK262" s="28"/>
      <c r="GL262" s="28"/>
      <c r="GM262" s="28"/>
      <c r="GN262" s="28"/>
      <c r="GO262" s="28"/>
      <c r="GP262" s="28"/>
      <c r="GQ262" s="28"/>
      <c r="GR262" s="28"/>
      <c r="GS262" s="28"/>
      <c r="GT262" s="28"/>
      <c r="GU262" s="28"/>
      <c r="GV262" s="28"/>
      <c r="GW262" s="28"/>
      <c r="GX262" s="28"/>
      <c r="GY262" s="28"/>
      <c r="GZ262" s="28"/>
      <c r="HA262" s="28"/>
      <c r="HB262" s="28"/>
      <c r="HC262" s="28"/>
      <c r="HD262" s="28"/>
      <c r="HE262" s="28"/>
      <c r="HF262" s="28"/>
      <c r="HG262" s="28"/>
      <c r="HH262" s="28"/>
      <c r="HI262" s="28"/>
      <c r="HJ262" s="28"/>
      <c r="HK262" s="28"/>
      <c r="HL262" s="28"/>
    </row>
    <row r="263" spans="1:220" ht="15" customHeight="1">
      <c r="A263" s="31">
        <v>5</v>
      </c>
      <c r="B263" s="105" t="str">
        <f>VLOOKUP(Ruimtestaat[[#This Row],[Code]],Locaties[[Code]:[Locatie]],2,FALSE)</f>
        <v>IKC Remigius</v>
      </c>
      <c r="C263" s="105" t="str">
        <f>VLOOKUP(Ruimtestaat[[#This Row],[Code]],Locaties[[#All],[Code]:[Adres]],4,FALSE)</f>
        <v>Liemersplein 1</v>
      </c>
      <c r="D263" s="105" t="str">
        <f>VLOOKUP(Ruimtestaat[[#This Row],[Code]],Locaties[[#All],[Code]:[Postcode]],5,FALSE)</f>
        <v xml:space="preserve">6921 HN </v>
      </c>
      <c r="E263" s="105" t="str">
        <f>VLOOKUP(Ruimtestaat[[#This Row],[Code]],Locaties[#All],6,FALSE)</f>
        <v>Duiven</v>
      </c>
      <c r="F263" s="113"/>
      <c r="G263" s="31" t="s">
        <v>1826</v>
      </c>
      <c r="H263" s="31" t="s">
        <v>1876</v>
      </c>
      <c r="I263" s="113" t="s">
        <v>1879</v>
      </c>
      <c r="J263" s="31">
        <v>16</v>
      </c>
      <c r="K263" s="113" t="str">
        <f>VLOOKUP(Ruimtestaat[[#This Row],[Ruimte code]],Ruimtegroepen[[#All],[Code]:[Ruimte omschrijving]],2,FALSE)</f>
        <v>Leslokalen</v>
      </c>
      <c r="L263" s="73" t="s">
        <v>102</v>
      </c>
      <c r="M263" s="273" t="s">
        <v>120</v>
      </c>
      <c r="N263" s="106">
        <v>40.700000000000003</v>
      </c>
      <c r="O263" s="112"/>
      <c r="P263" s="112"/>
      <c r="Q263" s="107" t="str">
        <f>VLOOKUP(Ruimtestaat[[#This Row],[Ruimte code]],Ruimtegroepen[],4,FALSE)</f>
        <v>Le</v>
      </c>
      <c r="R263" s="73">
        <v>40</v>
      </c>
      <c r="S263" s="73" t="s">
        <v>2</v>
      </c>
      <c r="T263" s="73">
        <f>IF(R263&gt;0,IF(RIGHT(Ruimtestaat[[#This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3" s="73">
        <f>IF(T263&gt;0,VLOOKUP($J263,Ruimtegroepen[],3,FALSE)*VLOOKUP($L263,Vloersoorten[],3,FALSE)*VLOOKUP($S263,Frequenties[],3,FALSE)*VLOOKUP($A263,Locaties[],3,FALSE),0)</f>
        <v>0</v>
      </c>
      <c r="V263" s="73">
        <f>Ruimtestaat[[#This Row],[Uitvoeringen werkdagen]]*Ruimtestaat[[#This Row],[Oppervlak (netto)]]</f>
        <v>8140.0000000000009</v>
      </c>
      <c r="W263" s="108">
        <f>IF(U263&gt;0,Ruimtestaat[[#This Row],[Prest. (m2 /jaar) werkdagen]]/Ruimtestaat[[#This Row],[Norm (m2/uur) werkdagen]],0)</f>
        <v>0</v>
      </c>
      <c r="X263" s="109">
        <f>Ruimtestaat[[#This Row],[uren / jaar werkdagen]]*Tariefsopbouw!$E$35</f>
        <v>0</v>
      </c>
      <c r="Y263" s="73"/>
      <c r="Z263" s="73">
        <f>IF(Ruimtestaat[[#This Row],[Frequentie weekend]]&gt;0,VALUE(LEFT(Y263,1))*R263,0)</f>
        <v>0</v>
      </c>
      <c r="AA263" s="72">
        <f>IF($Z263&gt;0,VLOOKUP($J263,Ruimtegroepen[],3,FALSE)*VLOOKUP($L263,Vloersoorten[],3,FALSE)*VLOOKUP($Y263,Frequenties[],3,FALSE)*VLOOKUP(Ruimtestaat[[#This Row],[Code]],Locaties[],3,FALSE),0)</f>
        <v>0</v>
      </c>
      <c r="AB263" s="72">
        <f>Ruimtestaat[[#This Row],[Uitvoeringen weekend]]*Ruimtestaat[[#This Row],[Oppervlak (netto)]]</f>
        <v>0</v>
      </c>
      <c r="AC263" s="72">
        <f>IF(AA263&gt;0,Ruimtestaat[[#This Row],[Prest. (m2 /jaar) weekend]]/Ruimtestaat[[#This Row],[Norm (m2/uur) weekend]],0)</f>
        <v>0</v>
      </c>
      <c r="AD263" s="109">
        <f>Ruimtestaat[[#This Row],[uren / jaar weekend]]*Tariefsopbouw!$D$40</f>
        <v>0</v>
      </c>
      <c r="AE263" s="108">
        <f>Ruimtestaat[[#This Row],[Prest. (m2 /jaar) weekend]]+Ruimtestaat[[#This Row],[Prest. (m2 /jaar) werkdagen]]</f>
        <v>8140.0000000000009</v>
      </c>
      <c r="AF263" s="108">
        <f>Ruimtestaat[[#This Row],[uren / jaar weekend]]+Ruimtestaat[[#This Row],[uren / jaar werkdagen]]</f>
        <v>0</v>
      </c>
      <c r="AG263" s="103">
        <f>Ruimtestaat[[#This Row],[kosten / jaar weekend]]+Ruimtestaat[[#This Row],[kosten / jaar werkdagen]]</f>
        <v>0</v>
      </c>
      <c r="AH263" s="103"/>
      <c r="AI263" s="110" t="str">
        <f>IF(Ruimtestaat[[#This Row],[Frequentie werkdagen]]="","",_xlfn.CONCAT(Ruimtestaat[[#This Row],[Ruimte code]],"-",Ruimtestaat[[#This Row],[Frequentie werkdagen]]," ",Ruimtestaat[[#This Row],[Vloer code]]))</f>
        <v>16-5w P</v>
      </c>
      <c r="AJ263" s="114" t="str">
        <f>_xlfn.IFNA(VLOOKUP($AI263,Programma!$F$3:$G$1101,2,0),"")</f>
        <v>_</v>
      </c>
      <c r="AK263" s="114" t="str">
        <f>_xlfn.IFNA(VLOOKUP($AI263,Programma!$F$3:$H$1101,3,0),"")</f>
        <v>_</v>
      </c>
      <c r="AL263" s="114" t="str">
        <f>_xlfn.IFNA(VLOOKUP($AI263,Programma!$F$3:$I$1101,4,0),"")</f>
        <v>4w</v>
      </c>
      <c r="AM263" s="114" t="str">
        <f>_xlfn.IFNA(VLOOKUP($AI263,Programma!$F$3:$J$1101,5,0),"")</f>
        <v>1w</v>
      </c>
      <c r="AN263" s="114" t="str">
        <f>_xlfn.IFNA(VLOOKUP($AI263,Programma!$F$3:$K$1101,6,0),"")</f>
        <v>1m</v>
      </c>
      <c r="AO263" s="114" t="str">
        <f>_xlfn.IFNA(VLOOKUP($AI263,Programma!$F$3:$L$1101,7,0),"")</f>
        <v>_</v>
      </c>
      <c r="AP263" s="114" t="str">
        <f>_xlfn.IFNA(VLOOKUP($AI263,Programma!$F$3:$M$1101,8,0),"")</f>
        <v>_</v>
      </c>
      <c r="AQ263" s="114" t="str">
        <f>_xlfn.IFNA(VLOOKUP($AI263,Programma!$F$3:$N$1101,9,0),"")</f>
        <v>_</v>
      </c>
      <c r="AR263" s="114" t="str">
        <f>_xlfn.IFNA(VLOOKUP($AI263,Programma!$F$3:$O$1101,10,0),"")</f>
        <v>5w</v>
      </c>
      <c r="AS263" s="114" t="str">
        <f>_xlfn.IFNA(VLOOKUP($AI263,Programma!$F$3:$P$1101,11,0),"")</f>
        <v>5w</v>
      </c>
      <c r="AT263" s="114" t="str">
        <f>_xlfn.IFNA(VLOOKUP($AI263,Programma!$F$3:$Q$1101,12,0),"")</f>
        <v>1w</v>
      </c>
      <c r="AU263" s="114" t="str">
        <f>_xlfn.IFNA(VLOOKUP($AI263,Programma!$F$3:$R$1101,13,0),"")</f>
        <v>1w</v>
      </c>
      <c r="AV263" s="114" t="str">
        <f>_xlfn.IFNA(VLOOKUP($AI263,Programma!$F$3:$S$1101,14,0),"")</f>
        <v>1m</v>
      </c>
      <c r="AW263" s="114" t="str">
        <f>_xlfn.IFNA(VLOOKUP($AI263,Programma!$F$3:$T$1101,15,0),"")</f>
        <v>2j</v>
      </c>
      <c r="AX263" s="114" t="str">
        <f>_xlfn.IFNA(VLOOKUP($AI263,Programma!$F$3:$U$1101,16,0),"")</f>
        <v>1j</v>
      </c>
      <c r="AY263" s="114" t="str">
        <f>_xlfn.IFNA(VLOOKUP($AI263,Programma!$F$3:$V$1101,17,0),"")</f>
        <v>_</v>
      </c>
      <c r="AZ263" s="114" t="str">
        <f>_xlfn.IFNA(VLOOKUP($AI263,Programma!$F$3:$W$1101,18,0),"")</f>
        <v>_</v>
      </c>
      <c r="BA263" s="114" t="str">
        <f>_xlfn.IFNA(VLOOKUP($AI263,Programma!$F$3:$X$1101,19,0),"")</f>
        <v>_</v>
      </c>
      <c r="BB263" s="114" t="str">
        <f>_xlfn.IFNA(VLOOKUP($AI263,Programma!$F$3:$Y$1101,20,0),"")</f>
        <v>_</v>
      </c>
      <c r="BC263" s="111"/>
      <c r="BD263" s="110" t="str">
        <f>IF(Ruimtestaat[[#This Row],[Frequentie weekend]]="","",_xlfn.CONCAT(Ruimtestaat[[#This Row],[Ruimte code]],"-",Ruimtestaat[[#This Row],[Frequentie weekend]]," ",Ruimtestaat[[#This Row],[Vloer code]]))</f>
        <v/>
      </c>
      <c r="BE263" s="114" t="str">
        <f>_xlfn.IFNA(VLOOKUP($BD263,Programma!$F$3:$G$1101,2,0),"")</f>
        <v/>
      </c>
      <c r="BF263" s="114" t="str">
        <f>_xlfn.IFNA(VLOOKUP($BD263,Programma!$F$3:$H$1101,3,0),"")</f>
        <v/>
      </c>
      <c r="BG263" s="114" t="str">
        <f>_xlfn.IFNA(VLOOKUP($BD263,Programma!$F$3:$I$1101,4,0),"")</f>
        <v/>
      </c>
      <c r="BH263" s="114" t="str">
        <f>_xlfn.IFNA(VLOOKUP($BD263,Programma!$F$3:$J$1101,5,0),"")</f>
        <v/>
      </c>
      <c r="BI263" s="114" t="str">
        <f>_xlfn.IFNA(VLOOKUP($BD263,Programma!$F$3:$K$1101,6,0),"")</f>
        <v/>
      </c>
      <c r="BJ263" s="114" t="str">
        <f>_xlfn.IFNA(VLOOKUP($BD263,Programma!$F$3:$L$1101,7,0),"")</f>
        <v/>
      </c>
      <c r="BK263" s="114" t="str">
        <f>_xlfn.IFNA(VLOOKUP($BD263,Programma!$F$3:$M$1101,8,0),"")</f>
        <v/>
      </c>
      <c r="BL263" s="114" t="str">
        <f>_xlfn.IFNA(VLOOKUP($BD263,Programma!$F$3:$N$1101,9,0),"")</f>
        <v/>
      </c>
      <c r="BM263" s="114" t="str">
        <f>_xlfn.IFNA(VLOOKUP($BD263,Programma!$F$3:$O$1101,10,0),"")</f>
        <v/>
      </c>
      <c r="BN263" s="114" t="str">
        <f>_xlfn.IFNA(VLOOKUP($BD263,Programma!$F$3:$P$1101,11,0),"")</f>
        <v/>
      </c>
      <c r="BO263" s="114" t="str">
        <f>_xlfn.IFNA(VLOOKUP($BD263,Programma!$F$3:$Q$1101,12,0),"")</f>
        <v/>
      </c>
      <c r="BP263" s="114" t="str">
        <f>_xlfn.IFNA(VLOOKUP($BD263,Programma!$F$3:$R$1101,13,0),"")</f>
        <v/>
      </c>
      <c r="BQ263" s="114" t="str">
        <f>_xlfn.IFNA(VLOOKUP($BD263,Programma!$F$3:$S$1101,14,0),"")</f>
        <v/>
      </c>
      <c r="BR263" s="114" t="str">
        <f>_xlfn.IFNA(VLOOKUP($BD263,Programma!$F$3:$T$1101,15,0),"")</f>
        <v/>
      </c>
      <c r="BS263" s="114" t="str">
        <f>_xlfn.IFNA(VLOOKUP($BD263,Programma!$F$3:$U$1101,16,0),"")</f>
        <v/>
      </c>
      <c r="BT263" s="114" t="str">
        <f>_xlfn.IFNA(VLOOKUP($BD263,Programma!$F$3:$V$1101,17,0),"")</f>
        <v/>
      </c>
      <c r="BU263" s="114" t="str">
        <f>_xlfn.IFNA(VLOOKUP($BD263,Programma!$F$3:$W$1101,18,0),"")</f>
        <v/>
      </c>
      <c r="BV263" s="114" t="str">
        <f>_xlfn.IFNA(VLOOKUP($BD263,Programma!$F$3:$X$1101,19,0),"")</f>
        <v/>
      </c>
      <c r="BW263" s="114" t="str">
        <f>_xlfn.IFNA(VLOOKUP($BD263,Programma!$F$3:$Y$1101,20,0),"")</f>
        <v/>
      </c>
      <c r="BX263" s="28"/>
      <c r="BY263" s="28"/>
      <c r="BZ263" s="28"/>
      <c r="CA263" s="28"/>
      <c r="CB263" s="28"/>
      <c r="CC263" s="28"/>
      <c r="CD263" s="28"/>
      <c r="CE263" s="28"/>
      <c r="CF263" s="28"/>
      <c r="CG263" s="28"/>
      <c r="CH263" s="28"/>
      <c r="CI263" s="28"/>
      <c r="CJ263" s="28"/>
      <c r="CK263" s="28"/>
      <c r="CL263" s="28"/>
      <c r="CM263" s="28"/>
      <c r="CN263" s="28"/>
      <c r="CO263" s="28"/>
      <c r="CP263" s="28"/>
      <c r="CQ263" s="28"/>
      <c r="CR263" s="28"/>
      <c r="CS263" s="28"/>
      <c r="CT263" s="28"/>
      <c r="CU263" s="28"/>
      <c r="CV263" s="28"/>
      <c r="CW263" s="28"/>
      <c r="CX263" s="28"/>
      <c r="CY263" s="28"/>
      <c r="CZ263" s="28"/>
      <c r="DA263" s="28"/>
      <c r="DB263" s="28"/>
      <c r="DC263" s="28"/>
      <c r="DD263" s="28"/>
      <c r="DE263" s="28"/>
      <c r="DF263" s="28"/>
      <c r="DG263" s="28"/>
      <c r="DH263" s="28"/>
      <c r="DI263" s="28"/>
      <c r="DJ263" s="28"/>
      <c r="DK263" s="28"/>
      <c r="DL263" s="28"/>
      <c r="DM263" s="28"/>
      <c r="DN263" s="28"/>
      <c r="DO263" s="28"/>
      <c r="DP263" s="28"/>
      <c r="DQ263" s="28"/>
      <c r="DR263" s="28"/>
      <c r="DS263" s="28"/>
      <c r="DT263" s="28"/>
      <c r="DU263" s="28"/>
      <c r="DV263" s="28"/>
      <c r="DW263" s="28"/>
      <c r="DX263" s="28"/>
      <c r="DY263" s="28"/>
      <c r="DZ263" s="28"/>
      <c r="EA263" s="28"/>
      <c r="EB263" s="28"/>
      <c r="EC263" s="28"/>
      <c r="ED263" s="28"/>
      <c r="EE263" s="28"/>
      <c r="EF263" s="28"/>
      <c r="EG263" s="28"/>
      <c r="EH263" s="28"/>
      <c r="EI263" s="28"/>
      <c r="EJ263" s="28"/>
      <c r="EK263" s="28"/>
      <c r="EL263" s="28"/>
      <c r="EM263" s="28"/>
      <c r="EN263" s="28"/>
      <c r="EO263" s="28"/>
      <c r="EP263" s="28"/>
      <c r="EQ263" s="28"/>
      <c r="ER263" s="28"/>
      <c r="ES263" s="28"/>
      <c r="ET263" s="28"/>
      <c r="EU263" s="28"/>
      <c r="EV263" s="28"/>
      <c r="EW263" s="28"/>
      <c r="EX263" s="28"/>
      <c r="EY263" s="28"/>
      <c r="EZ263" s="28"/>
      <c r="FA263" s="28"/>
      <c r="FB263" s="28"/>
      <c r="FC263" s="28"/>
      <c r="FD263" s="28"/>
      <c r="FE263" s="28"/>
      <c r="FF263" s="28"/>
      <c r="FG263" s="28"/>
      <c r="FH263" s="28"/>
      <c r="FI263" s="28"/>
      <c r="FJ263" s="28"/>
      <c r="FK263" s="28"/>
      <c r="FL263" s="28"/>
      <c r="FM263" s="28"/>
      <c r="FN263" s="28"/>
      <c r="FO263" s="28"/>
      <c r="FP263" s="28"/>
      <c r="FQ263" s="28"/>
      <c r="FR263" s="28"/>
      <c r="FS263" s="28"/>
      <c r="FT263" s="28"/>
      <c r="FU263" s="28"/>
      <c r="FV263" s="28"/>
      <c r="FW263" s="28"/>
      <c r="FX263" s="28"/>
      <c r="FY263" s="28"/>
      <c r="FZ263" s="28"/>
      <c r="GA263" s="28"/>
      <c r="GB263" s="28"/>
      <c r="GC263" s="28"/>
      <c r="GD263" s="28"/>
      <c r="GE263" s="28"/>
      <c r="GF263" s="28"/>
      <c r="GG263" s="28"/>
      <c r="GH263" s="28"/>
      <c r="GI263" s="28"/>
      <c r="GJ263" s="28"/>
      <c r="GK263" s="28"/>
      <c r="GL263" s="28"/>
      <c r="GM263" s="28"/>
      <c r="GN263" s="28"/>
      <c r="GO263" s="28"/>
      <c r="GP263" s="28"/>
      <c r="GQ263" s="28"/>
      <c r="GR263" s="28"/>
      <c r="GS263" s="28"/>
      <c r="GT263" s="28"/>
      <c r="GU263" s="28"/>
      <c r="GV263" s="28"/>
      <c r="GW263" s="28"/>
      <c r="GX263" s="28"/>
      <c r="GY263" s="28"/>
      <c r="GZ263" s="28"/>
      <c r="HA263" s="28"/>
      <c r="HB263" s="28"/>
      <c r="HC263" s="28"/>
      <c r="HD263" s="28"/>
      <c r="HE263" s="28"/>
      <c r="HF263" s="28"/>
      <c r="HG263" s="28"/>
      <c r="HH263" s="28"/>
      <c r="HI263" s="28"/>
      <c r="HJ263" s="28"/>
      <c r="HK263" s="28"/>
      <c r="HL263" s="28"/>
    </row>
    <row r="264" spans="1:220" ht="15" customHeight="1">
      <c r="A264" s="31">
        <v>5</v>
      </c>
      <c r="B264" s="105" t="str">
        <f>VLOOKUP(Ruimtestaat[[#This Row],[Code]],Locaties[[Code]:[Locatie]],2,FALSE)</f>
        <v>IKC Remigius</v>
      </c>
      <c r="C264" s="105" t="str">
        <f>VLOOKUP(Ruimtestaat[[#This Row],[Code]],Locaties[[#All],[Code]:[Adres]],4,FALSE)</f>
        <v>Liemersplein 1</v>
      </c>
      <c r="D264" s="105" t="str">
        <f>VLOOKUP(Ruimtestaat[[#This Row],[Code]],Locaties[[#All],[Code]:[Postcode]],5,FALSE)</f>
        <v xml:space="preserve">6921 HN </v>
      </c>
      <c r="E264" s="105" t="str">
        <f>VLOOKUP(Ruimtestaat[[#This Row],[Code]],Locaties[#All],6,FALSE)</f>
        <v>Duiven</v>
      </c>
      <c r="F264" s="113"/>
      <c r="G264" s="31" t="s">
        <v>1826</v>
      </c>
      <c r="H264" s="31" t="s">
        <v>1877</v>
      </c>
      <c r="I264" s="113" t="s">
        <v>1879</v>
      </c>
      <c r="J264" s="31">
        <v>16</v>
      </c>
      <c r="K264" s="113" t="str">
        <f>VLOOKUP(Ruimtestaat[[#This Row],[Ruimte code]],Ruimtegroepen[[#All],[Code]:[Ruimte omschrijving]],2,FALSE)</f>
        <v>Leslokalen</v>
      </c>
      <c r="L264" s="73" t="s">
        <v>102</v>
      </c>
      <c r="M264" s="273" t="s">
        <v>120</v>
      </c>
      <c r="N264" s="106">
        <v>38.700000000000003</v>
      </c>
      <c r="O264" s="112"/>
      <c r="P264" s="73"/>
      <c r="Q264" s="107" t="str">
        <f>VLOOKUP(Ruimtestaat[[#This Row],[Ruimte code]],Ruimtegroepen[],4,FALSE)</f>
        <v>Le</v>
      </c>
      <c r="R264" s="73">
        <v>40</v>
      </c>
      <c r="S264" s="73" t="s">
        <v>2</v>
      </c>
      <c r="T264" s="73">
        <f>IF(R264&gt;0,IF(RIGHT(Ruimtestaat[[#This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4" s="73">
        <f>IF(T264&gt;0,VLOOKUP($J264,Ruimtegroepen[],3,FALSE)*VLOOKUP($L264,Vloersoorten[],3,FALSE)*VLOOKUP($S264,Frequenties[],3,FALSE)*VLOOKUP($A264,Locaties[],3,FALSE),0)</f>
        <v>0</v>
      </c>
      <c r="V264" s="73">
        <f>Ruimtestaat[[#This Row],[Uitvoeringen werkdagen]]*Ruimtestaat[[#This Row],[Oppervlak (netto)]]</f>
        <v>7740.0000000000009</v>
      </c>
      <c r="W264" s="108">
        <f>IF(U264&gt;0,Ruimtestaat[[#This Row],[Prest. (m2 /jaar) werkdagen]]/Ruimtestaat[[#This Row],[Norm (m2/uur) werkdagen]],0)</f>
        <v>0</v>
      </c>
      <c r="X264" s="109">
        <f>Ruimtestaat[[#This Row],[uren / jaar werkdagen]]*Tariefsopbouw!$E$35</f>
        <v>0</v>
      </c>
      <c r="Y264" s="73"/>
      <c r="Z264" s="73">
        <f>IF(Ruimtestaat[[#This Row],[Frequentie weekend]]&gt;0,VALUE(LEFT(Y264,1))*R264,0)</f>
        <v>0</v>
      </c>
      <c r="AA264" s="72">
        <f>IF($Z264&gt;0,VLOOKUP($J264,Ruimtegroepen[],3,FALSE)*VLOOKUP($L264,Vloersoorten[],3,FALSE)*VLOOKUP($Y264,Frequenties[],3,FALSE)*VLOOKUP(Ruimtestaat[[#This Row],[Code]],Locaties[],3,FALSE),0)</f>
        <v>0</v>
      </c>
      <c r="AB264" s="72">
        <f>Ruimtestaat[[#This Row],[Uitvoeringen weekend]]*Ruimtestaat[[#This Row],[Oppervlak (netto)]]</f>
        <v>0</v>
      </c>
      <c r="AC264" s="72">
        <f>IF(AA264&gt;0,Ruimtestaat[[#This Row],[Prest. (m2 /jaar) weekend]]/Ruimtestaat[[#This Row],[Norm (m2/uur) weekend]],0)</f>
        <v>0</v>
      </c>
      <c r="AD264" s="109">
        <f>Ruimtestaat[[#This Row],[uren / jaar weekend]]*Tariefsopbouw!$D$40</f>
        <v>0</v>
      </c>
      <c r="AE264" s="108">
        <f>Ruimtestaat[[#This Row],[Prest. (m2 /jaar) weekend]]+Ruimtestaat[[#This Row],[Prest. (m2 /jaar) werkdagen]]</f>
        <v>7740.0000000000009</v>
      </c>
      <c r="AF264" s="108">
        <f>Ruimtestaat[[#This Row],[uren / jaar weekend]]+Ruimtestaat[[#This Row],[uren / jaar werkdagen]]</f>
        <v>0</v>
      </c>
      <c r="AG264" s="103">
        <f>Ruimtestaat[[#This Row],[kosten / jaar weekend]]+Ruimtestaat[[#This Row],[kosten / jaar werkdagen]]</f>
        <v>0</v>
      </c>
      <c r="AH264" s="103"/>
      <c r="AI264" s="110" t="str">
        <f>IF(Ruimtestaat[[#This Row],[Frequentie werkdagen]]="","",_xlfn.CONCAT(Ruimtestaat[[#This Row],[Ruimte code]],"-",Ruimtestaat[[#This Row],[Frequentie werkdagen]]," ",Ruimtestaat[[#This Row],[Vloer code]]))</f>
        <v>16-5w P</v>
      </c>
      <c r="AJ264" s="114" t="str">
        <f>_xlfn.IFNA(VLOOKUP($AI264,Programma!$F$3:$G$1101,2,0),"")</f>
        <v>_</v>
      </c>
      <c r="AK264" s="114" t="str">
        <f>_xlfn.IFNA(VLOOKUP($AI264,Programma!$F$3:$H$1101,3,0),"")</f>
        <v>_</v>
      </c>
      <c r="AL264" s="114" t="str">
        <f>_xlfn.IFNA(VLOOKUP($AI264,Programma!$F$3:$I$1101,4,0),"")</f>
        <v>4w</v>
      </c>
      <c r="AM264" s="114" t="str">
        <f>_xlfn.IFNA(VLOOKUP($AI264,Programma!$F$3:$J$1101,5,0),"")</f>
        <v>1w</v>
      </c>
      <c r="AN264" s="114" t="str">
        <f>_xlfn.IFNA(VLOOKUP($AI264,Programma!$F$3:$K$1101,6,0),"")</f>
        <v>1m</v>
      </c>
      <c r="AO264" s="114" t="str">
        <f>_xlfn.IFNA(VLOOKUP($AI264,Programma!$F$3:$L$1101,7,0),"")</f>
        <v>_</v>
      </c>
      <c r="AP264" s="114" t="str">
        <f>_xlfn.IFNA(VLOOKUP($AI264,Programma!$F$3:$M$1101,8,0),"")</f>
        <v>_</v>
      </c>
      <c r="AQ264" s="114" t="str">
        <f>_xlfn.IFNA(VLOOKUP($AI264,Programma!$F$3:$N$1101,9,0),"")</f>
        <v>_</v>
      </c>
      <c r="AR264" s="114" t="str">
        <f>_xlfn.IFNA(VLOOKUP($AI264,Programma!$F$3:$O$1101,10,0),"")</f>
        <v>5w</v>
      </c>
      <c r="AS264" s="114" t="str">
        <f>_xlfn.IFNA(VLOOKUP($AI264,Programma!$F$3:$P$1101,11,0),"")</f>
        <v>5w</v>
      </c>
      <c r="AT264" s="114" t="str">
        <f>_xlfn.IFNA(VLOOKUP($AI264,Programma!$F$3:$Q$1101,12,0),"")</f>
        <v>1w</v>
      </c>
      <c r="AU264" s="114" t="str">
        <f>_xlfn.IFNA(VLOOKUP($AI264,Programma!$F$3:$R$1101,13,0),"")</f>
        <v>1w</v>
      </c>
      <c r="AV264" s="114" t="str">
        <f>_xlfn.IFNA(VLOOKUP($AI264,Programma!$F$3:$S$1101,14,0),"")</f>
        <v>1m</v>
      </c>
      <c r="AW264" s="114" t="str">
        <f>_xlfn.IFNA(VLOOKUP($AI264,Programma!$F$3:$T$1101,15,0),"")</f>
        <v>2j</v>
      </c>
      <c r="AX264" s="114" t="str">
        <f>_xlfn.IFNA(VLOOKUP($AI264,Programma!$F$3:$U$1101,16,0),"")</f>
        <v>1j</v>
      </c>
      <c r="AY264" s="114" t="str">
        <f>_xlfn.IFNA(VLOOKUP($AI264,Programma!$F$3:$V$1101,17,0),"")</f>
        <v>_</v>
      </c>
      <c r="AZ264" s="114" t="str">
        <f>_xlfn.IFNA(VLOOKUP($AI264,Programma!$F$3:$W$1101,18,0),"")</f>
        <v>_</v>
      </c>
      <c r="BA264" s="114" t="str">
        <f>_xlfn.IFNA(VLOOKUP($AI264,Programma!$F$3:$X$1101,19,0),"")</f>
        <v>_</v>
      </c>
      <c r="BB264" s="114" t="str">
        <f>_xlfn.IFNA(VLOOKUP($AI264,Programma!$F$3:$Y$1101,20,0),"")</f>
        <v>_</v>
      </c>
      <c r="BC264" s="111"/>
      <c r="BD264" s="110" t="str">
        <f>IF(Ruimtestaat[[#This Row],[Frequentie weekend]]="","",_xlfn.CONCAT(Ruimtestaat[[#This Row],[Ruimte code]],"-",Ruimtestaat[[#This Row],[Frequentie weekend]]," ",Ruimtestaat[[#This Row],[Vloer code]]))</f>
        <v/>
      </c>
      <c r="BE264" s="114" t="str">
        <f>_xlfn.IFNA(VLOOKUP($BD264,Programma!$F$3:$G$1101,2,0),"")</f>
        <v/>
      </c>
      <c r="BF264" s="114" t="str">
        <f>_xlfn.IFNA(VLOOKUP($BD264,Programma!$F$3:$H$1101,3,0),"")</f>
        <v/>
      </c>
      <c r="BG264" s="114" t="str">
        <f>_xlfn.IFNA(VLOOKUP($BD264,Programma!$F$3:$I$1101,4,0),"")</f>
        <v/>
      </c>
      <c r="BH264" s="114" t="str">
        <f>_xlfn.IFNA(VLOOKUP($BD264,Programma!$F$3:$J$1101,5,0),"")</f>
        <v/>
      </c>
      <c r="BI264" s="114" t="str">
        <f>_xlfn.IFNA(VLOOKUP($BD264,Programma!$F$3:$K$1101,6,0),"")</f>
        <v/>
      </c>
      <c r="BJ264" s="114" t="str">
        <f>_xlfn.IFNA(VLOOKUP($BD264,Programma!$F$3:$L$1101,7,0),"")</f>
        <v/>
      </c>
      <c r="BK264" s="114" t="str">
        <f>_xlfn.IFNA(VLOOKUP($BD264,Programma!$F$3:$M$1101,8,0),"")</f>
        <v/>
      </c>
      <c r="BL264" s="114" t="str">
        <f>_xlfn.IFNA(VLOOKUP($BD264,Programma!$F$3:$N$1101,9,0),"")</f>
        <v/>
      </c>
      <c r="BM264" s="114" t="str">
        <f>_xlfn.IFNA(VLOOKUP($BD264,Programma!$F$3:$O$1101,10,0),"")</f>
        <v/>
      </c>
      <c r="BN264" s="114" t="str">
        <f>_xlfn.IFNA(VLOOKUP($BD264,Programma!$F$3:$P$1101,11,0),"")</f>
        <v/>
      </c>
      <c r="BO264" s="114" t="str">
        <f>_xlfn.IFNA(VLOOKUP($BD264,Programma!$F$3:$Q$1101,12,0),"")</f>
        <v/>
      </c>
      <c r="BP264" s="114" t="str">
        <f>_xlfn.IFNA(VLOOKUP($BD264,Programma!$F$3:$R$1101,13,0),"")</f>
        <v/>
      </c>
      <c r="BQ264" s="114" t="str">
        <f>_xlfn.IFNA(VLOOKUP($BD264,Programma!$F$3:$S$1101,14,0),"")</f>
        <v/>
      </c>
      <c r="BR264" s="114" t="str">
        <f>_xlfn.IFNA(VLOOKUP($BD264,Programma!$F$3:$T$1101,15,0),"")</f>
        <v/>
      </c>
      <c r="BS264" s="114" t="str">
        <f>_xlfn.IFNA(VLOOKUP($BD264,Programma!$F$3:$U$1101,16,0),"")</f>
        <v/>
      </c>
      <c r="BT264" s="114" t="str">
        <f>_xlfn.IFNA(VLOOKUP($BD264,Programma!$F$3:$V$1101,17,0),"")</f>
        <v/>
      </c>
      <c r="BU264" s="114" t="str">
        <f>_xlfn.IFNA(VLOOKUP($BD264,Programma!$F$3:$W$1101,18,0),"")</f>
        <v/>
      </c>
      <c r="BV264" s="114" t="str">
        <f>_xlfn.IFNA(VLOOKUP($BD264,Programma!$F$3:$X$1101,19,0),"")</f>
        <v/>
      </c>
      <c r="BW264" s="114" t="str">
        <f>_xlfn.IFNA(VLOOKUP($BD264,Programma!$F$3:$Y$1101,20,0),"")</f>
        <v/>
      </c>
      <c r="BX264" s="28"/>
      <c r="BY264" s="28"/>
      <c r="BZ264" s="28"/>
      <c r="CA264" s="28"/>
      <c r="CB264" s="28"/>
      <c r="CC264" s="28"/>
      <c r="CD264" s="28"/>
      <c r="CE264" s="28"/>
      <c r="CF264" s="28"/>
      <c r="CG264" s="28"/>
      <c r="CH264" s="28"/>
      <c r="CI264" s="28"/>
      <c r="CJ264" s="28"/>
      <c r="CK264" s="28"/>
      <c r="CL264" s="28"/>
      <c r="CM264" s="28"/>
      <c r="CN264" s="28"/>
      <c r="CO264" s="28"/>
      <c r="CP264" s="28"/>
      <c r="CQ264" s="28"/>
      <c r="CR264" s="28"/>
      <c r="CS264" s="28"/>
      <c r="CT264" s="28"/>
      <c r="CU264" s="28"/>
      <c r="CV264" s="28"/>
      <c r="CW264" s="28"/>
      <c r="CX264" s="28"/>
      <c r="CY264" s="28"/>
      <c r="CZ264" s="28"/>
      <c r="DA264" s="28"/>
      <c r="DB264" s="28"/>
      <c r="DC264" s="28"/>
      <c r="DD264" s="28"/>
      <c r="DE264" s="28"/>
      <c r="DF264" s="28"/>
      <c r="DG264" s="28"/>
      <c r="DH264" s="28"/>
      <c r="DI264" s="28"/>
      <c r="DJ264" s="28"/>
      <c r="DK264" s="28"/>
      <c r="DL264" s="28"/>
      <c r="DM264" s="28"/>
      <c r="DN264" s="28"/>
      <c r="DO264" s="28"/>
      <c r="DP264" s="28"/>
      <c r="DQ264" s="28"/>
      <c r="DR264" s="28"/>
      <c r="DS264" s="28"/>
      <c r="DT264" s="28"/>
      <c r="DU264" s="28"/>
      <c r="DV264" s="28"/>
      <c r="DW264" s="28"/>
      <c r="DX264" s="28"/>
      <c r="DY264" s="28"/>
      <c r="DZ264" s="28"/>
      <c r="EA264" s="28"/>
      <c r="EB264" s="28"/>
      <c r="EC264" s="28"/>
      <c r="ED264" s="28"/>
      <c r="EE264" s="28"/>
      <c r="EF264" s="28"/>
      <c r="EG264" s="28"/>
      <c r="EH264" s="28"/>
      <c r="EI264" s="28"/>
      <c r="EJ264" s="28"/>
      <c r="EK264" s="28"/>
      <c r="EL264" s="28"/>
      <c r="EM264" s="28"/>
      <c r="EN264" s="28"/>
      <c r="EO264" s="28"/>
      <c r="EP264" s="28"/>
      <c r="EQ264" s="28"/>
      <c r="ER264" s="28"/>
      <c r="ES264" s="28"/>
      <c r="ET264" s="28"/>
      <c r="EU264" s="28"/>
      <c r="EV264" s="28"/>
      <c r="EW264" s="28"/>
      <c r="EX264" s="28"/>
      <c r="EY264" s="28"/>
      <c r="EZ264" s="28"/>
      <c r="FA264" s="28"/>
      <c r="FB264" s="28"/>
      <c r="FC264" s="28"/>
      <c r="FD264" s="28"/>
      <c r="FE264" s="28"/>
      <c r="FF264" s="28"/>
      <c r="FG264" s="28"/>
      <c r="FH264" s="28"/>
      <c r="FI264" s="28"/>
      <c r="FJ264" s="28"/>
      <c r="FK264" s="28"/>
      <c r="FL264" s="28"/>
      <c r="FM264" s="28"/>
      <c r="FN264" s="28"/>
      <c r="FO264" s="28"/>
      <c r="FP264" s="28"/>
      <c r="FQ264" s="28"/>
      <c r="FR264" s="28"/>
      <c r="FS264" s="28"/>
      <c r="FT264" s="28"/>
      <c r="FU264" s="28"/>
      <c r="FV264" s="28"/>
      <c r="FW264" s="28"/>
      <c r="FX264" s="28"/>
      <c r="FY264" s="28"/>
      <c r="FZ264" s="28"/>
      <c r="GA264" s="28"/>
      <c r="GB264" s="28"/>
      <c r="GC264" s="28"/>
      <c r="GD264" s="28"/>
      <c r="GE264" s="28"/>
      <c r="GF264" s="28"/>
      <c r="GG264" s="28"/>
      <c r="GH264" s="28"/>
      <c r="GI264" s="28"/>
      <c r="GJ264" s="28"/>
      <c r="GK264" s="28"/>
      <c r="GL264" s="28"/>
      <c r="GM264" s="28"/>
      <c r="GN264" s="28"/>
      <c r="GO264" s="28"/>
      <c r="GP264" s="28"/>
      <c r="GQ264" s="28"/>
      <c r="GR264" s="28"/>
      <c r="GS264" s="28"/>
      <c r="GT264" s="28"/>
      <c r="GU264" s="28"/>
      <c r="GV264" s="28"/>
      <c r="GW264" s="28"/>
      <c r="GX264" s="28"/>
      <c r="GY264" s="28"/>
      <c r="GZ264" s="28"/>
      <c r="HA264" s="28"/>
      <c r="HB264" s="28"/>
      <c r="HC264" s="28"/>
      <c r="HD264" s="28"/>
      <c r="HE264" s="28"/>
      <c r="HF264" s="28"/>
      <c r="HG264" s="28"/>
      <c r="HH264" s="28"/>
      <c r="HI264" s="28"/>
      <c r="HJ264" s="28"/>
      <c r="HK264" s="28"/>
      <c r="HL264" s="28"/>
    </row>
    <row r="265" spans="1:220" ht="15" customHeight="1">
      <c r="A265" s="31">
        <v>5</v>
      </c>
      <c r="B265" s="105" t="str">
        <f>VLOOKUP(Ruimtestaat[[#This Row],[Code]],Locaties[[Code]:[Locatie]],2,FALSE)</f>
        <v>IKC Remigius</v>
      </c>
      <c r="C265" s="105" t="str">
        <f>VLOOKUP(Ruimtestaat[[#This Row],[Code]],Locaties[[#All],[Code]:[Adres]],4,FALSE)</f>
        <v>Liemersplein 1</v>
      </c>
      <c r="D265" s="105" t="str">
        <f>VLOOKUP(Ruimtestaat[[#This Row],[Code]],Locaties[[#All],[Code]:[Postcode]],5,FALSE)</f>
        <v xml:space="preserve">6921 HN </v>
      </c>
      <c r="E265" s="105" t="str">
        <f>VLOOKUP(Ruimtestaat[[#This Row],[Code]],Locaties[#All],6,FALSE)</f>
        <v>Duiven</v>
      </c>
      <c r="F265" s="113"/>
      <c r="G265" s="31" t="s">
        <v>1826</v>
      </c>
      <c r="H265" s="31" t="s">
        <v>1878</v>
      </c>
      <c r="I265" s="113" t="s">
        <v>1879</v>
      </c>
      <c r="J265" s="31">
        <v>16</v>
      </c>
      <c r="K265" s="113" t="str">
        <f>VLOOKUP(Ruimtestaat[[#This Row],[Ruimte code]],Ruimtegroepen[[#All],[Code]:[Ruimte omschrijving]],2,FALSE)</f>
        <v>Leslokalen</v>
      </c>
      <c r="L265" s="73" t="s">
        <v>102</v>
      </c>
      <c r="M265" s="273" t="s">
        <v>120</v>
      </c>
      <c r="N265" s="106">
        <v>39.4</v>
      </c>
      <c r="O265" s="112"/>
      <c r="P265" s="112"/>
      <c r="Q265" s="107" t="str">
        <f>VLOOKUP(Ruimtestaat[[#This Row],[Ruimte code]],Ruimtegroepen[],4,FALSE)</f>
        <v>Le</v>
      </c>
      <c r="R265" s="73">
        <v>40</v>
      </c>
      <c r="S265" s="73" t="s">
        <v>2</v>
      </c>
      <c r="T265" s="73">
        <f>IF(R265&gt;0,IF(RIGHT(Ruimtestaat[[#This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5" s="73">
        <f>IF(T265&gt;0,VLOOKUP($J265,Ruimtegroepen[],3,FALSE)*VLOOKUP($L265,Vloersoorten[],3,FALSE)*VLOOKUP($S265,Frequenties[],3,FALSE)*VLOOKUP($A265,Locaties[],3,FALSE),0)</f>
        <v>0</v>
      </c>
      <c r="V265" s="73">
        <f>Ruimtestaat[[#This Row],[Uitvoeringen werkdagen]]*Ruimtestaat[[#This Row],[Oppervlak (netto)]]</f>
        <v>7880</v>
      </c>
      <c r="W265" s="108">
        <f>IF(U265&gt;0,Ruimtestaat[[#This Row],[Prest. (m2 /jaar) werkdagen]]/Ruimtestaat[[#This Row],[Norm (m2/uur) werkdagen]],0)</f>
        <v>0</v>
      </c>
      <c r="X265" s="109">
        <f>Ruimtestaat[[#This Row],[uren / jaar werkdagen]]*Tariefsopbouw!$E$35</f>
        <v>0</v>
      </c>
      <c r="Y265" s="73"/>
      <c r="Z265" s="73">
        <f>IF(Ruimtestaat[[#This Row],[Frequentie weekend]]&gt;0,VALUE(LEFT(Y265,1))*R265,0)</f>
        <v>0</v>
      </c>
      <c r="AA265" s="72">
        <f>IF($Z265&gt;0,VLOOKUP($J265,Ruimtegroepen[],3,FALSE)*VLOOKUP($L265,Vloersoorten[],3,FALSE)*VLOOKUP($Y265,Frequenties[],3,FALSE)*VLOOKUP(Ruimtestaat[[#This Row],[Code]],Locaties[],3,FALSE),0)</f>
        <v>0</v>
      </c>
      <c r="AB265" s="72">
        <f>Ruimtestaat[[#This Row],[Uitvoeringen weekend]]*Ruimtestaat[[#This Row],[Oppervlak (netto)]]</f>
        <v>0</v>
      </c>
      <c r="AC265" s="72">
        <f>IF(AA265&gt;0,Ruimtestaat[[#This Row],[Prest. (m2 /jaar) weekend]]/Ruimtestaat[[#This Row],[Norm (m2/uur) weekend]],0)</f>
        <v>0</v>
      </c>
      <c r="AD265" s="109">
        <f>Ruimtestaat[[#This Row],[uren / jaar weekend]]*Tariefsopbouw!$D$40</f>
        <v>0</v>
      </c>
      <c r="AE265" s="108">
        <f>Ruimtestaat[[#This Row],[Prest. (m2 /jaar) weekend]]+Ruimtestaat[[#This Row],[Prest. (m2 /jaar) werkdagen]]</f>
        <v>7880</v>
      </c>
      <c r="AF265" s="108">
        <f>Ruimtestaat[[#This Row],[uren / jaar weekend]]+Ruimtestaat[[#This Row],[uren / jaar werkdagen]]</f>
        <v>0</v>
      </c>
      <c r="AG265" s="103">
        <f>Ruimtestaat[[#This Row],[kosten / jaar weekend]]+Ruimtestaat[[#This Row],[kosten / jaar werkdagen]]</f>
        <v>0</v>
      </c>
      <c r="AH265" s="103"/>
      <c r="AI265" s="110" t="str">
        <f>IF(Ruimtestaat[[#This Row],[Frequentie werkdagen]]="","",_xlfn.CONCAT(Ruimtestaat[[#This Row],[Ruimte code]],"-",Ruimtestaat[[#This Row],[Frequentie werkdagen]]," ",Ruimtestaat[[#This Row],[Vloer code]]))</f>
        <v>16-5w P</v>
      </c>
      <c r="AJ265" s="114" t="str">
        <f>_xlfn.IFNA(VLOOKUP($AI265,Programma!$F$3:$G$1101,2,0),"")</f>
        <v>_</v>
      </c>
      <c r="AK265" s="114" t="str">
        <f>_xlfn.IFNA(VLOOKUP($AI265,Programma!$F$3:$H$1101,3,0),"")</f>
        <v>_</v>
      </c>
      <c r="AL265" s="114" t="str">
        <f>_xlfn.IFNA(VLOOKUP($AI265,Programma!$F$3:$I$1101,4,0),"")</f>
        <v>4w</v>
      </c>
      <c r="AM265" s="114" t="str">
        <f>_xlfn.IFNA(VLOOKUP($AI265,Programma!$F$3:$J$1101,5,0),"")</f>
        <v>1w</v>
      </c>
      <c r="AN265" s="114" t="str">
        <f>_xlfn.IFNA(VLOOKUP($AI265,Programma!$F$3:$K$1101,6,0),"")</f>
        <v>1m</v>
      </c>
      <c r="AO265" s="114" t="str">
        <f>_xlfn.IFNA(VLOOKUP($AI265,Programma!$F$3:$L$1101,7,0),"")</f>
        <v>_</v>
      </c>
      <c r="AP265" s="114" t="str">
        <f>_xlfn.IFNA(VLOOKUP($AI265,Programma!$F$3:$M$1101,8,0),"")</f>
        <v>_</v>
      </c>
      <c r="AQ265" s="114" t="str">
        <f>_xlfn.IFNA(VLOOKUP($AI265,Programma!$F$3:$N$1101,9,0),"")</f>
        <v>_</v>
      </c>
      <c r="AR265" s="114" t="str">
        <f>_xlfn.IFNA(VLOOKUP($AI265,Programma!$F$3:$O$1101,10,0),"")</f>
        <v>5w</v>
      </c>
      <c r="AS265" s="114" t="str">
        <f>_xlfn.IFNA(VLOOKUP($AI265,Programma!$F$3:$P$1101,11,0),"")</f>
        <v>5w</v>
      </c>
      <c r="AT265" s="114" t="str">
        <f>_xlfn.IFNA(VLOOKUP($AI265,Programma!$F$3:$Q$1101,12,0),"")</f>
        <v>1w</v>
      </c>
      <c r="AU265" s="114" t="str">
        <f>_xlfn.IFNA(VLOOKUP($AI265,Programma!$F$3:$R$1101,13,0),"")</f>
        <v>1w</v>
      </c>
      <c r="AV265" s="114" t="str">
        <f>_xlfn.IFNA(VLOOKUP($AI265,Programma!$F$3:$S$1101,14,0),"")</f>
        <v>1m</v>
      </c>
      <c r="AW265" s="114" t="str">
        <f>_xlfn.IFNA(VLOOKUP($AI265,Programma!$F$3:$T$1101,15,0),"")</f>
        <v>2j</v>
      </c>
      <c r="AX265" s="114" t="str">
        <f>_xlfn.IFNA(VLOOKUP($AI265,Programma!$F$3:$U$1101,16,0),"")</f>
        <v>1j</v>
      </c>
      <c r="AY265" s="114" t="str">
        <f>_xlfn.IFNA(VLOOKUP($AI265,Programma!$F$3:$V$1101,17,0),"")</f>
        <v>_</v>
      </c>
      <c r="AZ265" s="114" t="str">
        <f>_xlfn.IFNA(VLOOKUP($AI265,Programma!$F$3:$W$1101,18,0),"")</f>
        <v>_</v>
      </c>
      <c r="BA265" s="114" t="str">
        <f>_xlfn.IFNA(VLOOKUP($AI265,Programma!$F$3:$X$1101,19,0),"")</f>
        <v>_</v>
      </c>
      <c r="BB265" s="114" t="str">
        <f>_xlfn.IFNA(VLOOKUP($AI265,Programma!$F$3:$Y$1101,20,0),"")</f>
        <v>_</v>
      </c>
      <c r="BC265" s="111"/>
      <c r="BD265" s="110" t="str">
        <f>IF(Ruimtestaat[[#This Row],[Frequentie weekend]]="","",_xlfn.CONCAT(Ruimtestaat[[#This Row],[Ruimte code]],"-",Ruimtestaat[[#This Row],[Frequentie weekend]]," ",Ruimtestaat[[#This Row],[Vloer code]]))</f>
        <v/>
      </c>
      <c r="BE265" s="114" t="str">
        <f>_xlfn.IFNA(VLOOKUP($BD265,Programma!$F$3:$G$1101,2,0),"")</f>
        <v/>
      </c>
      <c r="BF265" s="114" t="str">
        <f>_xlfn.IFNA(VLOOKUP($BD265,Programma!$F$3:$H$1101,3,0),"")</f>
        <v/>
      </c>
      <c r="BG265" s="114" t="str">
        <f>_xlfn.IFNA(VLOOKUP($BD265,Programma!$F$3:$I$1101,4,0),"")</f>
        <v/>
      </c>
      <c r="BH265" s="114" t="str">
        <f>_xlfn.IFNA(VLOOKUP($BD265,Programma!$F$3:$J$1101,5,0),"")</f>
        <v/>
      </c>
      <c r="BI265" s="114" t="str">
        <f>_xlfn.IFNA(VLOOKUP($BD265,Programma!$F$3:$K$1101,6,0),"")</f>
        <v/>
      </c>
      <c r="BJ265" s="114" t="str">
        <f>_xlfn.IFNA(VLOOKUP($BD265,Programma!$F$3:$L$1101,7,0),"")</f>
        <v/>
      </c>
      <c r="BK265" s="114" t="str">
        <f>_xlfn.IFNA(VLOOKUP($BD265,Programma!$F$3:$M$1101,8,0),"")</f>
        <v/>
      </c>
      <c r="BL265" s="114" t="str">
        <f>_xlfn.IFNA(VLOOKUP($BD265,Programma!$F$3:$N$1101,9,0),"")</f>
        <v/>
      </c>
      <c r="BM265" s="114" t="str">
        <f>_xlfn.IFNA(VLOOKUP($BD265,Programma!$F$3:$O$1101,10,0),"")</f>
        <v/>
      </c>
      <c r="BN265" s="114" t="str">
        <f>_xlfn.IFNA(VLOOKUP($BD265,Programma!$F$3:$P$1101,11,0),"")</f>
        <v/>
      </c>
      <c r="BO265" s="114" t="str">
        <f>_xlfn.IFNA(VLOOKUP($BD265,Programma!$F$3:$Q$1101,12,0),"")</f>
        <v/>
      </c>
      <c r="BP265" s="114" t="str">
        <f>_xlfn.IFNA(VLOOKUP($BD265,Programma!$F$3:$R$1101,13,0),"")</f>
        <v/>
      </c>
      <c r="BQ265" s="114" t="str">
        <f>_xlfn.IFNA(VLOOKUP($BD265,Programma!$F$3:$S$1101,14,0),"")</f>
        <v/>
      </c>
      <c r="BR265" s="114" t="str">
        <f>_xlfn.IFNA(VLOOKUP($BD265,Programma!$F$3:$T$1101,15,0),"")</f>
        <v/>
      </c>
      <c r="BS265" s="114" t="str">
        <f>_xlfn.IFNA(VLOOKUP($BD265,Programma!$F$3:$U$1101,16,0),"")</f>
        <v/>
      </c>
      <c r="BT265" s="114" t="str">
        <f>_xlfn.IFNA(VLOOKUP($BD265,Programma!$F$3:$V$1101,17,0),"")</f>
        <v/>
      </c>
      <c r="BU265" s="114" t="str">
        <f>_xlfn.IFNA(VLOOKUP($BD265,Programma!$F$3:$W$1101,18,0),"")</f>
        <v/>
      </c>
      <c r="BV265" s="114" t="str">
        <f>_xlfn.IFNA(VLOOKUP($BD265,Programma!$F$3:$X$1101,19,0),"")</f>
        <v/>
      </c>
      <c r="BW265" s="114" t="str">
        <f>_xlfn.IFNA(VLOOKUP($BD265,Programma!$F$3:$Y$1101,20,0),"")</f>
        <v/>
      </c>
      <c r="BX265" s="28"/>
      <c r="BY265" s="28"/>
      <c r="BZ265" s="28"/>
      <c r="CA265" s="28"/>
      <c r="CB265" s="28"/>
      <c r="CC265" s="28"/>
      <c r="CD265" s="28"/>
      <c r="CE265" s="28"/>
      <c r="CF265" s="28"/>
      <c r="CG265" s="28"/>
      <c r="CH265" s="28"/>
      <c r="CI265" s="28"/>
      <c r="CJ265" s="28"/>
      <c r="CK265" s="28"/>
      <c r="CL265" s="28"/>
      <c r="CM265" s="28"/>
      <c r="CN265" s="28"/>
      <c r="CO265" s="28"/>
      <c r="CP265" s="28"/>
      <c r="CQ265" s="28"/>
      <c r="CR265" s="28"/>
      <c r="CS265" s="28"/>
      <c r="CT265" s="28"/>
      <c r="CU265" s="28"/>
      <c r="CV265" s="28"/>
      <c r="CW265" s="28"/>
      <c r="CX265" s="28"/>
      <c r="CY265" s="28"/>
      <c r="CZ265" s="28"/>
      <c r="DA265" s="28"/>
      <c r="DB265" s="28"/>
      <c r="DC265" s="28"/>
      <c r="DD265" s="28"/>
      <c r="DE265" s="28"/>
      <c r="DF265" s="28"/>
      <c r="DG265" s="28"/>
      <c r="DH265" s="28"/>
      <c r="DI265" s="28"/>
      <c r="DJ265" s="28"/>
      <c r="DK265" s="28"/>
      <c r="DL265" s="28"/>
      <c r="DM265" s="28"/>
      <c r="DN265" s="28"/>
      <c r="DO265" s="28"/>
      <c r="DP265" s="28"/>
      <c r="DQ265" s="28"/>
      <c r="DR265" s="28"/>
      <c r="DS265" s="28"/>
      <c r="DT265" s="28"/>
      <c r="DU265" s="28"/>
      <c r="DV265" s="28"/>
      <c r="DW265" s="28"/>
      <c r="DX265" s="28"/>
      <c r="DY265" s="28"/>
      <c r="DZ265" s="28"/>
      <c r="EA265" s="28"/>
      <c r="EB265" s="28"/>
      <c r="EC265" s="28"/>
      <c r="ED265" s="28"/>
      <c r="EE265" s="28"/>
      <c r="EF265" s="28"/>
      <c r="EG265" s="28"/>
      <c r="EH265" s="28"/>
      <c r="EI265" s="28"/>
      <c r="EJ265" s="28"/>
      <c r="EK265" s="28"/>
      <c r="EL265" s="28"/>
      <c r="EM265" s="28"/>
      <c r="EN265" s="28"/>
      <c r="EO265" s="28"/>
      <c r="EP265" s="28"/>
      <c r="EQ265" s="28"/>
      <c r="ER265" s="28"/>
      <c r="ES265" s="28"/>
      <c r="ET265" s="28"/>
      <c r="EU265" s="28"/>
      <c r="EV265" s="28"/>
      <c r="EW265" s="28"/>
      <c r="EX265" s="28"/>
      <c r="EY265" s="28"/>
      <c r="EZ265" s="28"/>
      <c r="FA265" s="28"/>
      <c r="FB265" s="28"/>
      <c r="FC265" s="28"/>
      <c r="FD265" s="28"/>
      <c r="FE265" s="28"/>
      <c r="FF265" s="28"/>
      <c r="FG265" s="28"/>
      <c r="FH265" s="28"/>
      <c r="FI265" s="28"/>
      <c r="FJ265" s="28"/>
      <c r="FK265" s="28"/>
      <c r="FL265" s="28"/>
      <c r="FM265" s="28"/>
      <c r="FN265" s="28"/>
      <c r="FO265" s="28"/>
      <c r="FP265" s="28"/>
      <c r="FQ265" s="28"/>
      <c r="FR265" s="28"/>
      <c r="FS265" s="28"/>
      <c r="FT265" s="28"/>
      <c r="FU265" s="28"/>
      <c r="FV265" s="28"/>
      <c r="FW265" s="28"/>
      <c r="FX265" s="28"/>
      <c r="FY265" s="28"/>
      <c r="FZ265" s="28"/>
      <c r="GA265" s="28"/>
      <c r="GB265" s="28"/>
      <c r="GC265" s="28"/>
      <c r="GD265" s="28"/>
      <c r="GE265" s="28"/>
      <c r="GF265" s="28"/>
      <c r="GG265" s="28"/>
      <c r="GH265" s="28"/>
      <c r="GI265" s="28"/>
      <c r="GJ265" s="28"/>
      <c r="GK265" s="28"/>
      <c r="GL265" s="28"/>
      <c r="GM265" s="28"/>
      <c r="GN265" s="28"/>
      <c r="GO265" s="28"/>
      <c r="GP265" s="28"/>
      <c r="GQ265" s="28"/>
      <c r="GR265" s="28"/>
      <c r="GS265" s="28"/>
      <c r="GT265" s="28"/>
      <c r="GU265" s="28"/>
      <c r="GV265" s="28"/>
      <c r="GW265" s="28"/>
      <c r="GX265" s="28"/>
      <c r="GY265" s="28"/>
      <c r="GZ265" s="28"/>
      <c r="HA265" s="28"/>
      <c r="HB265" s="28"/>
      <c r="HC265" s="28"/>
      <c r="HD265" s="28"/>
      <c r="HE265" s="28"/>
      <c r="HF265" s="28"/>
      <c r="HG265" s="28"/>
      <c r="HH265" s="28"/>
      <c r="HI265" s="28"/>
      <c r="HJ265" s="28"/>
      <c r="HK265" s="28"/>
      <c r="HL265" s="28"/>
    </row>
    <row r="266" spans="1:220" ht="15" customHeight="1">
      <c r="A266" s="31">
        <v>5</v>
      </c>
      <c r="B266" s="105" t="str">
        <f>VLOOKUP(Ruimtestaat[[#This Row],[Code]],Locaties[[Code]:[Locatie]],2,FALSE)</f>
        <v>IKC Remigius</v>
      </c>
      <c r="C266" s="105" t="str">
        <f>VLOOKUP(Ruimtestaat[[#This Row],[Code]],Locaties[[#All],[Code]:[Adres]],4,FALSE)</f>
        <v>Liemersplein 1</v>
      </c>
      <c r="D266" s="105" t="str">
        <f>VLOOKUP(Ruimtestaat[[#This Row],[Code]],Locaties[[#All],[Code]:[Postcode]],5,FALSE)</f>
        <v xml:space="preserve">6921 HN </v>
      </c>
      <c r="E266" s="105" t="str">
        <f>VLOOKUP(Ruimtestaat[[#This Row],[Code]],Locaties[#All],6,FALSE)</f>
        <v>Duiven</v>
      </c>
      <c r="F266" s="113"/>
      <c r="G266" s="31" t="s">
        <v>1826</v>
      </c>
      <c r="H266" s="31" t="s">
        <v>1880</v>
      </c>
      <c r="I266" s="113" t="s">
        <v>1879</v>
      </c>
      <c r="J266" s="31">
        <v>16</v>
      </c>
      <c r="K266" s="113" t="str">
        <f>VLOOKUP(Ruimtestaat[[#This Row],[Ruimte code]],Ruimtegroepen[[#All],[Code]:[Ruimte omschrijving]],2,FALSE)</f>
        <v>Leslokalen</v>
      </c>
      <c r="L266" s="73" t="s">
        <v>102</v>
      </c>
      <c r="M266" s="273" t="s">
        <v>120</v>
      </c>
      <c r="N266" s="106">
        <v>39.799999999999997</v>
      </c>
      <c r="O266" s="112"/>
      <c r="P266" s="112"/>
      <c r="Q266" s="107" t="str">
        <f>VLOOKUP(Ruimtestaat[[#This Row],[Ruimte code]],Ruimtegroepen[],4,FALSE)</f>
        <v>Le</v>
      </c>
      <c r="R266" s="73">
        <v>40</v>
      </c>
      <c r="S266" s="73" t="s">
        <v>2</v>
      </c>
      <c r="T266" s="73">
        <f>IF(R266&gt;0,IF(RIGHT(Ruimtestaat[[#This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6" s="73">
        <f>IF(T266&gt;0,VLOOKUP($J266,Ruimtegroepen[],3,FALSE)*VLOOKUP($L266,Vloersoorten[],3,FALSE)*VLOOKUP($S266,Frequenties[],3,FALSE)*VLOOKUP($A266,Locaties[],3,FALSE),0)</f>
        <v>0</v>
      </c>
      <c r="V266" s="73">
        <f>Ruimtestaat[[#This Row],[Uitvoeringen werkdagen]]*Ruimtestaat[[#This Row],[Oppervlak (netto)]]</f>
        <v>7959.9999999999991</v>
      </c>
      <c r="W266" s="108">
        <f>IF(U266&gt;0,Ruimtestaat[[#This Row],[Prest. (m2 /jaar) werkdagen]]/Ruimtestaat[[#This Row],[Norm (m2/uur) werkdagen]],0)</f>
        <v>0</v>
      </c>
      <c r="X266" s="109">
        <f>Ruimtestaat[[#This Row],[uren / jaar werkdagen]]*Tariefsopbouw!$E$35</f>
        <v>0</v>
      </c>
      <c r="Y266" s="73"/>
      <c r="Z266" s="73">
        <f>IF(Ruimtestaat[[#This Row],[Frequentie weekend]]&gt;0,VALUE(LEFT(Y266,1))*R266,0)</f>
        <v>0</v>
      </c>
      <c r="AA266" s="72">
        <f>IF($Z266&gt;0,VLOOKUP($J266,Ruimtegroepen[],3,FALSE)*VLOOKUP($L266,Vloersoorten[],3,FALSE)*VLOOKUP($Y266,Frequenties[],3,FALSE)*VLOOKUP(Ruimtestaat[[#This Row],[Code]],Locaties[],3,FALSE),0)</f>
        <v>0</v>
      </c>
      <c r="AB266" s="72">
        <f>Ruimtestaat[[#This Row],[Uitvoeringen weekend]]*Ruimtestaat[[#This Row],[Oppervlak (netto)]]</f>
        <v>0</v>
      </c>
      <c r="AC266" s="72">
        <f>IF(AA266&gt;0,Ruimtestaat[[#This Row],[Prest. (m2 /jaar) weekend]]/Ruimtestaat[[#This Row],[Norm (m2/uur) weekend]],0)</f>
        <v>0</v>
      </c>
      <c r="AD266" s="109">
        <f>Ruimtestaat[[#This Row],[uren / jaar weekend]]*Tariefsopbouw!$D$40</f>
        <v>0</v>
      </c>
      <c r="AE266" s="108">
        <f>Ruimtestaat[[#This Row],[Prest. (m2 /jaar) weekend]]+Ruimtestaat[[#This Row],[Prest. (m2 /jaar) werkdagen]]</f>
        <v>7959.9999999999991</v>
      </c>
      <c r="AF266" s="108">
        <f>Ruimtestaat[[#This Row],[uren / jaar weekend]]+Ruimtestaat[[#This Row],[uren / jaar werkdagen]]</f>
        <v>0</v>
      </c>
      <c r="AG266" s="103">
        <f>Ruimtestaat[[#This Row],[kosten / jaar weekend]]+Ruimtestaat[[#This Row],[kosten / jaar werkdagen]]</f>
        <v>0</v>
      </c>
      <c r="AH266" s="103"/>
      <c r="AI266" s="110" t="str">
        <f>IF(Ruimtestaat[[#This Row],[Frequentie werkdagen]]="","",_xlfn.CONCAT(Ruimtestaat[[#This Row],[Ruimte code]],"-",Ruimtestaat[[#This Row],[Frequentie werkdagen]]," ",Ruimtestaat[[#This Row],[Vloer code]]))</f>
        <v>16-5w P</v>
      </c>
      <c r="AJ266" s="114" t="str">
        <f>_xlfn.IFNA(VLOOKUP($AI266,Programma!$F$3:$G$1101,2,0),"")</f>
        <v>_</v>
      </c>
      <c r="AK266" s="114" t="str">
        <f>_xlfn.IFNA(VLOOKUP($AI266,Programma!$F$3:$H$1101,3,0),"")</f>
        <v>_</v>
      </c>
      <c r="AL266" s="114" t="str">
        <f>_xlfn.IFNA(VLOOKUP($AI266,Programma!$F$3:$I$1101,4,0),"")</f>
        <v>4w</v>
      </c>
      <c r="AM266" s="114" t="str">
        <f>_xlfn.IFNA(VLOOKUP($AI266,Programma!$F$3:$J$1101,5,0),"")</f>
        <v>1w</v>
      </c>
      <c r="AN266" s="114" t="str">
        <f>_xlfn.IFNA(VLOOKUP($AI266,Programma!$F$3:$K$1101,6,0),"")</f>
        <v>1m</v>
      </c>
      <c r="AO266" s="114" t="str">
        <f>_xlfn.IFNA(VLOOKUP($AI266,Programma!$F$3:$L$1101,7,0),"")</f>
        <v>_</v>
      </c>
      <c r="AP266" s="114" t="str">
        <f>_xlfn.IFNA(VLOOKUP($AI266,Programma!$F$3:$M$1101,8,0),"")</f>
        <v>_</v>
      </c>
      <c r="AQ266" s="114" t="str">
        <f>_xlfn.IFNA(VLOOKUP($AI266,Programma!$F$3:$N$1101,9,0),"")</f>
        <v>_</v>
      </c>
      <c r="AR266" s="114" t="str">
        <f>_xlfn.IFNA(VLOOKUP($AI266,Programma!$F$3:$O$1101,10,0),"")</f>
        <v>5w</v>
      </c>
      <c r="AS266" s="114" t="str">
        <f>_xlfn.IFNA(VLOOKUP($AI266,Programma!$F$3:$P$1101,11,0),"")</f>
        <v>5w</v>
      </c>
      <c r="AT266" s="114" t="str">
        <f>_xlfn.IFNA(VLOOKUP($AI266,Programma!$F$3:$Q$1101,12,0),"")</f>
        <v>1w</v>
      </c>
      <c r="AU266" s="114" t="str">
        <f>_xlfn.IFNA(VLOOKUP($AI266,Programma!$F$3:$R$1101,13,0),"")</f>
        <v>1w</v>
      </c>
      <c r="AV266" s="114" t="str">
        <f>_xlfn.IFNA(VLOOKUP($AI266,Programma!$F$3:$S$1101,14,0),"")</f>
        <v>1m</v>
      </c>
      <c r="AW266" s="114" t="str">
        <f>_xlfn.IFNA(VLOOKUP($AI266,Programma!$F$3:$T$1101,15,0),"")</f>
        <v>2j</v>
      </c>
      <c r="AX266" s="114" t="str">
        <f>_xlfn.IFNA(VLOOKUP($AI266,Programma!$F$3:$U$1101,16,0),"")</f>
        <v>1j</v>
      </c>
      <c r="AY266" s="114" t="str">
        <f>_xlfn.IFNA(VLOOKUP($AI266,Programma!$F$3:$V$1101,17,0),"")</f>
        <v>_</v>
      </c>
      <c r="AZ266" s="114" t="str">
        <f>_xlfn.IFNA(VLOOKUP($AI266,Programma!$F$3:$W$1101,18,0),"")</f>
        <v>_</v>
      </c>
      <c r="BA266" s="114" t="str">
        <f>_xlfn.IFNA(VLOOKUP($AI266,Programma!$F$3:$X$1101,19,0),"")</f>
        <v>_</v>
      </c>
      <c r="BB266" s="114" t="str">
        <f>_xlfn.IFNA(VLOOKUP($AI266,Programma!$F$3:$Y$1101,20,0),"")</f>
        <v>_</v>
      </c>
      <c r="BC266" s="111"/>
      <c r="BD266" s="110" t="str">
        <f>IF(Ruimtestaat[[#This Row],[Frequentie weekend]]="","",_xlfn.CONCAT(Ruimtestaat[[#This Row],[Ruimte code]],"-",Ruimtestaat[[#This Row],[Frequentie weekend]]," ",Ruimtestaat[[#This Row],[Vloer code]]))</f>
        <v/>
      </c>
      <c r="BE266" s="114" t="str">
        <f>_xlfn.IFNA(VLOOKUP($BD266,Programma!$F$3:$G$1101,2,0),"")</f>
        <v/>
      </c>
      <c r="BF266" s="114" t="str">
        <f>_xlfn.IFNA(VLOOKUP($BD266,Programma!$F$3:$H$1101,3,0),"")</f>
        <v/>
      </c>
      <c r="BG266" s="114" t="str">
        <f>_xlfn.IFNA(VLOOKUP($BD266,Programma!$F$3:$I$1101,4,0),"")</f>
        <v/>
      </c>
      <c r="BH266" s="114" t="str">
        <f>_xlfn.IFNA(VLOOKUP($BD266,Programma!$F$3:$J$1101,5,0),"")</f>
        <v/>
      </c>
      <c r="BI266" s="114" t="str">
        <f>_xlfn.IFNA(VLOOKUP($BD266,Programma!$F$3:$K$1101,6,0),"")</f>
        <v/>
      </c>
      <c r="BJ266" s="114" t="str">
        <f>_xlfn.IFNA(VLOOKUP($BD266,Programma!$F$3:$L$1101,7,0),"")</f>
        <v/>
      </c>
      <c r="BK266" s="114" t="str">
        <f>_xlfn.IFNA(VLOOKUP($BD266,Programma!$F$3:$M$1101,8,0),"")</f>
        <v/>
      </c>
      <c r="BL266" s="114" t="str">
        <f>_xlfn.IFNA(VLOOKUP($BD266,Programma!$F$3:$N$1101,9,0),"")</f>
        <v/>
      </c>
      <c r="BM266" s="114" t="str">
        <f>_xlfn.IFNA(VLOOKUP($BD266,Programma!$F$3:$O$1101,10,0),"")</f>
        <v/>
      </c>
      <c r="BN266" s="114" t="str">
        <f>_xlfn.IFNA(VLOOKUP($BD266,Programma!$F$3:$P$1101,11,0),"")</f>
        <v/>
      </c>
      <c r="BO266" s="114" t="str">
        <f>_xlfn.IFNA(VLOOKUP($BD266,Programma!$F$3:$Q$1101,12,0),"")</f>
        <v/>
      </c>
      <c r="BP266" s="114" t="str">
        <f>_xlfn.IFNA(VLOOKUP($BD266,Programma!$F$3:$R$1101,13,0),"")</f>
        <v/>
      </c>
      <c r="BQ266" s="114" t="str">
        <f>_xlfn.IFNA(VLOOKUP($BD266,Programma!$F$3:$S$1101,14,0),"")</f>
        <v/>
      </c>
      <c r="BR266" s="114" t="str">
        <f>_xlfn.IFNA(VLOOKUP($BD266,Programma!$F$3:$T$1101,15,0),"")</f>
        <v/>
      </c>
      <c r="BS266" s="114" t="str">
        <f>_xlfn.IFNA(VLOOKUP($BD266,Programma!$F$3:$U$1101,16,0),"")</f>
        <v/>
      </c>
      <c r="BT266" s="114" t="str">
        <f>_xlfn.IFNA(VLOOKUP($BD266,Programma!$F$3:$V$1101,17,0),"")</f>
        <v/>
      </c>
      <c r="BU266" s="114" t="str">
        <f>_xlfn.IFNA(VLOOKUP($BD266,Programma!$F$3:$W$1101,18,0),"")</f>
        <v/>
      </c>
      <c r="BV266" s="114" t="str">
        <f>_xlfn.IFNA(VLOOKUP($BD266,Programma!$F$3:$X$1101,19,0),"")</f>
        <v/>
      </c>
      <c r="BW266" s="114" t="str">
        <f>_xlfn.IFNA(VLOOKUP($BD266,Programma!$F$3:$Y$1101,20,0),"")</f>
        <v/>
      </c>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8"/>
      <c r="FI266" s="28"/>
      <c r="FJ266" s="28"/>
      <c r="FK266" s="28"/>
      <c r="FL266" s="28"/>
      <c r="FM266" s="28"/>
      <c r="FN266" s="28"/>
      <c r="FO266" s="28"/>
      <c r="FP266" s="28"/>
      <c r="FQ266" s="28"/>
      <c r="FR266" s="28"/>
      <c r="FS266" s="28"/>
      <c r="FT266" s="28"/>
      <c r="FU266" s="28"/>
      <c r="FV266" s="28"/>
      <c r="FW266" s="28"/>
      <c r="FX266" s="28"/>
      <c r="FY266" s="28"/>
      <c r="FZ266" s="28"/>
      <c r="GA266" s="28"/>
      <c r="GB266" s="28"/>
      <c r="GC266" s="28"/>
      <c r="GD266" s="28"/>
      <c r="GE266" s="28"/>
      <c r="GF266" s="28"/>
      <c r="GG266" s="28"/>
      <c r="GH266" s="28"/>
      <c r="GI266" s="28"/>
      <c r="GJ266" s="28"/>
      <c r="GK266" s="28"/>
      <c r="GL266" s="28"/>
      <c r="GM266" s="28"/>
      <c r="GN266" s="28"/>
      <c r="GO266" s="28"/>
      <c r="GP266" s="28"/>
      <c r="GQ266" s="28"/>
      <c r="GR266" s="28"/>
      <c r="GS266" s="28"/>
      <c r="GT266" s="28"/>
      <c r="GU266" s="28"/>
      <c r="GV266" s="28"/>
      <c r="GW266" s="28"/>
      <c r="GX266" s="28"/>
      <c r="GY266" s="28"/>
      <c r="GZ266" s="28"/>
      <c r="HA266" s="28"/>
      <c r="HB266" s="28"/>
      <c r="HC266" s="28"/>
      <c r="HD266" s="28"/>
      <c r="HE266" s="28"/>
      <c r="HF266" s="28"/>
      <c r="HG266" s="28"/>
      <c r="HH266" s="28"/>
      <c r="HI266" s="28"/>
      <c r="HJ266" s="28"/>
      <c r="HK266" s="28"/>
      <c r="HL266" s="28"/>
    </row>
    <row r="267" spans="1:220" ht="15" customHeight="1">
      <c r="A267" s="31">
        <v>5</v>
      </c>
      <c r="B267" s="105" t="str">
        <f>VLOOKUP(Ruimtestaat[[#This Row],[Code]],Locaties[[Code]:[Locatie]],2,FALSE)</f>
        <v>IKC Remigius</v>
      </c>
      <c r="C267" s="105" t="str">
        <f>VLOOKUP(Ruimtestaat[[#This Row],[Code]],Locaties[[#All],[Code]:[Adres]],4,FALSE)</f>
        <v>Liemersplein 1</v>
      </c>
      <c r="D267" s="105" t="str">
        <f>VLOOKUP(Ruimtestaat[[#This Row],[Code]],Locaties[[#All],[Code]:[Postcode]],5,FALSE)</f>
        <v xml:space="preserve">6921 HN </v>
      </c>
      <c r="E267" s="105" t="str">
        <f>VLOOKUP(Ruimtestaat[[#This Row],[Code]],Locaties[#All],6,FALSE)</f>
        <v>Duiven</v>
      </c>
      <c r="F267" s="113"/>
      <c r="G267" s="31" t="s">
        <v>1826</v>
      </c>
      <c r="H267" s="31" t="s">
        <v>1881</v>
      </c>
      <c r="I267" s="113" t="s">
        <v>1813</v>
      </c>
      <c r="J267" s="31">
        <v>1</v>
      </c>
      <c r="K267" s="113" t="str">
        <f>VLOOKUP(Ruimtestaat[[#This Row],[Ruimte code]],Ruimtegroepen[[#All],[Code]:[Ruimte omschrijving]],2,FALSE)</f>
        <v>Magazijnen/bergingen</v>
      </c>
      <c r="L267" s="73" t="s">
        <v>102</v>
      </c>
      <c r="M267" s="273" t="s">
        <v>120</v>
      </c>
      <c r="N267" s="106">
        <v>1.1000000000000001</v>
      </c>
      <c r="O267" s="112"/>
      <c r="P267" s="73"/>
      <c r="Q267" s="107" t="str">
        <f>VLOOKUP(Ruimtestaat[[#This Row],[Ruimte code]],Ruimtegroepen[],4,FALSE)</f>
        <v>Ve</v>
      </c>
      <c r="R267" s="73">
        <v>40</v>
      </c>
      <c r="S267" s="73" t="s">
        <v>16</v>
      </c>
      <c r="T267" s="73">
        <f>IF(R267&gt;0,IF(RIGHT(Ruimtestaat[[#This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67" s="73">
        <f>IF(T267&gt;0,VLOOKUP($J267,Ruimtegroepen[],3,FALSE)*VLOOKUP($L267,Vloersoorten[],3,FALSE)*VLOOKUP($S267,Frequenties[],3,FALSE)*VLOOKUP($A267,Locaties[],3,FALSE),0)</f>
        <v>0</v>
      </c>
      <c r="V267" s="73">
        <f>Ruimtestaat[[#This Row],[Uitvoeringen werkdagen]]*Ruimtestaat[[#This Row],[Oppervlak (netto)]]</f>
        <v>13.200000000000001</v>
      </c>
      <c r="W267" s="108">
        <f>IF(U267&gt;0,Ruimtestaat[[#This Row],[Prest. (m2 /jaar) werkdagen]]/Ruimtestaat[[#This Row],[Norm (m2/uur) werkdagen]],0)</f>
        <v>0</v>
      </c>
      <c r="X267" s="109">
        <f>Ruimtestaat[[#This Row],[uren / jaar werkdagen]]*Tariefsopbouw!$E$35</f>
        <v>0</v>
      </c>
      <c r="Y267" s="73"/>
      <c r="Z267" s="73">
        <f>IF(Ruimtestaat[[#This Row],[Frequentie weekend]]&gt;0,VALUE(LEFT(Y267,1))*R267,0)</f>
        <v>0</v>
      </c>
      <c r="AA267" s="72">
        <f>IF($Z267&gt;0,VLOOKUP($J267,Ruimtegroepen[],3,FALSE)*VLOOKUP($L267,Vloersoorten[],3,FALSE)*VLOOKUP($Y267,Frequenties[],3,FALSE)*VLOOKUP(Ruimtestaat[[#This Row],[Code]],Locaties[],3,FALSE),0)</f>
        <v>0</v>
      </c>
      <c r="AB267" s="72">
        <f>Ruimtestaat[[#This Row],[Uitvoeringen weekend]]*Ruimtestaat[[#This Row],[Oppervlak (netto)]]</f>
        <v>0</v>
      </c>
      <c r="AC267" s="72">
        <f>IF(AA267&gt;0,Ruimtestaat[[#This Row],[Prest. (m2 /jaar) weekend]]/Ruimtestaat[[#This Row],[Norm (m2/uur) weekend]],0)</f>
        <v>0</v>
      </c>
      <c r="AD267" s="109">
        <f>Ruimtestaat[[#This Row],[uren / jaar weekend]]*Tariefsopbouw!$D$40</f>
        <v>0</v>
      </c>
      <c r="AE267" s="108">
        <f>Ruimtestaat[[#This Row],[Prest. (m2 /jaar) weekend]]+Ruimtestaat[[#This Row],[Prest. (m2 /jaar) werkdagen]]</f>
        <v>13.200000000000001</v>
      </c>
      <c r="AF267" s="108">
        <f>Ruimtestaat[[#This Row],[uren / jaar weekend]]+Ruimtestaat[[#This Row],[uren / jaar werkdagen]]</f>
        <v>0</v>
      </c>
      <c r="AG267" s="103">
        <f>Ruimtestaat[[#This Row],[kosten / jaar weekend]]+Ruimtestaat[[#This Row],[kosten / jaar werkdagen]]</f>
        <v>0</v>
      </c>
      <c r="AH267" s="103"/>
      <c r="AI267" s="110" t="str">
        <f>IF(Ruimtestaat[[#This Row],[Frequentie werkdagen]]="","",_xlfn.CONCAT(Ruimtestaat[[#This Row],[Ruimte code]],"-",Ruimtestaat[[#This Row],[Frequentie werkdagen]]," ",Ruimtestaat[[#This Row],[Vloer code]]))</f>
        <v>1-1m P</v>
      </c>
      <c r="AJ267" s="114" t="str">
        <f>_xlfn.IFNA(VLOOKUP($AI267,Programma!$F$3:$G$1101,2,0),"")</f>
        <v>_</v>
      </c>
      <c r="AK267" s="114" t="str">
        <f>_xlfn.IFNA(VLOOKUP($AI267,Programma!$F$3:$H$1101,3,0),"")</f>
        <v>_</v>
      </c>
      <c r="AL267" s="114" t="str">
        <f>_xlfn.IFNA(VLOOKUP($AI267,Programma!$F$3:$I$1101,4,0),"")</f>
        <v>1m</v>
      </c>
      <c r="AM267" s="114" t="str">
        <f>_xlfn.IFNA(VLOOKUP($AI267,Programma!$F$3:$J$1101,5,0),"")</f>
        <v>1m</v>
      </c>
      <c r="AN267" s="114" t="str">
        <f>_xlfn.IFNA(VLOOKUP($AI267,Programma!$F$3:$K$1101,6,0),"")</f>
        <v>1j</v>
      </c>
      <c r="AO267" s="114" t="str">
        <f>_xlfn.IFNA(VLOOKUP($AI267,Programma!$F$3:$L$1101,7,0),"")</f>
        <v>_</v>
      </c>
      <c r="AP267" s="114" t="str">
        <f>_xlfn.IFNA(VLOOKUP($AI267,Programma!$F$3:$M$1101,8,0),"")</f>
        <v>_</v>
      </c>
      <c r="AQ267" s="114" t="str">
        <f>_xlfn.IFNA(VLOOKUP($AI267,Programma!$F$3:$N$1101,9,0),"")</f>
        <v>_</v>
      </c>
      <c r="AR267" s="114" t="str">
        <f>_xlfn.IFNA(VLOOKUP($AI267,Programma!$F$3:$O$1101,10,0),"")</f>
        <v>_</v>
      </c>
      <c r="AS267" s="114" t="str">
        <f>_xlfn.IFNA(VLOOKUP($AI267,Programma!$F$3:$P$1101,11,0),"")</f>
        <v>_</v>
      </c>
      <c r="AT267" s="114" t="str">
        <f>_xlfn.IFNA(VLOOKUP($AI267,Programma!$F$3:$Q$1101,12,0),"")</f>
        <v>_</v>
      </c>
      <c r="AU267" s="114" t="str">
        <f>_xlfn.IFNA(VLOOKUP($AI267,Programma!$F$3:$R$1101,13,0),"")</f>
        <v>_</v>
      </c>
      <c r="AV267" s="114" t="str">
        <f>_xlfn.IFNA(VLOOKUP($AI267,Programma!$F$3:$S$1101,14,0),"")</f>
        <v>1m</v>
      </c>
      <c r="AW267" s="114" t="str">
        <f>_xlfn.IFNA(VLOOKUP($AI267,Programma!$F$3:$T$1101,15,0),"")</f>
        <v>4j</v>
      </c>
      <c r="AX267" s="114" t="str">
        <f>_xlfn.IFNA(VLOOKUP($AI267,Programma!$F$3:$U$1101,16,0),"")</f>
        <v>4j</v>
      </c>
      <c r="AY267" s="114" t="str">
        <f>_xlfn.IFNA(VLOOKUP($AI267,Programma!$F$3:$V$1101,17,0),"")</f>
        <v>_</v>
      </c>
      <c r="AZ267" s="114" t="str">
        <f>_xlfn.IFNA(VLOOKUP($AI267,Programma!$F$3:$W$1101,18,0),"")</f>
        <v>_</v>
      </c>
      <c r="BA267" s="114" t="str">
        <f>_xlfn.IFNA(VLOOKUP($AI267,Programma!$F$3:$X$1101,19,0),"")</f>
        <v>_</v>
      </c>
      <c r="BB267" s="114" t="str">
        <f>_xlfn.IFNA(VLOOKUP($AI267,Programma!$F$3:$Y$1101,20,0),"")</f>
        <v>_</v>
      </c>
      <c r="BC267" s="111"/>
      <c r="BD267" s="110" t="str">
        <f>IF(Ruimtestaat[[#This Row],[Frequentie weekend]]="","",_xlfn.CONCAT(Ruimtestaat[[#This Row],[Ruimte code]],"-",Ruimtestaat[[#This Row],[Frequentie weekend]]," ",Ruimtestaat[[#This Row],[Vloer code]]))</f>
        <v/>
      </c>
      <c r="BE267" s="114" t="str">
        <f>_xlfn.IFNA(VLOOKUP($BD267,Programma!$F$3:$G$1101,2,0),"")</f>
        <v/>
      </c>
      <c r="BF267" s="114" t="str">
        <f>_xlfn.IFNA(VLOOKUP($BD267,Programma!$F$3:$H$1101,3,0),"")</f>
        <v/>
      </c>
      <c r="BG267" s="114" t="str">
        <f>_xlfn.IFNA(VLOOKUP($BD267,Programma!$F$3:$I$1101,4,0),"")</f>
        <v/>
      </c>
      <c r="BH267" s="114" t="str">
        <f>_xlfn.IFNA(VLOOKUP($BD267,Programma!$F$3:$J$1101,5,0),"")</f>
        <v/>
      </c>
      <c r="BI267" s="114" t="str">
        <f>_xlfn.IFNA(VLOOKUP($BD267,Programma!$F$3:$K$1101,6,0),"")</f>
        <v/>
      </c>
      <c r="BJ267" s="114" t="str">
        <f>_xlfn.IFNA(VLOOKUP($BD267,Programma!$F$3:$L$1101,7,0),"")</f>
        <v/>
      </c>
      <c r="BK267" s="114" t="str">
        <f>_xlfn.IFNA(VLOOKUP($BD267,Programma!$F$3:$M$1101,8,0),"")</f>
        <v/>
      </c>
      <c r="BL267" s="114" t="str">
        <f>_xlfn.IFNA(VLOOKUP($BD267,Programma!$F$3:$N$1101,9,0),"")</f>
        <v/>
      </c>
      <c r="BM267" s="114" t="str">
        <f>_xlfn.IFNA(VLOOKUP($BD267,Programma!$F$3:$O$1101,10,0),"")</f>
        <v/>
      </c>
      <c r="BN267" s="114" t="str">
        <f>_xlfn.IFNA(VLOOKUP($BD267,Programma!$F$3:$P$1101,11,0),"")</f>
        <v/>
      </c>
      <c r="BO267" s="114" t="str">
        <f>_xlfn.IFNA(VLOOKUP($BD267,Programma!$F$3:$Q$1101,12,0),"")</f>
        <v/>
      </c>
      <c r="BP267" s="114" t="str">
        <f>_xlfn.IFNA(VLOOKUP($BD267,Programma!$F$3:$R$1101,13,0),"")</f>
        <v/>
      </c>
      <c r="BQ267" s="114" t="str">
        <f>_xlfn.IFNA(VLOOKUP($BD267,Programma!$F$3:$S$1101,14,0),"")</f>
        <v/>
      </c>
      <c r="BR267" s="114" t="str">
        <f>_xlfn.IFNA(VLOOKUP($BD267,Programma!$F$3:$T$1101,15,0),"")</f>
        <v/>
      </c>
      <c r="BS267" s="114" t="str">
        <f>_xlfn.IFNA(VLOOKUP($BD267,Programma!$F$3:$U$1101,16,0),"")</f>
        <v/>
      </c>
      <c r="BT267" s="114" t="str">
        <f>_xlfn.IFNA(VLOOKUP($BD267,Programma!$F$3:$V$1101,17,0),"")</f>
        <v/>
      </c>
      <c r="BU267" s="114" t="str">
        <f>_xlfn.IFNA(VLOOKUP($BD267,Programma!$F$3:$W$1101,18,0),"")</f>
        <v/>
      </c>
      <c r="BV267" s="114" t="str">
        <f>_xlfn.IFNA(VLOOKUP($BD267,Programma!$F$3:$X$1101,19,0),"")</f>
        <v/>
      </c>
      <c r="BW267" s="114" t="str">
        <f>_xlfn.IFNA(VLOOKUP($BD267,Programma!$F$3:$Y$1101,20,0),"")</f>
        <v/>
      </c>
      <c r="BX267" s="28"/>
      <c r="BY267" s="28"/>
      <c r="BZ267" s="28"/>
      <c r="CA267" s="28"/>
      <c r="CB267" s="28"/>
      <c r="CC267" s="28"/>
      <c r="CD267" s="28"/>
      <c r="CE267" s="28"/>
      <c r="CF267" s="28"/>
      <c r="CG267" s="28"/>
      <c r="CH267" s="28"/>
      <c r="CI267" s="28"/>
      <c r="CJ267" s="28"/>
      <c r="CK267" s="28"/>
      <c r="CL267" s="28"/>
      <c r="CM267" s="28"/>
      <c r="CN267" s="28"/>
      <c r="CO267" s="28"/>
      <c r="CP267" s="28"/>
      <c r="CQ267" s="28"/>
      <c r="CR267" s="28"/>
      <c r="CS267" s="28"/>
      <c r="CT267" s="28"/>
      <c r="CU267" s="28"/>
      <c r="CV267" s="28"/>
      <c r="CW267" s="28"/>
      <c r="CX267" s="28"/>
      <c r="CY267" s="28"/>
      <c r="CZ267" s="28"/>
      <c r="DA267" s="28"/>
      <c r="DB267" s="28"/>
      <c r="DC267" s="28"/>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c r="EC267" s="28"/>
      <c r="ED267" s="28"/>
      <c r="EE267" s="28"/>
      <c r="EF267" s="28"/>
      <c r="EG267" s="28"/>
      <c r="EH267" s="28"/>
      <c r="EI267" s="28"/>
      <c r="EJ267" s="28"/>
      <c r="EK267" s="28"/>
      <c r="EL267" s="28"/>
      <c r="EM267" s="28"/>
      <c r="EN267" s="28"/>
      <c r="EO267" s="28"/>
      <c r="EP267" s="28"/>
      <c r="EQ267" s="28"/>
      <c r="ER267" s="28"/>
      <c r="ES267" s="28"/>
      <c r="ET267" s="28"/>
      <c r="EU267" s="28"/>
      <c r="EV267" s="28"/>
      <c r="EW267" s="28"/>
      <c r="EX267" s="28"/>
      <c r="EY267" s="28"/>
      <c r="EZ267" s="28"/>
      <c r="FA267" s="28"/>
      <c r="FB267" s="28"/>
      <c r="FC267" s="28"/>
      <c r="FD267" s="28"/>
      <c r="FE267" s="28"/>
      <c r="FF267" s="28"/>
      <c r="FG267" s="28"/>
      <c r="FH267" s="28"/>
      <c r="FI267" s="28"/>
      <c r="FJ267" s="28"/>
      <c r="FK267" s="28"/>
      <c r="FL267" s="28"/>
      <c r="FM267" s="28"/>
      <c r="FN267" s="28"/>
      <c r="FO267" s="28"/>
      <c r="FP267" s="28"/>
      <c r="FQ267" s="28"/>
      <c r="FR267" s="28"/>
      <c r="FS267" s="28"/>
      <c r="FT267" s="28"/>
      <c r="FU267" s="28"/>
      <c r="FV267" s="28"/>
      <c r="FW267" s="28"/>
      <c r="FX267" s="28"/>
      <c r="FY267" s="28"/>
      <c r="FZ267" s="28"/>
      <c r="GA267" s="28"/>
      <c r="GB267" s="28"/>
      <c r="GC267" s="28"/>
      <c r="GD267" s="28"/>
      <c r="GE267" s="28"/>
      <c r="GF267" s="28"/>
      <c r="GG267" s="28"/>
      <c r="GH267" s="28"/>
      <c r="GI267" s="28"/>
      <c r="GJ267" s="28"/>
      <c r="GK267" s="28"/>
      <c r="GL267" s="28"/>
      <c r="GM267" s="28"/>
      <c r="GN267" s="28"/>
      <c r="GO267" s="28"/>
      <c r="GP267" s="28"/>
      <c r="GQ267" s="28"/>
      <c r="GR267" s="28"/>
      <c r="GS267" s="28"/>
      <c r="GT267" s="28"/>
      <c r="GU267" s="28"/>
      <c r="GV267" s="28"/>
      <c r="GW267" s="28"/>
      <c r="GX267" s="28"/>
      <c r="GY267" s="28"/>
      <c r="GZ267" s="28"/>
      <c r="HA267" s="28"/>
      <c r="HB267" s="28"/>
      <c r="HC267" s="28"/>
      <c r="HD267" s="28"/>
      <c r="HE267" s="28"/>
      <c r="HF267" s="28"/>
      <c r="HG267" s="28"/>
      <c r="HH267" s="28"/>
      <c r="HI267" s="28"/>
      <c r="HJ267" s="28"/>
      <c r="HK267" s="28"/>
      <c r="HL267" s="28"/>
    </row>
    <row r="268" spans="1:220" ht="15" customHeight="1">
      <c r="A268" s="31">
        <v>5</v>
      </c>
      <c r="B268" s="105" t="str">
        <f>VLOOKUP(Ruimtestaat[[#This Row],[Code]],Locaties[[Code]:[Locatie]],2,FALSE)</f>
        <v>IKC Remigius</v>
      </c>
      <c r="C268" s="105" t="str">
        <f>VLOOKUP(Ruimtestaat[[#This Row],[Code]],Locaties[[#All],[Code]:[Adres]],4,FALSE)</f>
        <v>Liemersplein 1</v>
      </c>
      <c r="D268" s="105" t="str">
        <f>VLOOKUP(Ruimtestaat[[#This Row],[Code]],Locaties[[#All],[Code]:[Postcode]],5,FALSE)</f>
        <v xml:space="preserve">6921 HN </v>
      </c>
      <c r="E268" s="105" t="str">
        <f>VLOOKUP(Ruimtestaat[[#This Row],[Code]],Locaties[#All],6,FALSE)</f>
        <v>Duiven</v>
      </c>
      <c r="F268" s="113"/>
      <c r="G268" s="31" t="s">
        <v>1826</v>
      </c>
      <c r="H268" s="31" t="s">
        <v>1882</v>
      </c>
      <c r="I268" s="113" t="s">
        <v>1883</v>
      </c>
      <c r="J268" s="31">
        <v>9</v>
      </c>
      <c r="K268" s="113" t="str">
        <f>VLOOKUP(Ruimtestaat[[#This Row],[Ruimte code]],Ruimtegroepen[[#All],[Code]:[Ruimte omschrijving]],2,FALSE)</f>
        <v>Bibliotheek/OLC</v>
      </c>
      <c r="L268" s="73" t="s">
        <v>102</v>
      </c>
      <c r="M268" s="273" t="s">
        <v>120</v>
      </c>
      <c r="N268" s="106">
        <v>78.8</v>
      </c>
      <c r="O268" s="112"/>
      <c r="P268" s="112"/>
      <c r="Q268" s="107" t="str">
        <f>VLOOKUP(Ruimtestaat[[#This Row],[Ruimte code]],Ruimtegroepen[],4,FALSE)</f>
        <v>Le</v>
      </c>
      <c r="R268" s="73">
        <v>40</v>
      </c>
      <c r="S268" s="73" t="s">
        <v>2</v>
      </c>
      <c r="T268" s="73">
        <f>IF(R268&gt;0,IF(RIGHT(Ruimtestaat[[#This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8" s="73">
        <f>IF(T268&gt;0,VLOOKUP($J268,Ruimtegroepen[],3,FALSE)*VLOOKUP($L268,Vloersoorten[],3,FALSE)*VLOOKUP($S268,Frequenties[],3,FALSE)*VLOOKUP($A268,Locaties[],3,FALSE),0)</f>
        <v>0</v>
      </c>
      <c r="V268" s="73">
        <f>Ruimtestaat[[#This Row],[Uitvoeringen werkdagen]]*Ruimtestaat[[#This Row],[Oppervlak (netto)]]</f>
        <v>15760</v>
      </c>
      <c r="W268" s="108">
        <f>IF(U268&gt;0,Ruimtestaat[[#This Row],[Prest. (m2 /jaar) werkdagen]]/Ruimtestaat[[#This Row],[Norm (m2/uur) werkdagen]],0)</f>
        <v>0</v>
      </c>
      <c r="X268" s="109">
        <f>Ruimtestaat[[#This Row],[uren / jaar werkdagen]]*Tariefsopbouw!$E$35</f>
        <v>0</v>
      </c>
      <c r="Y268" s="73"/>
      <c r="Z268" s="73">
        <f>IF(Ruimtestaat[[#This Row],[Frequentie weekend]]&gt;0,VALUE(LEFT(Y268,1))*R268,0)</f>
        <v>0</v>
      </c>
      <c r="AA268" s="72">
        <f>IF($Z268&gt;0,VLOOKUP($J268,Ruimtegroepen[],3,FALSE)*VLOOKUP($L268,Vloersoorten[],3,FALSE)*VLOOKUP($Y268,Frequenties[],3,FALSE)*VLOOKUP(Ruimtestaat[[#This Row],[Code]],Locaties[],3,FALSE),0)</f>
        <v>0</v>
      </c>
      <c r="AB268" s="72">
        <f>Ruimtestaat[[#This Row],[Uitvoeringen weekend]]*Ruimtestaat[[#This Row],[Oppervlak (netto)]]</f>
        <v>0</v>
      </c>
      <c r="AC268" s="72">
        <f>IF(AA268&gt;0,Ruimtestaat[[#This Row],[Prest. (m2 /jaar) weekend]]/Ruimtestaat[[#This Row],[Norm (m2/uur) weekend]],0)</f>
        <v>0</v>
      </c>
      <c r="AD268" s="109">
        <f>Ruimtestaat[[#This Row],[uren / jaar weekend]]*Tariefsopbouw!$D$40</f>
        <v>0</v>
      </c>
      <c r="AE268" s="108">
        <f>Ruimtestaat[[#This Row],[Prest. (m2 /jaar) weekend]]+Ruimtestaat[[#This Row],[Prest. (m2 /jaar) werkdagen]]</f>
        <v>15760</v>
      </c>
      <c r="AF268" s="108">
        <f>Ruimtestaat[[#This Row],[uren / jaar weekend]]+Ruimtestaat[[#This Row],[uren / jaar werkdagen]]</f>
        <v>0</v>
      </c>
      <c r="AG268" s="103">
        <f>Ruimtestaat[[#This Row],[kosten / jaar weekend]]+Ruimtestaat[[#This Row],[kosten / jaar werkdagen]]</f>
        <v>0</v>
      </c>
      <c r="AH268" s="103"/>
      <c r="AI268" s="110" t="str">
        <f>IF(Ruimtestaat[[#This Row],[Frequentie werkdagen]]="","",_xlfn.CONCAT(Ruimtestaat[[#This Row],[Ruimte code]],"-",Ruimtestaat[[#This Row],[Frequentie werkdagen]]," ",Ruimtestaat[[#This Row],[Vloer code]]))</f>
        <v>9-5w P</v>
      </c>
      <c r="AJ268" s="114" t="str">
        <f>_xlfn.IFNA(VLOOKUP($AI268,Programma!$F$3:$G$1101,2,0),"")</f>
        <v>_</v>
      </c>
      <c r="AK268" s="114" t="str">
        <f>_xlfn.IFNA(VLOOKUP($AI268,Programma!$F$3:$H$1101,3,0),"")</f>
        <v>_</v>
      </c>
      <c r="AL268" s="114" t="str">
        <f>_xlfn.IFNA(VLOOKUP($AI268,Programma!$F$3:$I$1101,4,0),"")</f>
        <v>5w</v>
      </c>
      <c r="AM268" s="114" t="str">
        <f>_xlfn.IFNA(VLOOKUP($AI268,Programma!$F$3:$J$1101,5,0),"")</f>
        <v>_</v>
      </c>
      <c r="AN268" s="114" t="str">
        <f>_xlfn.IFNA(VLOOKUP($AI268,Programma!$F$3:$K$1101,6,0),"")</f>
        <v>4j</v>
      </c>
      <c r="AO268" s="114" t="str">
        <f>_xlfn.IFNA(VLOOKUP($AI268,Programma!$F$3:$L$1101,7,0),"")</f>
        <v>_</v>
      </c>
      <c r="AP268" s="114" t="str">
        <f>_xlfn.IFNA(VLOOKUP($AI268,Programma!$F$3:$M$1101,8,0),"")</f>
        <v>_</v>
      </c>
      <c r="AQ268" s="114" t="str">
        <f>_xlfn.IFNA(VLOOKUP($AI268,Programma!$F$3:$N$1101,9,0),"")</f>
        <v>_</v>
      </c>
      <c r="AR268" s="114" t="str">
        <f>_xlfn.IFNA(VLOOKUP($AI268,Programma!$F$3:$O$1101,10,0),"")</f>
        <v>5w</v>
      </c>
      <c r="AS268" s="114" t="str">
        <f>_xlfn.IFNA(VLOOKUP($AI268,Programma!$F$3:$P$1101,11,0),"")</f>
        <v>5w</v>
      </c>
      <c r="AT268" s="114" t="str">
        <f>_xlfn.IFNA(VLOOKUP($AI268,Programma!$F$3:$Q$1101,12,0),"")</f>
        <v>1w</v>
      </c>
      <c r="AU268" s="114" t="str">
        <f>_xlfn.IFNA(VLOOKUP($AI268,Programma!$F$3:$R$1101,13,0),"")</f>
        <v>1w</v>
      </c>
      <c r="AV268" s="114" t="str">
        <f>_xlfn.IFNA(VLOOKUP($AI268,Programma!$F$3:$S$1101,14,0),"")</f>
        <v>1m</v>
      </c>
      <c r="AW268" s="114" t="str">
        <f>_xlfn.IFNA(VLOOKUP($AI268,Programma!$F$3:$T$1101,15,0),"")</f>
        <v>2j</v>
      </c>
      <c r="AX268" s="114" t="str">
        <f>_xlfn.IFNA(VLOOKUP($AI268,Programma!$F$3:$U$1101,16,0),"")</f>
        <v>1j</v>
      </c>
      <c r="AY268" s="114" t="str">
        <f>_xlfn.IFNA(VLOOKUP($AI268,Programma!$F$3:$V$1101,17,0),"")</f>
        <v>_</v>
      </c>
      <c r="AZ268" s="114" t="str">
        <f>_xlfn.IFNA(VLOOKUP($AI268,Programma!$F$3:$W$1101,18,0),"")</f>
        <v>_</v>
      </c>
      <c r="BA268" s="114" t="str">
        <f>_xlfn.IFNA(VLOOKUP($AI268,Programma!$F$3:$X$1101,19,0),"")</f>
        <v>_</v>
      </c>
      <c r="BB268" s="114" t="str">
        <f>_xlfn.IFNA(VLOOKUP($AI268,Programma!$F$3:$Y$1101,20,0),"")</f>
        <v>_</v>
      </c>
      <c r="BC268" s="111"/>
      <c r="BD268" s="110" t="str">
        <f>IF(Ruimtestaat[[#This Row],[Frequentie weekend]]="","",_xlfn.CONCAT(Ruimtestaat[[#This Row],[Ruimte code]],"-",Ruimtestaat[[#This Row],[Frequentie weekend]]," ",Ruimtestaat[[#This Row],[Vloer code]]))</f>
        <v/>
      </c>
      <c r="BE268" s="114" t="str">
        <f>_xlfn.IFNA(VLOOKUP($BD268,Programma!$F$3:$G$1101,2,0),"")</f>
        <v/>
      </c>
      <c r="BF268" s="114" t="str">
        <f>_xlfn.IFNA(VLOOKUP($BD268,Programma!$F$3:$H$1101,3,0),"")</f>
        <v/>
      </c>
      <c r="BG268" s="114" t="str">
        <f>_xlfn.IFNA(VLOOKUP($BD268,Programma!$F$3:$I$1101,4,0),"")</f>
        <v/>
      </c>
      <c r="BH268" s="114" t="str">
        <f>_xlfn.IFNA(VLOOKUP($BD268,Programma!$F$3:$J$1101,5,0),"")</f>
        <v/>
      </c>
      <c r="BI268" s="114" t="str">
        <f>_xlfn.IFNA(VLOOKUP($BD268,Programma!$F$3:$K$1101,6,0),"")</f>
        <v/>
      </c>
      <c r="BJ268" s="114" t="str">
        <f>_xlfn.IFNA(VLOOKUP($BD268,Programma!$F$3:$L$1101,7,0),"")</f>
        <v/>
      </c>
      <c r="BK268" s="114" t="str">
        <f>_xlfn.IFNA(VLOOKUP($BD268,Programma!$F$3:$M$1101,8,0),"")</f>
        <v/>
      </c>
      <c r="BL268" s="114" t="str">
        <f>_xlfn.IFNA(VLOOKUP($BD268,Programma!$F$3:$N$1101,9,0),"")</f>
        <v/>
      </c>
      <c r="BM268" s="114" t="str">
        <f>_xlfn.IFNA(VLOOKUP($BD268,Programma!$F$3:$O$1101,10,0),"")</f>
        <v/>
      </c>
      <c r="BN268" s="114" t="str">
        <f>_xlfn.IFNA(VLOOKUP($BD268,Programma!$F$3:$P$1101,11,0),"")</f>
        <v/>
      </c>
      <c r="BO268" s="114" t="str">
        <f>_xlfn.IFNA(VLOOKUP($BD268,Programma!$F$3:$Q$1101,12,0),"")</f>
        <v/>
      </c>
      <c r="BP268" s="114" t="str">
        <f>_xlfn.IFNA(VLOOKUP($BD268,Programma!$F$3:$R$1101,13,0),"")</f>
        <v/>
      </c>
      <c r="BQ268" s="114" t="str">
        <f>_xlfn.IFNA(VLOOKUP($BD268,Programma!$F$3:$S$1101,14,0),"")</f>
        <v/>
      </c>
      <c r="BR268" s="114" t="str">
        <f>_xlfn.IFNA(VLOOKUP($BD268,Programma!$F$3:$T$1101,15,0),"")</f>
        <v/>
      </c>
      <c r="BS268" s="114" t="str">
        <f>_xlfn.IFNA(VLOOKUP($BD268,Programma!$F$3:$U$1101,16,0),"")</f>
        <v/>
      </c>
      <c r="BT268" s="114" t="str">
        <f>_xlfn.IFNA(VLOOKUP($BD268,Programma!$F$3:$V$1101,17,0),"")</f>
        <v/>
      </c>
      <c r="BU268" s="114" t="str">
        <f>_xlfn.IFNA(VLOOKUP($BD268,Programma!$F$3:$W$1101,18,0),"")</f>
        <v/>
      </c>
      <c r="BV268" s="114" t="str">
        <f>_xlfn.IFNA(VLOOKUP($BD268,Programma!$F$3:$X$1101,19,0),"")</f>
        <v/>
      </c>
      <c r="BW268" s="114" t="str">
        <f>_xlfn.IFNA(VLOOKUP($BD268,Programma!$F$3:$Y$1101,20,0),"")</f>
        <v/>
      </c>
      <c r="BX268" s="28"/>
      <c r="BY268" s="28"/>
      <c r="BZ268" s="28"/>
      <c r="CA268" s="28"/>
      <c r="CB268" s="28"/>
      <c r="CC268" s="28"/>
      <c r="CD268" s="28"/>
      <c r="CE268" s="28"/>
      <c r="CF268" s="28"/>
      <c r="CG268" s="28"/>
      <c r="CH268" s="28"/>
      <c r="CI268" s="28"/>
      <c r="CJ268" s="28"/>
      <c r="CK268" s="28"/>
      <c r="CL268" s="28"/>
      <c r="CM268" s="28"/>
      <c r="CN268" s="28"/>
      <c r="CO268" s="28"/>
      <c r="CP268" s="28"/>
      <c r="CQ268" s="28"/>
      <c r="CR268" s="28"/>
      <c r="CS268" s="28"/>
      <c r="CT268" s="28"/>
      <c r="CU268" s="28"/>
      <c r="CV268" s="28"/>
      <c r="CW268" s="28"/>
      <c r="CX268" s="28"/>
      <c r="CY268" s="28"/>
      <c r="CZ268" s="28"/>
      <c r="DA268" s="28"/>
      <c r="DB268" s="28"/>
      <c r="DC268" s="28"/>
      <c r="DD268" s="28"/>
      <c r="DE268" s="28"/>
      <c r="DF268" s="28"/>
      <c r="DG268" s="28"/>
      <c r="DH268" s="28"/>
      <c r="DI268" s="28"/>
      <c r="DJ268" s="28"/>
      <c r="DK268" s="28"/>
      <c r="DL268" s="28"/>
      <c r="DM268" s="28"/>
      <c r="DN268" s="28"/>
      <c r="DO268" s="28"/>
      <c r="DP268" s="28"/>
      <c r="DQ268" s="28"/>
      <c r="DR268" s="28"/>
      <c r="DS268" s="28"/>
      <c r="DT268" s="28"/>
      <c r="DU268" s="28"/>
      <c r="DV268" s="28"/>
      <c r="DW268" s="28"/>
      <c r="DX268" s="28"/>
      <c r="DY268" s="28"/>
      <c r="DZ268" s="28"/>
      <c r="EA268" s="28"/>
      <c r="EB268" s="28"/>
      <c r="EC268" s="28"/>
      <c r="ED268" s="28"/>
      <c r="EE268" s="28"/>
      <c r="EF268" s="28"/>
      <c r="EG268" s="28"/>
      <c r="EH268" s="28"/>
      <c r="EI268" s="28"/>
      <c r="EJ268" s="28"/>
      <c r="EK268" s="28"/>
      <c r="EL268" s="28"/>
      <c r="EM268" s="28"/>
      <c r="EN268" s="28"/>
      <c r="EO268" s="28"/>
      <c r="EP268" s="28"/>
      <c r="EQ268" s="28"/>
      <c r="ER268" s="28"/>
      <c r="ES268" s="28"/>
      <c r="ET268" s="28"/>
      <c r="EU268" s="28"/>
      <c r="EV268" s="28"/>
      <c r="EW268" s="28"/>
      <c r="EX268" s="28"/>
      <c r="EY268" s="28"/>
      <c r="EZ268" s="28"/>
      <c r="FA268" s="28"/>
      <c r="FB268" s="28"/>
      <c r="FC268" s="28"/>
      <c r="FD268" s="28"/>
      <c r="FE268" s="28"/>
      <c r="FF268" s="28"/>
      <c r="FG268" s="28"/>
      <c r="FH268" s="28"/>
      <c r="FI268" s="28"/>
      <c r="FJ268" s="28"/>
      <c r="FK268" s="28"/>
      <c r="FL268" s="28"/>
      <c r="FM268" s="28"/>
      <c r="FN268" s="28"/>
      <c r="FO268" s="28"/>
      <c r="FP268" s="28"/>
      <c r="FQ268" s="28"/>
      <c r="FR268" s="28"/>
      <c r="FS268" s="28"/>
      <c r="FT268" s="28"/>
      <c r="FU268" s="28"/>
      <c r="FV268" s="28"/>
      <c r="FW268" s="28"/>
      <c r="FX268" s="28"/>
      <c r="FY268" s="28"/>
      <c r="FZ268" s="28"/>
      <c r="GA268" s="28"/>
      <c r="GB268" s="28"/>
      <c r="GC268" s="28"/>
      <c r="GD268" s="28"/>
      <c r="GE268" s="28"/>
      <c r="GF268" s="28"/>
      <c r="GG268" s="28"/>
      <c r="GH268" s="28"/>
      <c r="GI268" s="28"/>
      <c r="GJ268" s="28"/>
      <c r="GK268" s="28"/>
      <c r="GL268" s="28"/>
      <c r="GM268" s="28"/>
      <c r="GN268" s="28"/>
      <c r="GO268" s="28"/>
      <c r="GP268" s="28"/>
      <c r="GQ268" s="28"/>
      <c r="GR268" s="28"/>
      <c r="GS268" s="28"/>
      <c r="GT268" s="28"/>
      <c r="GU268" s="28"/>
      <c r="GV268" s="28"/>
      <c r="GW268" s="28"/>
      <c r="GX268" s="28"/>
      <c r="GY268" s="28"/>
      <c r="GZ268" s="28"/>
      <c r="HA268" s="28"/>
      <c r="HB268" s="28"/>
      <c r="HC268" s="28"/>
      <c r="HD268" s="28"/>
      <c r="HE268" s="28"/>
      <c r="HF268" s="28"/>
      <c r="HG268" s="28"/>
      <c r="HH268" s="28"/>
      <c r="HI268" s="28"/>
      <c r="HJ268" s="28"/>
      <c r="HK268" s="28"/>
      <c r="HL268" s="28"/>
    </row>
    <row r="269" spans="1:220" ht="15" customHeight="1">
      <c r="A269" s="31">
        <v>5</v>
      </c>
      <c r="B269" s="105" t="str">
        <f>VLOOKUP(Ruimtestaat[[#This Row],[Code]],Locaties[[Code]:[Locatie]],2,FALSE)</f>
        <v>IKC Remigius</v>
      </c>
      <c r="C269" s="105" t="str">
        <f>VLOOKUP(Ruimtestaat[[#This Row],[Code]],Locaties[[#All],[Code]:[Adres]],4,FALSE)</f>
        <v>Liemersplein 1</v>
      </c>
      <c r="D269" s="105" t="str">
        <f>VLOOKUP(Ruimtestaat[[#This Row],[Code]],Locaties[[#All],[Code]:[Postcode]],5,FALSE)</f>
        <v xml:space="preserve">6921 HN </v>
      </c>
      <c r="E269" s="105" t="str">
        <f>VLOOKUP(Ruimtestaat[[#This Row],[Code]],Locaties[#All],6,FALSE)</f>
        <v>Duiven</v>
      </c>
      <c r="F269" s="113"/>
      <c r="G269" s="31" t="s">
        <v>1826</v>
      </c>
      <c r="H269" s="31" t="s">
        <v>1884</v>
      </c>
      <c r="I269" s="113" t="s">
        <v>1885</v>
      </c>
      <c r="J269" s="31">
        <v>9</v>
      </c>
      <c r="K269" s="113" t="str">
        <f>VLOOKUP(Ruimtestaat[[#This Row],[Ruimte code]],Ruimtegroepen[[#All],[Code]:[Ruimte omschrijving]],2,FALSE)</f>
        <v>Bibliotheek/OLC</v>
      </c>
      <c r="L269" s="73" t="s">
        <v>102</v>
      </c>
      <c r="M269" s="273" t="s">
        <v>120</v>
      </c>
      <c r="N269" s="106">
        <v>11.6</v>
      </c>
      <c r="O269" s="112"/>
      <c r="P269" s="112"/>
      <c r="Q269" s="107" t="str">
        <f>VLOOKUP(Ruimtestaat[[#This Row],[Ruimte code]],Ruimtegroepen[],4,FALSE)</f>
        <v>Le</v>
      </c>
      <c r="R269" s="73">
        <v>40</v>
      </c>
      <c r="S269" s="73" t="s">
        <v>2</v>
      </c>
      <c r="T269" s="73">
        <f>IF(R269&gt;0,IF(RIGHT(Ruimtestaat[[#This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9" s="73">
        <f>IF(T269&gt;0,VLOOKUP($J269,Ruimtegroepen[],3,FALSE)*VLOOKUP($L269,Vloersoorten[],3,FALSE)*VLOOKUP($S269,Frequenties[],3,FALSE)*VLOOKUP($A269,Locaties[],3,FALSE),0)</f>
        <v>0</v>
      </c>
      <c r="V269" s="73">
        <f>Ruimtestaat[[#This Row],[Uitvoeringen werkdagen]]*Ruimtestaat[[#This Row],[Oppervlak (netto)]]</f>
        <v>2320</v>
      </c>
      <c r="W269" s="108">
        <f>IF(U269&gt;0,Ruimtestaat[[#This Row],[Prest. (m2 /jaar) werkdagen]]/Ruimtestaat[[#This Row],[Norm (m2/uur) werkdagen]],0)</f>
        <v>0</v>
      </c>
      <c r="X269" s="109">
        <f>Ruimtestaat[[#This Row],[uren / jaar werkdagen]]*Tariefsopbouw!$E$35</f>
        <v>0</v>
      </c>
      <c r="Y269" s="73"/>
      <c r="Z269" s="73">
        <f>IF(Ruimtestaat[[#This Row],[Frequentie weekend]]&gt;0,VALUE(LEFT(Y269,1))*R269,0)</f>
        <v>0</v>
      </c>
      <c r="AA269" s="72">
        <f>IF($Z269&gt;0,VLOOKUP($J269,Ruimtegroepen[],3,FALSE)*VLOOKUP($L269,Vloersoorten[],3,FALSE)*VLOOKUP($Y269,Frequenties[],3,FALSE)*VLOOKUP(Ruimtestaat[[#This Row],[Code]],Locaties[],3,FALSE),0)</f>
        <v>0</v>
      </c>
      <c r="AB269" s="72">
        <f>Ruimtestaat[[#This Row],[Uitvoeringen weekend]]*Ruimtestaat[[#This Row],[Oppervlak (netto)]]</f>
        <v>0</v>
      </c>
      <c r="AC269" s="72">
        <f>IF(AA269&gt;0,Ruimtestaat[[#This Row],[Prest. (m2 /jaar) weekend]]/Ruimtestaat[[#This Row],[Norm (m2/uur) weekend]],0)</f>
        <v>0</v>
      </c>
      <c r="AD269" s="109">
        <f>Ruimtestaat[[#This Row],[uren / jaar weekend]]*Tariefsopbouw!$D$40</f>
        <v>0</v>
      </c>
      <c r="AE269" s="108">
        <f>Ruimtestaat[[#This Row],[Prest. (m2 /jaar) weekend]]+Ruimtestaat[[#This Row],[Prest. (m2 /jaar) werkdagen]]</f>
        <v>2320</v>
      </c>
      <c r="AF269" s="108">
        <f>Ruimtestaat[[#This Row],[uren / jaar weekend]]+Ruimtestaat[[#This Row],[uren / jaar werkdagen]]</f>
        <v>0</v>
      </c>
      <c r="AG269" s="103">
        <f>Ruimtestaat[[#This Row],[kosten / jaar weekend]]+Ruimtestaat[[#This Row],[kosten / jaar werkdagen]]</f>
        <v>0</v>
      </c>
      <c r="AH269" s="103"/>
      <c r="AI269" s="110" t="str">
        <f>IF(Ruimtestaat[[#This Row],[Frequentie werkdagen]]="","",_xlfn.CONCAT(Ruimtestaat[[#This Row],[Ruimte code]],"-",Ruimtestaat[[#This Row],[Frequentie werkdagen]]," ",Ruimtestaat[[#This Row],[Vloer code]]))</f>
        <v>9-5w P</v>
      </c>
      <c r="AJ269" s="114" t="str">
        <f>_xlfn.IFNA(VLOOKUP($AI269,Programma!$F$3:$G$1101,2,0),"")</f>
        <v>_</v>
      </c>
      <c r="AK269" s="114" t="str">
        <f>_xlfn.IFNA(VLOOKUP($AI269,Programma!$F$3:$H$1101,3,0),"")</f>
        <v>_</v>
      </c>
      <c r="AL269" s="114" t="str">
        <f>_xlfn.IFNA(VLOOKUP($AI269,Programma!$F$3:$I$1101,4,0),"")</f>
        <v>5w</v>
      </c>
      <c r="AM269" s="114" t="str">
        <f>_xlfn.IFNA(VLOOKUP($AI269,Programma!$F$3:$J$1101,5,0),"")</f>
        <v>_</v>
      </c>
      <c r="AN269" s="114" t="str">
        <f>_xlfn.IFNA(VLOOKUP($AI269,Programma!$F$3:$K$1101,6,0),"")</f>
        <v>4j</v>
      </c>
      <c r="AO269" s="114" t="str">
        <f>_xlfn.IFNA(VLOOKUP($AI269,Programma!$F$3:$L$1101,7,0),"")</f>
        <v>_</v>
      </c>
      <c r="AP269" s="114" t="str">
        <f>_xlfn.IFNA(VLOOKUP($AI269,Programma!$F$3:$M$1101,8,0),"")</f>
        <v>_</v>
      </c>
      <c r="AQ269" s="114" t="str">
        <f>_xlfn.IFNA(VLOOKUP($AI269,Programma!$F$3:$N$1101,9,0),"")</f>
        <v>_</v>
      </c>
      <c r="AR269" s="114" t="str">
        <f>_xlfn.IFNA(VLOOKUP($AI269,Programma!$F$3:$O$1101,10,0),"")</f>
        <v>5w</v>
      </c>
      <c r="AS269" s="114" t="str">
        <f>_xlfn.IFNA(VLOOKUP($AI269,Programma!$F$3:$P$1101,11,0),"")</f>
        <v>5w</v>
      </c>
      <c r="AT269" s="114" t="str">
        <f>_xlfn.IFNA(VLOOKUP($AI269,Programma!$F$3:$Q$1101,12,0),"")</f>
        <v>1w</v>
      </c>
      <c r="AU269" s="114" t="str">
        <f>_xlfn.IFNA(VLOOKUP($AI269,Programma!$F$3:$R$1101,13,0),"")</f>
        <v>1w</v>
      </c>
      <c r="AV269" s="114" t="str">
        <f>_xlfn.IFNA(VLOOKUP($AI269,Programma!$F$3:$S$1101,14,0),"")</f>
        <v>1m</v>
      </c>
      <c r="AW269" s="114" t="str">
        <f>_xlfn.IFNA(VLOOKUP($AI269,Programma!$F$3:$T$1101,15,0),"")</f>
        <v>2j</v>
      </c>
      <c r="AX269" s="114" t="str">
        <f>_xlfn.IFNA(VLOOKUP($AI269,Programma!$F$3:$U$1101,16,0),"")</f>
        <v>1j</v>
      </c>
      <c r="AY269" s="114" t="str">
        <f>_xlfn.IFNA(VLOOKUP($AI269,Programma!$F$3:$V$1101,17,0),"")</f>
        <v>_</v>
      </c>
      <c r="AZ269" s="114" t="str">
        <f>_xlfn.IFNA(VLOOKUP($AI269,Programma!$F$3:$W$1101,18,0),"")</f>
        <v>_</v>
      </c>
      <c r="BA269" s="114" t="str">
        <f>_xlfn.IFNA(VLOOKUP($AI269,Programma!$F$3:$X$1101,19,0),"")</f>
        <v>_</v>
      </c>
      <c r="BB269" s="114" t="str">
        <f>_xlfn.IFNA(VLOOKUP($AI269,Programma!$F$3:$Y$1101,20,0),"")</f>
        <v>_</v>
      </c>
      <c r="BC269" s="111"/>
      <c r="BD269" s="110" t="str">
        <f>IF(Ruimtestaat[[#This Row],[Frequentie weekend]]="","",_xlfn.CONCAT(Ruimtestaat[[#This Row],[Ruimte code]],"-",Ruimtestaat[[#This Row],[Frequentie weekend]]," ",Ruimtestaat[[#This Row],[Vloer code]]))</f>
        <v/>
      </c>
      <c r="BE269" s="114" t="str">
        <f>_xlfn.IFNA(VLOOKUP($BD269,Programma!$F$3:$G$1101,2,0),"")</f>
        <v/>
      </c>
      <c r="BF269" s="114" t="str">
        <f>_xlfn.IFNA(VLOOKUP($BD269,Programma!$F$3:$H$1101,3,0),"")</f>
        <v/>
      </c>
      <c r="BG269" s="114" t="str">
        <f>_xlfn.IFNA(VLOOKUP($BD269,Programma!$F$3:$I$1101,4,0),"")</f>
        <v/>
      </c>
      <c r="BH269" s="114" t="str">
        <f>_xlfn.IFNA(VLOOKUP($BD269,Programma!$F$3:$J$1101,5,0),"")</f>
        <v/>
      </c>
      <c r="BI269" s="114" t="str">
        <f>_xlfn.IFNA(VLOOKUP($BD269,Programma!$F$3:$K$1101,6,0),"")</f>
        <v/>
      </c>
      <c r="BJ269" s="114" t="str">
        <f>_xlfn.IFNA(VLOOKUP($BD269,Programma!$F$3:$L$1101,7,0),"")</f>
        <v/>
      </c>
      <c r="BK269" s="114" t="str">
        <f>_xlfn.IFNA(VLOOKUP($BD269,Programma!$F$3:$M$1101,8,0),"")</f>
        <v/>
      </c>
      <c r="BL269" s="114" t="str">
        <f>_xlfn.IFNA(VLOOKUP($BD269,Programma!$F$3:$N$1101,9,0),"")</f>
        <v/>
      </c>
      <c r="BM269" s="114" t="str">
        <f>_xlfn.IFNA(VLOOKUP($BD269,Programma!$F$3:$O$1101,10,0),"")</f>
        <v/>
      </c>
      <c r="BN269" s="114" t="str">
        <f>_xlfn.IFNA(VLOOKUP($BD269,Programma!$F$3:$P$1101,11,0),"")</f>
        <v/>
      </c>
      <c r="BO269" s="114" t="str">
        <f>_xlfn.IFNA(VLOOKUP($BD269,Programma!$F$3:$Q$1101,12,0),"")</f>
        <v/>
      </c>
      <c r="BP269" s="114" t="str">
        <f>_xlfn.IFNA(VLOOKUP($BD269,Programma!$F$3:$R$1101,13,0),"")</f>
        <v/>
      </c>
      <c r="BQ269" s="114" t="str">
        <f>_xlfn.IFNA(VLOOKUP($BD269,Programma!$F$3:$S$1101,14,0),"")</f>
        <v/>
      </c>
      <c r="BR269" s="114" t="str">
        <f>_xlfn.IFNA(VLOOKUP($BD269,Programma!$F$3:$T$1101,15,0),"")</f>
        <v/>
      </c>
      <c r="BS269" s="114" t="str">
        <f>_xlfn.IFNA(VLOOKUP($BD269,Programma!$F$3:$U$1101,16,0),"")</f>
        <v/>
      </c>
      <c r="BT269" s="114" t="str">
        <f>_xlfn.IFNA(VLOOKUP($BD269,Programma!$F$3:$V$1101,17,0),"")</f>
        <v/>
      </c>
      <c r="BU269" s="114" t="str">
        <f>_xlfn.IFNA(VLOOKUP($BD269,Programma!$F$3:$W$1101,18,0),"")</f>
        <v/>
      </c>
      <c r="BV269" s="114" t="str">
        <f>_xlfn.IFNA(VLOOKUP($BD269,Programma!$F$3:$X$1101,19,0),"")</f>
        <v/>
      </c>
      <c r="BW269" s="114" t="str">
        <f>_xlfn.IFNA(VLOOKUP($BD269,Programma!$F$3:$Y$1101,20,0),"")</f>
        <v/>
      </c>
      <c r="BX269" s="28"/>
      <c r="BY269" s="28"/>
      <c r="BZ269" s="28"/>
      <c r="CA269" s="28"/>
      <c r="CB269" s="28"/>
      <c r="CC269" s="28"/>
      <c r="CD269" s="28"/>
      <c r="CE269" s="28"/>
      <c r="CF269" s="28"/>
      <c r="CG269" s="28"/>
      <c r="CH269" s="28"/>
      <c r="CI269" s="28"/>
      <c r="CJ269" s="28"/>
      <c r="CK269" s="28"/>
      <c r="CL269" s="28"/>
      <c r="CM269" s="28"/>
      <c r="CN269" s="28"/>
      <c r="CO269" s="28"/>
      <c r="CP269" s="28"/>
      <c r="CQ269" s="28"/>
      <c r="CR269" s="28"/>
      <c r="CS269" s="28"/>
      <c r="CT269" s="28"/>
      <c r="CU269" s="28"/>
      <c r="CV269" s="28"/>
      <c r="CW269" s="28"/>
      <c r="CX269" s="28"/>
      <c r="CY269" s="28"/>
      <c r="CZ269" s="28"/>
      <c r="DA269" s="28"/>
      <c r="DB269" s="28"/>
      <c r="DC269" s="28"/>
      <c r="DD269" s="28"/>
      <c r="DE269" s="28"/>
      <c r="DF269" s="28"/>
      <c r="DG269" s="28"/>
      <c r="DH269" s="28"/>
      <c r="DI269" s="28"/>
      <c r="DJ269" s="28"/>
      <c r="DK269" s="28"/>
      <c r="DL269" s="28"/>
      <c r="DM269" s="28"/>
      <c r="DN269" s="28"/>
      <c r="DO269" s="28"/>
      <c r="DP269" s="28"/>
      <c r="DQ269" s="28"/>
      <c r="DR269" s="28"/>
      <c r="DS269" s="28"/>
      <c r="DT269" s="28"/>
      <c r="DU269" s="28"/>
      <c r="DV269" s="28"/>
      <c r="DW269" s="28"/>
      <c r="DX269" s="28"/>
      <c r="DY269" s="28"/>
      <c r="DZ269" s="28"/>
      <c r="EA269" s="28"/>
      <c r="EB269" s="28"/>
      <c r="EC269" s="28"/>
      <c r="ED269" s="28"/>
      <c r="EE269" s="28"/>
      <c r="EF269" s="28"/>
      <c r="EG269" s="28"/>
      <c r="EH269" s="28"/>
      <c r="EI269" s="28"/>
      <c r="EJ269" s="28"/>
      <c r="EK269" s="28"/>
      <c r="EL269" s="28"/>
      <c r="EM269" s="28"/>
      <c r="EN269" s="28"/>
      <c r="EO269" s="28"/>
      <c r="EP269" s="28"/>
      <c r="EQ269" s="28"/>
      <c r="ER269" s="28"/>
      <c r="ES269" s="28"/>
      <c r="ET269" s="28"/>
      <c r="EU269" s="28"/>
      <c r="EV269" s="28"/>
      <c r="EW269" s="28"/>
      <c r="EX269" s="28"/>
      <c r="EY269" s="28"/>
      <c r="EZ269" s="28"/>
      <c r="FA269" s="28"/>
      <c r="FB269" s="28"/>
      <c r="FC269" s="28"/>
      <c r="FD269" s="28"/>
      <c r="FE269" s="28"/>
      <c r="FF269" s="28"/>
      <c r="FG269" s="28"/>
      <c r="FH269" s="28"/>
      <c r="FI269" s="28"/>
      <c r="FJ269" s="28"/>
      <c r="FK269" s="28"/>
      <c r="FL269" s="28"/>
      <c r="FM269" s="28"/>
      <c r="FN269" s="28"/>
      <c r="FO269" s="28"/>
      <c r="FP269" s="28"/>
      <c r="FQ269" s="28"/>
      <c r="FR269" s="28"/>
      <c r="FS269" s="28"/>
      <c r="FT269" s="28"/>
      <c r="FU269" s="28"/>
      <c r="FV269" s="28"/>
      <c r="FW269" s="28"/>
      <c r="FX269" s="28"/>
      <c r="FY269" s="28"/>
      <c r="FZ269" s="28"/>
      <c r="GA269" s="28"/>
      <c r="GB269" s="28"/>
      <c r="GC269" s="28"/>
      <c r="GD269" s="28"/>
      <c r="GE269" s="28"/>
      <c r="GF269" s="28"/>
      <c r="GG269" s="28"/>
      <c r="GH269" s="28"/>
      <c r="GI269" s="28"/>
      <c r="GJ269" s="28"/>
      <c r="GK269" s="28"/>
      <c r="GL269" s="28"/>
      <c r="GM269" s="28"/>
      <c r="GN269" s="28"/>
      <c r="GO269" s="28"/>
      <c r="GP269" s="28"/>
      <c r="GQ269" s="28"/>
      <c r="GR269" s="28"/>
      <c r="GS269" s="28"/>
      <c r="GT269" s="28"/>
      <c r="GU269" s="28"/>
      <c r="GV269" s="28"/>
      <c r="GW269" s="28"/>
      <c r="GX269" s="28"/>
      <c r="GY269" s="28"/>
      <c r="GZ269" s="28"/>
      <c r="HA269" s="28"/>
      <c r="HB269" s="28"/>
      <c r="HC269" s="28"/>
      <c r="HD269" s="28"/>
      <c r="HE269" s="28"/>
      <c r="HF269" s="28"/>
      <c r="HG269" s="28"/>
      <c r="HH269" s="28"/>
      <c r="HI269" s="28"/>
      <c r="HJ269" s="28"/>
      <c r="HK269" s="28"/>
      <c r="HL269" s="28"/>
    </row>
    <row r="270" spans="1:220" ht="15" customHeight="1">
      <c r="A270" s="31">
        <v>5</v>
      </c>
      <c r="B270" s="105" t="str">
        <f>VLOOKUP(Ruimtestaat[[#This Row],[Code]],Locaties[[Code]:[Locatie]],2,FALSE)</f>
        <v>IKC Remigius</v>
      </c>
      <c r="C270" s="105" t="str">
        <f>VLOOKUP(Ruimtestaat[[#This Row],[Code]],Locaties[[#All],[Code]:[Adres]],4,FALSE)</f>
        <v>Liemersplein 1</v>
      </c>
      <c r="D270" s="105" t="str">
        <f>VLOOKUP(Ruimtestaat[[#This Row],[Code]],Locaties[[#All],[Code]:[Postcode]],5,FALSE)</f>
        <v xml:space="preserve">6921 HN </v>
      </c>
      <c r="E270" s="105" t="str">
        <f>VLOOKUP(Ruimtestaat[[#This Row],[Code]],Locaties[#All],6,FALSE)</f>
        <v>Duiven</v>
      </c>
      <c r="F270" s="113"/>
      <c r="G270" s="31" t="s">
        <v>1826</v>
      </c>
      <c r="H270" s="31" t="s">
        <v>1886</v>
      </c>
      <c r="I270" s="113" t="s">
        <v>1659</v>
      </c>
      <c r="J270" s="31">
        <v>6</v>
      </c>
      <c r="K270" s="113" t="str">
        <f>VLOOKUP(Ruimtestaat[[#This Row],[Ruimte code]],Ruimtegroepen[[#All],[Code]:[Ruimte omschrijving]],2,FALSE)</f>
        <v>Gangen/hallen</v>
      </c>
      <c r="L270" s="73" t="s">
        <v>102</v>
      </c>
      <c r="M270" s="273" t="s">
        <v>120</v>
      </c>
      <c r="N270" s="106">
        <v>5.3</v>
      </c>
      <c r="O270" s="112"/>
      <c r="P270" s="73"/>
      <c r="Q270" s="107" t="str">
        <f>VLOOKUP(Ruimtestaat[[#This Row],[Ruimte code]],Ruimtegroepen[],4,FALSE)</f>
        <v>Ve</v>
      </c>
      <c r="R270" s="73">
        <v>40</v>
      </c>
      <c r="S270" s="73" t="s">
        <v>2</v>
      </c>
      <c r="T270" s="73">
        <f>IF(R270&gt;0,IF(RIGHT(Ruimtestaat[[#This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0" s="73">
        <f>IF(T270&gt;0,VLOOKUP($J270,Ruimtegroepen[],3,FALSE)*VLOOKUP($L270,Vloersoorten[],3,FALSE)*VLOOKUP($S270,Frequenties[],3,FALSE)*VLOOKUP($A270,Locaties[],3,FALSE),0)</f>
        <v>0</v>
      </c>
      <c r="V270" s="73">
        <f>Ruimtestaat[[#This Row],[Uitvoeringen werkdagen]]*Ruimtestaat[[#This Row],[Oppervlak (netto)]]</f>
        <v>1060</v>
      </c>
      <c r="W270" s="108">
        <f>IF(U270&gt;0,Ruimtestaat[[#This Row],[Prest. (m2 /jaar) werkdagen]]/Ruimtestaat[[#This Row],[Norm (m2/uur) werkdagen]],0)</f>
        <v>0</v>
      </c>
      <c r="X270" s="109">
        <f>Ruimtestaat[[#This Row],[uren / jaar werkdagen]]*Tariefsopbouw!$E$35</f>
        <v>0</v>
      </c>
      <c r="Y270" s="73"/>
      <c r="Z270" s="73">
        <f>IF(Ruimtestaat[[#This Row],[Frequentie weekend]]&gt;0,VALUE(LEFT(Y270,1))*R270,0)</f>
        <v>0</v>
      </c>
      <c r="AA270" s="72">
        <f>IF($Z270&gt;0,VLOOKUP($J270,Ruimtegroepen[],3,FALSE)*VLOOKUP($L270,Vloersoorten[],3,FALSE)*VLOOKUP($Y270,Frequenties[],3,FALSE)*VLOOKUP(Ruimtestaat[[#This Row],[Code]],Locaties[],3,FALSE),0)</f>
        <v>0</v>
      </c>
      <c r="AB270" s="72">
        <f>Ruimtestaat[[#This Row],[Uitvoeringen weekend]]*Ruimtestaat[[#This Row],[Oppervlak (netto)]]</f>
        <v>0</v>
      </c>
      <c r="AC270" s="72">
        <f>IF(AA270&gt;0,Ruimtestaat[[#This Row],[Prest. (m2 /jaar) weekend]]/Ruimtestaat[[#This Row],[Norm (m2/uur) weekend]],0)</f>
        <v>0</v>
      </c>
      <c r="AD270" s="109">
        <f>Ruimtestaat[[#This Row],[uren / jaar weekend]]*Tariefsopbouw!$D$40</f>
        <v>0</v>
      </c>
      <c r="AE270" s="108">
        <f>Ruimtestaat[[#This Row],[Prest. (m2 /jaar) weekend]]+Ruimtestaat[[#This Row],[Prest. (m2 /jaar) werkdagen]]</f>
        <v>1060</v>
      </c>
      <c r="AF270" s="108">
        <f>Ruimtestaat[[#This Row],[uren / jaar weekend]]+Ruimtestaat[[#This Row],[uren / jaar werkdagen]]</f>
        <v>0</v>
      </c>
      <c r="AG270" s="103">
        <f>Ruimtestaat[[#This Row],[kosten / jaar weekend]]+Ruimtestaat[[#This Row],[kosten / jaar werkdagen]]</f>
        <v>0</v>
      </c>
      <c r="AH270" s="103"/>
      <c r="AI270" s="110" t="str">
        <f>IF(Ruimtestaat[[#This Row],[Frequentie werkdagen]]="","",_xlfn.CONCAT(Ruimtestaat[[#This Row],[Ruimte code]],"-",Ruimtestaat[[#This Row],[Frequentie werkdagen]]," ",Ruimtestaat[[#This Row],[Vloer code]]))</f>
        <v>6-5w P</v>
      </c>
      <c r="AJ270" s="114" t="str">
        <f>_xlfn.IFNA(VLOOKUP($AI270,Programma!$F$3:$G$1101,2,0),"")</f>
        <v>_</v>
      </c>
      <c r="AK270" s="114" t="str">
        <f>_xlfn.IFNA(VLOOKUP($AI270,Programma!$F$3:$H$1101,3,0),"")</f>
        <v>_</v>
      </c>
      <c r="AL270" s="114" t="str">
        <f>_xlfn.IFNA(VLOOKUP($AI270,Programma!$F$3:$I$1101,4,0),"")</f>
        <v>5w</v>
      </c>
      <c r="AM270" s="114" t="str">
        <f>_xlfn.IFNA(VLOOKUP($AI270,Programma!$F$3:$J$1101,5,0),"")</f>
        <v>_</v>
      </c>
      <c r="AN270" s="114" t="str">
        <f>_xlfn.IFNA(VLOOKUP($AI270,Programma!$F$3:$K$1101,6,0),"")</f>
        <v>5w</v>
      </c>
      <c r="AO270" s="114" t="str">
        <f>_xlfn.IFNA(VLOOKUP($AI270,Programma!$F$3:$L$1101,7,0),"")</f>
        <v>_</v>
      </c>
      <c r="AP270" s="114" t="str">
        <f>_xlfn.IFNA(VLOOKUP($AI270,Programma!$F$3:$M$1101,8,0),"")</f>
        <v>_</v>
      </c>
      <c r="AQ270" s="114" t="str">
        <f>_xlfn.IFNA(VLOOKUP($AI270,Programma!$F$3:$N$1101,9,0),"")</f>
        <v>_</v>
      </c>
      <c r="AR270" s="114" t="str">
        <f>_xlfn.IFNA(VLOOKUP($AI270,Programma!$F$3:$O$1101,10,0),"")</f>
        <v>5w</v>
      </c>
      <c r="AS270" s="114" t="str">
        <f>_xlfn.IFNA(VLOOKUP($AI270,Programma!$F$3:$P$1101,11,0),"")</f>
        <v>5w</v>
      </c>
      <c r="AT270" s="114" t="str">
        <f>_xlfn.IFNA(VLOOKUP($AI270,Programma!$F$3:$Q$1101,12,0),"")</f>
        <v>1w</v>
      </c>
      <c r="AU270" s="114" t="str">
        <f>_xlfn.IFNA(VLOOKUP($AI270,Programma!$F$3:$R$1101,13,0),"")</f>
        <v>1w</v>
      </c>
      <c r="AV270" s="114" t="str">
        <f>_xlfn.IFNA(VLOOKUP($AI270,Programma!$F$3:$S$1101,14,0),"")</f>
        <v>1m</v>
      </c>
      <c r="AW270" s="114" t="str">
        <f>_xlfn.IFNA(VLOOKUP($AI270,Programma!$F$3:$T$1101,15,0),"")</f>
        <v>2j</v>
      </c>
      <c r="AX270" s="114" t="str">
        <f>_xlfn.IFNA(VLOOKUP($AI270,Programma!$F$3:$U$1101,16,0),"")</f>
        <v>1j</v>
      </c>
      <c r="AY270" s="114" t="str">
        <f>_xlfn.IFNA(VLOOKUP($AI270,Programma!$F$3:$V$1101,17,0),"")</f>
        <v>_</v>
      </c>
      <c r="AZ270" s="114" t="str">
        <f>_xlfn.IFNA(VLOOKUP($AI270,Programma!$F$3:$W$1101,18,0),"")</f>
        <v>_</v>
      </c>
      <c r="BA270" s="114" t="str">
        <f>_xlfn.IFNA(VLOOKUP($AI270,Programma!$F$3:$X$1101,19,0),"")</f>
        <v>_</v>
      </c>
      <c r="BB270" s="114" t="str">
        <f>_xlfn.IFNA(VLOOKUP($AI270,Programma!$F$3:$Y$1101,20,0),"")</f>
        <v>_</v>
      </c>
      <c r="BC270" s="111"/>
      <c r="BD270" s="110" t="str">
        <f>IF(Ruimtestaat[[#This Row],[Frequentie weekend]]="","",_xlfn.CONCAT(Ruimtestaat[[#This Row],[Ruimte code]],"-",Ruimtestaat[[#This Row],[Frequentie weekend]]," ",Ruimtestaat[[#This Row],[Vloer code]]))</f>
        <v/>
      </c>
      <c r="BE270" s="114" t="str">
        <f>_xlfn.IFNA(VLOOKUP($BD270,Programma!$F$3:$G$1101,2,0),"")</f>
        <v/>
      </c>
      <c r="BF270" s="114" t="str">
        <f>_xlfn.IFNA(VLOOKUP($BD270,Programma!$F$3:$H$1101,3,0),"")</f>
        <v/>
      </c>
      <c r="BG270" s="114" t="str">
        <f>_xlfn.IFNA(VLOOKUP($BD270,Programma!$F$3:$I$1101,4,0),"")</f>
        <v/>
      </c>
      <c r="BH270" s="114" t="str">
        <f>_xlfn.IFNA(VLOOKUP($BD270,Programma!$F$3:$J$1101,5,0),"")</f>
        <v/>
      </c>
      <c r="BI270" s="114" t="str">
        <f>_xlfn.IFNA(VLOOKUP($BD270,Programma!$F$3:$K$1101,6,0),"")</f>
        <v/>
      </c>
      <c r="BJ270" s="114" t="str">
        <f>_xlfn.IFNA(VLOOKUP($BD270,Programma!$F$3:$L$1101,7,0),"")</f>
        <v/>
      </c>
      <c r="BK270" s="114" t="str">
        <f>_xlfn.IFNA(VLOOKUP($BD270,Programma!$F$3:$M$1101,8,0),"")</f>
        <v/>
      </c>
      <c r="BL270" s="114" t="str">
        <f>_xlfn.IFNA(VLOOKUP($BD270,Programma!$F$3:$N$1101,9,0),"")</f>
        <v/>
      </c>
      <c r="BM270" s="114" t="str">
        <f>_xlfn.IFNA(VLOOKUP($BD270,Programma!$F$3:$O$1101,10,0),"")</f>
        <v/>
      </c>
      <c r="BN270" s="114" t="str">
        <f>_xlfn.IFNA(VLOOKUP($BD270,Programma!$F$3:$P$1101,11,0),"")</f>
        <v/>
      </c>
      <c r="BO270" s="114" t="str">
        <f>_xlfn.IFNA(VLOOKUP($BD270,Programma!$F$3:$Q$1101,12,0),"")</f>
        <v/>
      </c>
      <c r="BP270" s="114" t="str">
        <f>_xlfn.IFNA(VLOOKUP($BD270,Programma!$F$3:$R$1101,13,0),"")</f>
        <v/>
      </c>
      <c r="BQ270" s="114" t="str">
        <f>_xlfn.IFNA(VLOOKUP($BD270,Programma!$F$3:$S$1101,14,0),"")</f>
        <v/>
      </c>
      <c r="BR270" s="114" t="str">
        <f>_xlfn.IFNA(VLOOKUP($BD270,Programma!$F$3:$T$1101,15,0),"")</f>
        <v/>
      </c>
      <c r="BS270" s="114" t="str">
        <f>_xlfn.IFNA(VLOOKUP($BD270,Programma!$F$3:$U$1101,16,0),"")</f>
        <v/>
      </c>
      <c r="BT270" s="114" t="str">
        <f>_xlfn.IFNA(VLOOKUP($BD270,Programma!$F$3:$V$1101,17,0),"")</f>
        <v/>
      </c>
      <c r="BU270" s="114" t="str">
        <f>_xlfn.IFNA(VLOOKUP($BD270,Programma!$F$3:$W$1101,18,0),"")</f>
        <v/>
      </c>
      <c r="BV270" s="114" t="str">
        <f>_xlfn.IFNA(VLOOKUP($BD270,Programma!$F$3:$X$1101,19,0),"")</f>
        <v/>
      </c>
      <c r="BW270" s="114" t="str">
        <f>_xlfn.IFNA(VLOOKUP($BD270,Programma!$F$3:$Y$1101,20,0),"")</f>
        <v/>
      </c>
      <c r="BX270" s="28"/>
      <c r="BY270" s="28"/>
      <c r="BZ270" s="28"/>
      <c r="CA270" s="28"/>
      <c r="CB270" s="28"/>
      <c r="CC270" s="28"/>
      <c r="CD270" s="28"/>
      <c r="CE270" s="28"/>
      <c r="CF270" s="28"/>
      <c r="CG270" s="28"/>
      <c r="CH270" s="28"/>
      <c r="CI270" s="28"/>
      <c r="CJ270" s="28"/>
      <c r="CK270" s="28"/>
      <c r="CL270" s="28"/>
      <c r="CM270" s="28"/>
      <c r="CN270" s="28"/>
      <c r="CO270" s="28"/>
      <c r="CP270" s="28"/>
      <c r="CQ270" s="28"/>
      <c r="CR270" s="28"/>
      <c r="CS270" s="28"/>
      <c r="CT270" s="28"/>
      <c r="CU270" s="28"/>
      <c r="CV270" s="28"/>
      <c r="CW270" s="28"/>
      <c r="CX270" s="28"/>
      <c r="CY270" s="28"/>
      <c r="CZ270" s="28"/>
      <c r="DA270" s="28"/>
      <c r="DB270" s="28"/>
      <c r="DC270" s="28"/>
      <c r="DD270" s="28"/>
      <c r="DE270" s="28"/>
      <c r="DF270" s="28"/>
      <c r="DG270" s="28"/>
      <c r="DH270" s="28"/>
      <c r="DI270" s="28"/>
      <c r="DJ270" s="28"/>
      <c r="DK270" s="28"/>
      <c r="DL270" s="28"/>
      <c r="DM270" s="28"/>
      <c r="DN270" s="28"/>
      <c r="DO270" s="28"/>
      <c r="DP270" s="28"/>
      <c r="DQ270" s="28"/>
      <c r="DR270" s="28"/>
      <c r="DS270" s="28"/>
      <c r="DT270" s="28"/>
      <c r="DU270" s="28"/>
      <c r="DV270" s="28"/>
      <c r="DW270" s="28"/>
      <c r="DX270" s="28"/>
      <c r="DY270" s="28"/>
      <c r="DZ270" s="28"/>
      <c r="EA270" s="28"/>
      <c r="EB270" s="28"/>
      <c r="EC270" s="28"/>
      <c r="ED270" s="28"/>
      <c r="EE270" s="28"/>
      <c r="EF270" s="28"/>
      <c r="EG270" s="28"/>
      <c r="EH270" s="28"/>
      <c r="EI270" s="28"/>
      <c r="EJ270" s="28"/>
      <c r="EK270" s="28"/>
      <c r="EL270" s="28"/>
      <c r="EM270" s="28"/>
      <c r="EN270" s="28"/>
      <c r="EO270" s="28"/>
      <c r="EP270" s="28"/>
      <c r="EQ270" s="28"/>
      <c r="ER270" s="28"/>
      <c r="ES270" s="28"/>
      <c r="ET270" s="28"/>
      <c r="EU270" s="28"/>
      <c r="EV270" s="28"/>
      <c r="EW270" s="28"/>
      <c r="EX270" s="28"/>
      <c r="EY270" s="28"/>
      <c r="EZ270" s="28"/>
      <c r="FA270" s="28"/>
      <c r="FB270" s="28"/>
      <c r="FC270" s="28"/>
      <c r="FD270" s="28"/>
      <c r="FE270" s="28"/>
      <c r="FF270" s="28"/>
      <c r="FG270" s="28"/>
      <c r="FH270" s="28"/>
      <c r="FI270" s="28"/>
      <c r="FJ270" s="28"/>
      <c r="FK270" s="28"/>
      <c r="FL270" s="28"/>
      <c r="FM270" s="28"/>
      <c r="FN270" s="28"/>
      <c r="FO270" s="28"/>
      <c r="FP270" s="28"/>
      <c r="FQ270" s="28"/>
      <c r="FR270" s="28"/>
      <c r="FS270" s="28"/>
      <c r="FT270" s="28"/>
      <c r="FU270" s="28"/>
      <c r="FV270" s="28"/>
      <c r="FW270" s="28"/>
      <c r="FX270" s="28"/>
      <c r="FY270" s="28"/>
      <c r="FZ270" s="28"/>
      <c r="GA270" s="28"/>
      <c r="GB270" s="28"/>
      <c r="GC270" s="28"/>
      <c r="GD270" s="28"/>
      <c r="GE270" s="28"/>
      <c r="GF270" s="28"/>
      <c r="GG270" s="28"/>
      <c r="GH270" s="28"/>
      <c r="GI270" s="28"/>
      <c r="GJ270" s="28"/>
      <c r="GK270" s="28"/>
      <c r="GL270" s="28"/>
      <c r="GM270" s="28"/>
      <c r="GN270" s="28"/>
      <c r="GO270" s="28"/>
      <c r="GP270" s="28"/>
      <c r="GQ270" s="28"/>
      <c r="GR270" s="28"/>
      <c r="GS270" s="28"/>
      <c r="GT270" s="28"/>
      <c r="GU270" s="28"/>
      <c r="GV270" s="28"/>
      <c r="GW270" s="28"/>
      <c r="GX270" s="28"/>
      <c r="GY270" s="28"/>
      <c r="GZ270" s="28"/>
      <c r="HA270" s="28"/>
      <c r="HB270" s="28"/>
      <c r="HC270" s="28"/>
      <c r="HD270" s="28"/>
      <c r="HE270" s="28"/>
      <c r="HF270" s="28"/>
      <c r="HG270" s="28"/>
      <c r="HH270" s="28"/>
      <c r="HI270" s="28"/>
      <c r="HJ270" s="28"/>
      <c r="HK270" s="28"/>
      <c r="HL270" s="28"/>
    </row>
    <row r="271" spans="1:220" ht="15" customHeight="1">
      <c r="A271" s="31">
        <v>5</v>
      </c>
      <c r="B271" s="105" t="str">
        <f>VLOOKUP(Ruimtestaat[[#This Row],[Code]],Locaties[[Code]:[Locatie]],2,FALSE)</f>
        <v>IKC Remigius</v>
      </c>
      <c r="C271" s="105" t="str">
        <f>VLOOKUP(Ruimtestaat[[#This Row],[Code]],Locaties[[#All],[Code]:[Adres]],4,FALSE)</f>
        <v>Liemersplein 1</v>
      </c>
      <c r="D271" s="105" t="str">
        <f>VLOOKUP(Ruimtestaat[[#This Row],[Code]],Locaties[[#All],[Code]:[Postcode]],5,FALSE)</f>
        <v xml:space="preserve">6921 HN </v>
      </c>
      <c r="E271" s="105" t="str">
        <f>VLOOKUP(Ruimtestaat[[#This Row],[Code]],Locaties[#All],6,FALSE)</f>
        <v>Duiven</v>
      </c>
      <c r="F271" s="113"/>
      <c r="G271" s="31" t="s">
        <v>1826</v>
      </c>
      <c r="H271" s="31" t="s">
        <v>1887</v>
      </c>
      <c r="I271" s="113" t="s">
        <v>1863</v>
      </c>
      <c r="J271" s="31">
        <v>20</v>
      </c>
      <c r="K271" s="113" t="str">
        <f>VLOOKUP(Ruimtestaat[[#This Row],[Ruimte code]],Ruimtegroepen[[#All],[Code]:[Ruimte omschrijving]],2,FALSE)</f>
        <v>Niet in Onderhoud</v>
      </c>
      <c r="L271" s="73"/>
      <c r="M271" s="273"/>
      <c r="N271" s="106"/>
      <c r="O271" s="112">
        <v>2.2000000000000002</v>
      </c>
      <c r="P271" s="112"/>
      <c r="Q271" s="107">
        <f>VLOOKUP(Ruimtestaat[[#This Row],[Ruimte code]],Ruimtegroepen[],4,FALSE)</f>
        <v>0</v>
      </c>
      <c r="R271" s="73"/>
      <c r="S271" s="73"/>
      <c r="T271" s="73">
        <f>IF(R271&gt;0,IF(RIGHT(Ruimtestaat[[#This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1" s="73">
        <f>IF(T271&gt;0,VLOOKUP($J271,Ruimtegroepen[],3,FALSE)*VLOOKUP($L271,Vloersoorten[],3,FALSE)*VLOOKUP($S271,Frequenties[],3,FALSE)*VLOOKUP($A271,Locaties[],3,FALSE),0)</f>
        <v>0</v>
      </c>
      <c r="V271" s="73">
        <f>Ruimtestaat[[#This Row],[Uitvoeringen werkdagen]]*Ruimtestaat[[#This Row],[Oppervlak (netto)]]</f>
        <v>0</v>
      </c>
      <c r="W271" s="108">
        <f>IF(U271&gt;0,Ruimtestaat[[#This Row],[Prest. (m2 /jaar) werkdagen]]/Ruimtestaat[[#This Row],[Norm (m2/uur) werkdagen]],0)</f>
        <v>0</v>
      </c>
      <c r="X271" s="109">
        <f>Ruimtestaat[[#This Row],[uren / jaar werkdagen]]*Tariefsopbouw!$E$35</f>
        <v>0</v>
      </c>
      <c r="Y271" s="73"/>
      <c r="Z271" s="73">
        <f>IF(Ruimtestaat[[#This Row],[Frequentie weekend]]&gt;0,VALUE(LEFT(Y271,1))*R271,0)</f>
        <v>0</v>
      </c>
      <c r="AA271" s="72">
        <f>IF($Z271&gt;0,VLOOKUP($J271,Ruimtegroepen[],3,FALSE)*VLOOKUP($L271,Vloersoorten[],3,FALSE)*VLOOKUP($Y271,Frequenties[],3,FALSE)*VLOOKUP(Ruimtestaat[[#This Row],[Code]],Locaties[],3,FALSE),0)</f>
        <v>0</v>
      </c>
      <c r="AB271" s="72">
        <f>Ruimtestaat[[#This Row],[Uitvoeringen weekend]]*Ruimtestaat[[#This Row],[Oppervlak (netto)]]</f>
        <v>0</v>
      </c>
      <c r="AC271" s="72">
        <f>IF(AA271&gt;0,Ruimtestaat[[#This Row],[Prest. (m2 /jaar) weekend]]/Ruimtestaat[[#This Row],[Norm (m2/uur) weekend]],0)</f>
        <v>0</v>
      </c>
      <c r="AD271" s="109">
        <f>Ruimtestaat[[#This Row],[uren / jaar weekend]]*Tariefsopbouw!$D$40</f>
        <v>0</v>
      </c>
      <c r="AE271" s="108">
        <f>Ruimtestaat[[#This Row],[Prest. (m2 /jaar) weekend]]+Ruimtestaat[[#This Row],[Prest. (m2 /jaar) werkdagen]]</f>
        <v>0</v>
      </c>
      <c r="AF271" s="108">
        <f>Ruimtestaat[[#This Row],[uren / jaar weekend]]+Ruimtestaat[[#This Row],[uren / jaar werkdagen]]</f>
        <v>0</v>
      </c>
      <c r="AG271" s="103">
        <f>Ruimtestaat[[#This Row],[kosten / jaar weekend]]+Ruimtestaat[[#This Row],[kosten / jaar werkdagen]]</f>
        <v>0</v>
      </c>
      <c r="AH271" s="103"/>
      <c r="AI271" s="110" t="str">
        <f>IF(Ruimtestaat[[#This Row],[Frequentie werkdagen]]="","",_xlfn.CONCAT(Ruimtestaat[[#This Row],[Ruimte code]],"-",Ruimtestaat[[#This Row],[Frequentie werkdagen]]," ",Ruimtestaat[[#This Row],[Vloer code]]))</f>
        <v/>
      </c>
      <c r="AJ271" s="114" t="str">
        <f>_xlfn.IFNA(VLOOKUP($AI271,Programma!$F$3:$G$1101,2,0),"")</f>
        <v/>
      </c>
      <c r="AK271" s="114" t="str">
        <f>_xlfn.IFNA(VLOOKUP($AI271,Programma!$F$3:$H$1101,3,0),"")</f>
        <v/>
      </c>
      <c r="AL271" s="114" t="str">
        <f>_xlfn.IFNA(VLOOKUP($AI271,Programma!$F$3:$I$1101,4,0),"")</f>
        <v/>
      </c>
      <c r="AM271" s="114" t="str">
        <f>_xlfn.IFNA(VLOOKUP($AI271,Programma!$F$3:$J$1101,5,0),"")</f>
        <v/>
      </c>
      <c r="AN271" s="114" t="str">
        <f>_xlfn.IFNA(VLOOKUP($AI271,Programma!$F$3:$K$1101,6,0),"")</f>
        <v/>
      </c>
      <c r="AO271" s="114" t="str">
        <f>_xlfn.IFNA(VLOOKUP($AI271,Programma!$F$3:$L$1101,7,0),"")</f>
        <v/>
      </c>
      <c r="AP271" s="114" t="str">
        <f>_xlfn.IFNA(VLOOKUP($AI271,Programma!$F$3:$M$1101,8,0),"")</f>
        <v/>
      </c>
      <c r="AQ271" s="114" t="str">
        <f>_xlfn.IFNA(VLOOKUP($AI271,Programma!$F$3:$N$1101,9,0),"")</f>
        <v/>
      </c>
      <c r="AR271" s="114" t="str">
        <f>_xlfn.IFNA(VLOOKUP($AI271,Programma!$F$3:$O$1101,10,0),"")</f>
        <v/>
      </c>
      <c r="AS271" s="114" t="str">
        <f>_xlfn.IFNA(VLOOKUP($AI271,Programma!$F$3:$P$1101,11,0),"")</f>
        <v/>
      </c>
      <c r="AT271" s="114" t="str">
        <f>_xlfn.IFNA(VLOOKUP($AI271,Programma!$F$3:$Q$1101,12,0),"")</f>
        <v/>
      </c>
      <c r="AU271" s="114" t="str">
        <f>_xlfn.IFNA(VLOOKUP($AI271,Programma!$F$3:$R$1101,13,0),"")</f>
        <v/>
      </c>
      <c r="AV271" s="114" t="str">
        <f>_xlfn.IFNA(VLOOKUP($AI271,Programma!$F$3:$S$1101,14,0),"")</f>
        <v/>
      </c>
      <c r="AW271" s="114" t="str">
        <f>_xlfn.IFNA(VLOOKUP($AI271,Programma!$F$3:$T$1101,15,0),"")</f>
        <v/>
      </c>
      <c r="AX271" s="114" t="str">
        <f>_xlfn.IFNA(VLOOKUP($AI271,Programma!$F$3:$U$1101,16,0),"")</f>
        <v/>
      </c>
      <c r="AY271" s="114" t="str">
        <f>_xlfn.IFNA(VLOOKUP($AI271,Programma!$F$3:$V$1101,17,0),"")</f>
        <v/>
      </c>
      <c r="AZ271" s="114" t="str">
        <f>_xlfn.IFNA(VLOOKUP($AI271,Programma!$F$3:$W$1101,18,0),"")</f>
        <v/>
      </c>
      <c r="BA271" s="114" t="str">
        <f>_xlfn.IFNA(VLOOKUP($AI271,Programma!$F$3:$X$1101,19,0),"")</f>
        <v/>
      </c>
      <c r="BB271" s="114" t="str">
        <f>_xlfn.IFNA(VLOOKUP($AI271,Programma!$F$3:$Y$1101,20,0),"")</f>
        <v/>
      </c>
      <c r="BC271" s="111"/>
      <c r="BD271" s="110" t="str">
        <f>IF(Ruimtestaat[[#This Row],[Frequentie weekend]]="","",_xlfn.CONCAT(Ruimtestaat[[#This Row],[Ruimte code]],"-",Ruimtestaat[[#This Row],[Frequentie weekend]]," ",Ruimtestaat[[#This Row],[Vloer code]]))</f>
        <v/>
      </c>
      <c r="BE271" s="114" t="str">
        <f>_xlfn.IFNA(VLOOKUP($BD271,Programma!$F$3:$G$1101,2,0),"")</f>
        <v/>
      </c>
      <c r="BF271" s="114" t="str">
        <f>_xlfn.IFNA(VLOOKUP($BD271,Programma!$F$3:$H$1101,3,0),"")</f>
        <v/>
      </c>
      <c r="BG271" s="114" t="str">
        <f>_xlfn.IFNA(VLOOKUP($BD271,Programma!$F$3:$I$1101,4,0),"")</f>
        <v/>
      </c>
      <c r="BH271" s="114" t="str">
        <f>_xlfn.IFNA(VLOOKUP($BD271,Programma!$F$3:$J$1101,5,0),"")</f>
        <v/>
      </c>
      <c r="BI271" s="114" t="str">
        <f>_xlfn.IFNA(VLOOKUP($BD271,Programma!$F$3:$K$1101,6,0),"")</f>
        <v/>
      </c>
      <c r="BJ271" s="114" t="str">
        <f>_xlfn.IFNA(VLOOKUP($BD271,Programma!$F$3:$L$1101,7,0),"")</f>
        <v/>
      </c>
      <c r="BK271" s="114" t="str">
        <f>_xlfn.IFNA(VLOOKUP($BD271,Programma!$F$3:$M$1101,8,0),"")</f>
        <v/>
      </c>
      <c r="BL271" s="114" t="str">
        <f>_xlfn.IFNA(VLOOKUP($BD271,Programma!$F$3:$N$1101,9,0),"")</f>
        <v/>
      </c>
      <c r="BM271" s="114" t="str">
        <f>_xlfn.IFNA(VLOOKUP($BD271,Programma!$F$3:$O$1101,10,0),"")</f>
        <v/>
      </c>
      <c r="BN271" s="114" t="str">
        <f>_xlfn.IFNA(VLOOKUP($BD271,Programma!$F$3:$P$1101,11,0),"")</f>
        <v/>
      </c>
      <c r="BO271" s="114" t="str">
        <f>_xlfn.IFNA(VLOOKUP($BD271,Programma!$F$3:$Q$1101,12,0),"")</f>
        <v/>
      </c>
      <c r="BP271" s="114" t="str">
        <f>_xlfn.IFNA(VLOOKUP($BD271,Programma!$F$3:$R$1101,13,0),"")</f>
        <v/>
      </c>
      <c r="BQ271" s="114" t="str">
        <f>_xlfn.IFNA(VLOOKUP($BD271,Programma!$F$3:$S$1101,14,0),"")</f>
        <v/>
      </c>
      <c r="BR271" s="114" t="str">
        <f>_xlfn.IFNA(VLOOKUP($BD271,Programma!$F$3:$T$1101,15,0),"")</f>
        <v/>
      </c>
      <c r="BS271" s="114" t="str">
        <f>_xlfn.IFNA(VLOOKUP($BD271,Programma!$F$3:$U$1101,16,0),"")</f>
        <v/>
      </c>
      <c r="BT271" s="114" t="str">
        <f>_xlfn.IFNA(VLOOKUP($BD271,Programma!$F$3:$V$1101,17,0),"")</f>
        <v/>
      </c>
      <c r="BU271" s="114" t="str">
        <f>_xlfn.IFNA(VLOOKUP($BD271,Programma!$F$3:$W$1101,18,0),"")</f>
        <v/>
      </c>
      <c r="BV271" s="114" t="str">
        <f>_xlfn.IFNA(VLOOKUP($BD271,Programma!$F$3:$X$1101,19,0),"")</f>
        <v/>
      </c>
      <c r="BW271" s="114" t="str">
        <f>_xlfn.IFNA(VLOOKUP($BD271,Programma!$F$3:$Y$1101,20,0),"")</f>
        <v/>
      </c>
      <c r="BX271" s="28"/>
      <c r="BY271" s="28"/>
      <c r="BZ271" s="28"/>
      <c r="CA271" s="28"/>
      <c r="CB271" s="28"/>
      <c r="CC271" s="28"/>
      <c r="CD271" s="28"/>
      <c r="CE271" s="28"/>
      <c r="CF271" s="28"/>
      <c r="CG271" s="28"/>
      <c r="CH271" s="28"/>
      <c r="CI271" s="28"/>
      <c r="CJ271" s="28"/>
      <c r="CK271" s="28"/>
      <c r="CL271" s="28"/>
      <c r="CM271" s="28"/>
      <c r="CN271" s="28"/>
      <c r="CO271" s="28"/>
      <c r="CP271" s="28"/>
      <c r="CQ271" s="28"/>
      <c r="CR271" s="28"/>
      <c r="CS271" s="28"/>
      <c r="CT271" s="28"/>
      <c r="CU271" s="28"/>
      <c r="CV271" s="28"/>
      <c r="CW271" s="28"/>
      <c r="CX271" s="28"/>
      <c r="CY271" s="28"/>
      <c r="CZ271" s="28"/>
      <c r="DA271" s="28"/>
      <c r="DB271" s="28"/>
      <c r="DC271" s="28"/>
      <c r="DD271" s="28"/>
      <c r="DE271" s="28"/>
      <c r="DF271" s="28"/>
      <c r="DG271" s="28"/>
      <c r="DH271" s="28"/>
      <c r="DI271" s="28"/>
      <c r="DJ271" s="28"/>
      <c r="DK271" s="28"/>
      <c r="DL271" s="28"/>
      <c r="DM271" s="28"/>
      <c r="DN271" s="28"/>
      <c r="DO271" s="28"/>
      <c r="DP271" s="28"/>
      <c r="DQ271" s="28"/>
      <c r="DR271" s="28"/>
      <c r="DS271" s="28"/>
      <c r="DT271" s="28"/>
      <c r="DU271" s="28"/>
      <c r="DV271" s="28"/>
      <c r="DW271" s="28"/>
      <c r="DX271" s="28"/>
      <c r="DY271" s="28"/>
      <c r="DZ271" s="28"/>
      <c r="EA271" s="28"/>
      <c r="EB271" s="28"/>
      <c r="EC271" s="28"/>
      <c r="ED271" s="28"/>
      <c r="EE271" s="28"/>
      <c r="EF271" s="28"/>
      <c r="EG271" s="28"/>
      <c r="EH271" s="28"/>
      <c r="EI271" s="28"/>
      <c r="EJ271" s="28"/>
      <c r="EK271" s="28"/>
      <c r="EL271" s="28"/>
      <c r="EM271" s="28"/>
      <c r="EN271" s="28"/>
      <c r="EO271" s="28"/>
      <c r="EP271" s="28"/>
      <c r="EQ271" s="28"/>
      <c r="ER271" s="28"/>
      <c r="ES271" s="28"/>
      <c r="ET271" s="28"/>
      <c r="EU271" s="28"/>
      <c r="EV271" s="28"/>
      <c r="EW271" s="28"/>
      <c r="EX271" s="28"/>
      <c r="EY271" s="28"/>
      <c r="EZ271" s="28"/>
      <c r="FA271" s="28"/>
      <c r="FB271" s="28"/>
      <c r="FC271" s="28"/>
      <c r="FD271" s="28"/>
      <c r="FE271" s="28"/>
      <c r="FF271" s="28"/>
      <c r="FG271" s="28"/>
      <c r="FH271" s="28"/>
      <c r="FI271" s="28"/>
      <c r="FJ271" s="28"/>
      <c r="FK271" s="28"/>
      <c r="FL271" s="28"/>
      <c r="FM271" s="28"/>
      <c r="FN271" s="28"/>
      <c r="FO271" s="28"/>
      <c r="FP271" s="28"/>
      <c r="FQ271" s="28"/>
      <c r="FR271" s="28"/>
      <c r="FS271" s="28"/>
      <c r="FT271" s="28"/>
      <c r="FU271" s="28"/>
      <c r="FV271" s="28"/>
      <c r="FW271" s="28"/>
      <c r="FX271" s="28"/>
      <c r="FY271" s="28"/>
      <c r="FZ271" s="28"/>
      <c r="GA271" s="28"/>
      <c r="GB271" s="28"/>
      <c r="GC271" s="28"/>
      <c r="GD271" s="28"/>
      <c r="GE271" s="28"/>
      <c r="GF271" s="28"/>
      <c r="GG271" s="28"/>
      <c r="GH271" s="28"/>
      <c r="GI271" s="28"/>
      <c r="GJ271" s="28"/>
      <c r="GK271" s="28"/>
      <c r="GL271" s="28"/>
      <c r="GM271" s="28"/>
      <c r="GN271" s="28"/>
      <c r="GO271" s="28"/>
      <c r="GP271" s="28"/>
      <c r="GQ271" s="28"/>
      <c r="GR271" s="28"/>
      <c r="GS271" s="28"/>
      <c r="GT271" s="28"/>
      <c r="GU271" s="28"/>
      <c r="GV271" s="28"/>
      <c r="GW271" s="28"/>
      <c r="GX271" s="28"/>
      <c r="GY271" s="28"/>
      <c r="GZ271" s="28"/>
      <c r="HA271" s="28"/>
      <c r="HB271" s="28"/>
      <c r="HC271" s="28"/>
      <c r="HD271" s="28"/>
      <c r="HE271" s="28"/>
      <c r="HF271" s="28"/>
      <c r="HG271" s="28"/>
      <c r="HH271" s="28"/>
      <c r="HI271" s="28"/>
      <c r="HJ271" s="28"/>
      <c r="HK271" s="28"/>
      <c r="HL271" s="28"/>
    </row>
    <row r="272" spans="1:220" ht="15" customHeight="1">
      <c r="A272" s="31">
        <v>5</v>
      </c>
      <c r="B272" s="105" t="str">
        <f>VLOOKUP(Ruimtestaat[[#This Row],[Code]],Locaties[[Code]:[Locatie]],2,FALSE)</f>
        <v>IKC Remigius</v>
      </c>
      <c r="C272" s="105" t="str">
        <f>VLOOKUP(Ruimtestaat[[#This Row],[Code]],Locaties[[#All],[Code]:[Adres]],4,FALSE)</f>
        <v>Liemersplein 1</v>
      </c>
      <c r="D272" s="105" t="str">
        <f>VLOOKUP(Ruimtestaat[[#This Row],[Code]],Locaties[[#All],[Code]:[Postcode]],5,FALSE)</f>
        <v xml:space="preserve">6921 HN </v>
      </c>
      <c r="E272" s="105" t="str">
        <f>VLOOKUP(Ruimtestaat[[#This Row],[Code]],Locaties[#All],6,FALSE)</f>
        <v>Duiven</v>
      </c>
      <c r="F272" s="113"/>
      <c r="G272" s="31" t="s">
        <v>1826</v>
      </c>
      <c r="H272" s="31" t="s">
        <v>1888</v>
      </c>
      <c r="I272" s="113" t="s">
        <v>1813</v>
      </c>
      <c r="J272" s="31">
        <v>1</v>
      </c>
      <c r="K272" s="113" t="str">
        <f>VLOOKUP(Ruimtestaat[[#This Row],[Ruimte code]],Ruimtegroepen[[#All],[Code]:[Ruimte omschrijving]],2,FALSE)</f>
        <v>Magazijnen/bergingen</v>
      </c>
      <c r="L272" s="73" t="s">
        <v>102</v>
      </c>
      <c r="M272" s="273" t="s">
        <v>120</v>
      </c>
      <c r="N272" s="106">
        <v>0.7</v>
      </c>
      <c r="O272" s="112"/>
      <c r="P272" s="112"/>
      <c r="Q272" s="107" t="str">
        <f>VLOOKUP(Ruimtestaat[[#This Row],[Ruimte code]],Ruimtegroepen[],4,FALSE)</f>
        <v>Ve</v>
      </c>
      <c r="R272" s="73">
        <v>40</v>
      </c>
      <c r="S272" s="73" t="s">
        <v>16</v>
      </c>
      <c r="T272" s="73">
        <f>IF(R272&gt;0,IF(RIGHT(Ruimtestaat[[#This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2" s="73">
        <f>IF(T272&gt;0,VLOOKUP($J272,Ruimtegroepen[],3,FALSE)*VLOOKUP($L272,Vloersoorten[],3,FALSE)*VLOOKUP($S272,Frequenties[],3,FALSE)*VLOOKUP($A272,Locaties[],3,FALSE),0)</f>
        <v>0</v>
      </c>
      <c r="V272" s="73">
        <f>Ruimtestaat[[#This Row],[Uitvoeringen werkdagen]]*Ruimtestaat[[#This Row],[Oppervlak (netto)]]</f>
        <v>8.3999999999999986</v>
      </c>
      <c r="W272" s="108">
        <f>IF(U272&gt;0,Ruimtestaat[[#This Row],[Prest. (m2 /jaar) werkdagen]]/Ruimtestaat[[#This Row],[Norm (m2/uur) werkdagen]],0)</f>
        <v>0</v>
      </c>
      <c r="X272" s="109">
        <f>Ruimtestaat[[#This Row],[uren / jaar werkdagen]]*Tariefsopbouw!$E$35</f>
        <v>0</v>
      </c>
      <c r="Y272" s="73"/>
      <c r="Z272" s="73">
        <f>IF(Ruimtestaat[[#This Row],[Frequentie weekend]]&gt;0,VALUE(LEFT(Y272,1))*R272,0)</f>
        <v>0</v>
      </c>
      <c r="AA272" s="72">
        <f>IF($Z272&gt;0,VLOOKUP($J272,Ruimtegroepen[],3,FALSE)*VLOOKUP($L272,Vloersoorten[],3,FALSE)*VLOOKUP($Y272,Frequenties[],3,FALSE)*VLOOKUP(Ruimtestaat[[#This Row],[Code]],Locaties[],3,FALSE),0)</f>
        <v>0</v>
      </c>
      <c r="AB272" s="72">
        <f>Ruimtestaat[[#This Row],[Uitvoeringen weekend]]*Ruimtestaat[[#This Row],[Oppervlak (netto)]]</f>
        <v>0</v>
      </c>
      <c r="AC272" s="72">
        <f>IF(AA272&gt;0,Ruimtestaat[[#This Row],[Prest. (m2 /jaar) weekend]]/Ruimtestaat[[#This Row],[Norm (m2/uur) weekend]],0)</f>
        <v>0</v>
      </c>
      <c r="AD272" s="109">
        <f>Ruimtestaat[[#This Row],[uren / jaar weekend]]*Tariefsopbouw!$D$40</f>
        <v>0</v>
      </c>
      <c r="AE272" s="108">
        <f>Ruimtestaat[[#This Row],[Prest. (m2 /jaar) weekend]]+Ruimtestaat[[#This Row],[Prest. (m2 /jaar) werkdagen]]</f>
        <v>8.3999999999999986</v>
      </c>
      <c r="AF272" s="108">
        <f>Ruimtestaat[[#This Row],[uren / jaar weekend]]+Ruimtestaat[[#This Row],[uren / jaar werkdagen]]</f>
        <v>0</v>
      </c>
      <c r="AG272" s="103">
        <f>Ruimtestaat[[#This Row],[kosten / jaar weekend]]+Ruimtestaat[[#This Row],[kosten / jaar werkdagen]]</f>
        <v>0</v>
      </c>
      <c r="AH272" s="103"/>
      <c r="AI272" s="110" t="str">
        <f>IF(Ruimtestaat[[#This Row],[Frequentie werkdagen]]="","",_xlfn.CONCAT(Ruimtestaat[[#This Row],[Ruimte code]],"-",Ruimtestaat[[#This Row],[Frequentie werkdagen]]," ",Ruimtestaat[[#This Row],[Vloer code]]))</f>
        <v>1-1m P</v>
      </c>
      <c r="AJ272" s="114" t="str">
        <f>_xlfn.IFNA(VLOOKUP($AI272,Programma!$F$3:$G$1101,2,0),"")</f>
        <v>_</v>
      </c>
      <c r="AK272" s="114" t="str">
        <f>_xlfn.IFNA(VLOOKUP($AI272,Programma!$F$3:$H$1101,3,0),"")</f>
        <v>_</v>
      </c>
      <c r="AL272" s="114" t="str">
        <f>_xlfn.IFNA(VLOOKUP($AI272,Programma!$F$3:$I$1101,4,0),"")</f>
        <v>1m</v>
      </c>
      <c r="AM272" s="114" t="str">
        <f>_xlfn.IFNA(VLOOKUP($AI272,Programma!$F$3:$J$1101,5,0),"")</f>
        <v>1m</v>
      </c>
      <c r="AN272" s="114" t="str">
        <f>_xlfn.IFNA(VLOOKUP($AI272,Programma!$F$3:$K$1101,6,0),"")</f>
        <v>1j</v>
      </c>
      <c r="AO272" s="114" t="str">
        <f>_xlfn.IFNA(VLOOKUP($AI272,Programma!$F$3:$L$1101,7,0),"")</f>
        <v>_</v>
      </c>
      <c r="AP272" s="114" t="str">
        <f>_xlfn.IFNA(VLOOKUP($AI272,Programma!$F$3:$M$1101,8,0),"")</f>
        <v>_</v>
      </c>
      <c r="AQ272" s="114" t="str">
        <f>_xlfn.IFNA(VLOOKUP($AI272,Programma!$F$3:$N$1101,9,0),"")</f>
        <v>_</v>
      </c>
      <c r="AR272" s="114" t="str">
        <f>_xlfn.IFNA(VLOOKUP($AI272,Programma!$F$3:$O$1101,10,0),"")</f>
        <v>_</v>
      </c>
      <c r="AS272" s="114" t="str">
        <f>_xlfn.IFNA(VLOOKUP($AI272,Programma!$F$3:$P$1101,11,0),"")</f>
        <v>_</v>
      </c>
      <c r="AT272" s="114" t="str">
        <f>_xlfn.IFNA(VLOOKUP($AI272,Programma!$F$3:$Q$1101,12,0),"")</f>
        <v>_</v>
      </c>
      <c r="AU272" s="114" t="str">
        <f>_xlfn.IFNA(VLOOKUP($AI272,Programma!$F$3:$R$1101,13,0),"")</f>
        <v>_</v>
      </c>
      <c r="AV272" s="114" t="str">
        <f>_xlfn.IFNA(VLOOKUP($AI272,Programma!$F$3:$S$1101,14,0),"")</f>
        <v>1m</v>
      </c>
      <c r="AW272" s="114" t="str">
        <f>_xlfn.IFNA(VLOOKUP($AI272,Programma!$F$3:$T$1101,15,0),"")</f>
        <v>4j</v>
      </c>
      <c r="AX272" s="114" t="str">
        <f>_xlfn.IFNA(VLOOKUP($AI272,Programma!$F$3:$U$1101,16,0),"")</f>
        <v>4j</v>
      </c>
      <c r="AY272" s="114" t="str">
        <f>_xlfn.IFNA(VLOOKUP($AI272,Programma!$F$3:$V$1101,17,0),"")</f>
        <v>_</v>
      </c>
      <c r="AZ272" s="114" t="str">
        <f>_xlfn.IFNA(VLOOKUP($AI272,Programma!$F$3:$W$1101,18,0),"")</f>
        <v>_</v>
      </c>
      <c r="BA272" s="114" t="str">
        <f>_xlfn.IFNA(VLOOKUP($AI272,Programma!$F$3:$X$1101,19,0),"")</f>
        <v>_</v>
      </c>
      <c r="BB272" s="114" t="str">
        <f>_xlfn.IFNA(VLOOKUP($AI272,Programma!$F$3:$Y$1101,20,0),"")</f>
        <v>_</v>
      </c>
      <c r="BC272" s="111"/>
      <c r="BD272" s="110" t="str">
        <f>IF(Ruimtestaat[[#This Row],[Frequentie weekend]]="","",_xlfn.CONCAT(Ruimtestaat[[#This Row],[Ruimte code]],"-",Ruimtestaat[[#This Row],[Frequentie weekend]]," ",Ruimtestaat[[#This Row],[Vloer code]]))</f>
        <v/>
      </c>
      <c r="BE272" s="114" t="str">
        <f>_xlfn.IFNA(VLOOKUP($BD272,Programma!$F$3:$G$1101,2,0),"")</f>
        <v/>
      </c>
      <c r="BF272" s="114" t="str">
        <f>_xlfn.IFNA(VLOOKUP($BD272,Programma!$F$3:$H$1101,3,0),"")</f>
        <v/>
      </c>
      <c r="BG272" s="114" t="str">
        <f>_xlfn.IFNA(VLOOKUP($BD272,Programma!$F$3:$I$1101,4,0),"")</f>
        <v/>
      </c>
      <c r="BH272" s="114" t="str">
        <f>_xlfn.IFNA(VLOOKUP($BD272,Programma!$F$3:$J$1101,5,0),"")</f>
        <v/>
      </c>
      <c r="BI272" s="114" t="str">
        <f>_xlfn.IFNA(VLOOKUP($BD272,Programma!$F$3:$K$1101,6,0),"")</f>
        <v/>
      </c>
      <c r="BJ272" s="114" t="str">
        <f>_xlfn.IFNA(VLOOKUP($BD272,Programma!$F$3:$L$1101,7,0),"")</f>
        <v/>
      </c>
      <c r="BK272" s="114" t="str">
        <f>_xlfn.IFNA(VLOOKUP($BD272,Programma!$F$3:$M$1101,8,0),"")</f>
        <v/>
      </c>
      <c r="BL272" s="114" t="str">
        <f>_xlfn.IFNA(VLOOKUP($BD272,Programma!$F$3:$N$1101,9,0),"")</f>
        <v/>
      </c>
      <c r="BM272" s="114" t="str">
        <f>_xlfn.IFNA(VLOOKUP($BD272,Programma!$F$3:$O$1101,10,0),"")</f>
        <v/>
      </c>
      <c r="BN272" s="114" t="str">
        <f>_xlfn.IFNA(VLOOKUP($BD272,Programma!$F$3:$P$1101,11,0),"")</f>
        <v/>
      </c>
      <c r="BO272" s="114" t="str">
        <f>_xlfn.IFNA(VLOOKUP($BD272,Programma!$F$3:$Q$1101,12,0),"")</f>
        <v/>
      </c>
      <c r="BP272" s="114" t="str">
        <f>_xlfn.IFNA(VLOOKUP($BD272,Programma!$F$3:$R$1101,13,0),"")</f>
        <v/>
      </c>
      <c r="BQ272" s="114" t="str">
        <f>_xlfn.IFNA(VLOOKUP($BD272,Programma!$F$3:$S$1101,14,0),"")</f>
        <v/>
      </c>
      <c r="BR272" s="114" t="str">
        <f>_xlfn.IFNA(VLOOKUP($BD272,Programma!$F$3:$T$1101,15,0),"")</f>
        <v/>
      </c>
      <c r="BS272" s="114" t="str">
        <f>_xlfn.IFNA(VLOOKUP($BD272,Programma!$F$3:$U$1101,16,0),"")</f>
        <v/>
      </c>
      <c r="BT272" s="114" t="str">
        <f>_xlfn.IFNA(VLOOKUP($BD272,Programma!$F$3:$V$1101,17,0),"")</f>
        <v/>
      </c>
      <c r="BU272" s="114" t="str">
        <f>_xlfn.IFNA(VLOOKUP($BD272,Programma!$F$3:$W$1101,18,0),"")</f>
        <v/>
      </c>
      <c r="BV272" s="114" t="str">
        <f>_xlfn.IFNA(VLOOKUP($BD272,Programma!$F$3:$X$1101,19,0),"")</f>
        <v/>
      </c>
      <c r="BW272" s="114" t="str">
        <f>_xlfn.IFNA(VLOOKUP($BD272,Programma!$F$3:$Y$1101,20,0),"")</f>
        <v/>
      </c>
      <c r="BX272" s="28"/>
      <c r="BY272" s="28"/>
      <c r="BZ272" s="28"/>
      <c r="CA272" s="28"/>
      <c r="CB272" s="28"/>
      <c r="CC272" s="28"/>
      <c r="CD272" s="28"/>
      <c r="CE272" s="28"/>
      <c r="CF272" s="28"/>
      <c r="CG272" s="28"/>
      <c r="CH272" s="28"/>
      <c r="CI272" s="28"/>
      <c r="CJ272" s="28"/>
      <c r="CK272" s="28"/>
      <c r="CL272" s="28"/>
      <c r="CM272" s="28"/>
      <c r="CN272" s="28"/>
      <c r="CO272" s="28"/>
      <c r="CP272" s="28"/>
      <c r="CQ272" s="28"/>
      <c r="CR272" s="28"/>
      <c r="CS272" s="28"/>
      <c r="CT272" s="28"/>
      <c r="CU272" s="28"/>
      <c r="CV272" s="28"/>
      <c r="CW272" s="28"/>
      <c r="CX272" s="28"/>
      <c r="CY272" s="28"/>
      <c r="CZ272" s="28"/>
      <c r="DA272" s="28"/>
      <c r="DB272" s="28"/>
      <c r="DC272" s="28"/>
      <c r="DD272" s="28"/>
      <c r="DE272" s="28"/>
      <c r="DF272" s="28"/>
      <c r="DG272" s="28"/>
      <c r="DH272" s="28"/>
      <c r="DI272" s="28"/>
      <c r="DJ272" s="28"/>
      <c r="DK272" s="28"/>
      <c r="DL272" s="28"/>
      <c r="DM272" s="28"/>
      <c r="DN272" s="28"/>
      <c r="DO272" s="28"/>
      <c r="DP272" s="28"/>
      <c r="DQ272" s="28"/>
      <c r="DR272" s="28"/>
      <c r="DS272" s="28"/>
      <c r="DT272" s="28"/>
      <c r="DU272" s="28"/>
      <c r="DV272" s="28"/>
      <c r="DW272" s="28"/>
      <c r="DX272" s="28"/>
      <c r="DY272" s="28"/>
      <c r="DZ272" s="28"/>
      <c r="EA272" s="28"/>
      <c r="EB272" s="28"/>
      <c r="EC272" s="28"/>
      <c r="ED272" s="28"/>
      <c r="EE272" s="28"/>
      <c r="EF272" s="28"/>
      <c r="EG272" s="28"/>
      <c r="EH272" s="28"/>
      <c r="EI272" s="28"/>
      <c r="EJ272" s="28"/>
      <c r="EK272" s="28"/>
      <c r="EL272" s="28"/>
      <c r="EM272" s="28"/>
      <c r="EN272" s="28"/>
      <c r="EO272" s="28"/>
      <c r="EP272" s="28"/>
      <c r="EQ272" s="28"/>
      <c r="ER272" s="28"/>
      <c r="ES272" s="28"/>
      <c r="ET272" s="28"/>
      <c r="EU272" s="28"/>
      <c r="EV272" s="28"/>
      <c r="EW272" s="28"/>
      <c r="EX272" s="28"/>
      <c r="EY272" s="28"/>
      <c r="EZ272" s="28"/>
      <c r="FA272" s="28"/>
      <c r="FB272" s="28"/>
      <c r="FC272" s="28"/>
      <c r="FD272" s="28"/>
      <c r="FE272" s="28"/>
      <c r="FF272" s="28"/>
      <c r="FG272" s="28"/>
      <c r="FH272" s="28"/>
      <c r="FI272" s="28"/>
      <c r="FJ272" s="28"/>
      <c r="FK272" s="28"/>
      <c r="FL272" s="28"/>
      <c r="FM272" s="28"/>
      <c r="FN272" s="28"/>
      <c r="FO272" s="28"/>
      <c r="FP272" s="28"/>
      <c r="FQ272" s="28"/>
      <c r="FR272" s="28"/>
      <c r="FS272" s="28"/>
      <c r="FT272" s="28"/>
      <c r="FU272" s="28"/>
      <c r="FV272" s="28"/>
      <c r="FW272" s="28"/>
      <c r="FX272" s="28"/>
      <c r="FY272" s="28"/>
      <c r="FZ272" s="28"/>
      <c r="GA272" s="28"/>
      <c r="GB272" s="28"/>
      <c r="GC272" s="28"/>
      <c r="GD272" s="28"/>
      <c r="GE272" s="28"/>
      <c r="GF272" s="28"/>
      <c r="GG272" s="28"/>
      <c r="GH272" s="28"/>
      <c r="GI272" s="28"/>
      <c r="GJ272" s="28"/>
      <c r="GK272" s="28"/>
      <c r="GL272" s="28"/>
      <c r="GM272" s="28"/>
      <c r="GN272" s="28"/>
      <c r="GO272" s="28"/>
      <c r="GP272" s="28"/>
      <c r="GQ272" s="28"/>
      <c r="GR272" s="28"/>
      <c r="GS272" s="28"/>
      <c r="GT272" s="28"/>
      <c r="GU272" s="28"/>
      <c r="GV272" s="28"/>
      <c r="GW272" s="28"/>
      <c r="GX272" s="28"/>
      <c r="GY272" s="28"/>
      <c r="GZ272" s="28"/>
      <c r="HA272" s="28"/>
      <c r="HB272" s="28"/>
      <c r="HC272" s="28"/>
      <c r="HD272" s="28"/>
      <c r="HE272" s="28"/>
      <c r="HF272" s="28"/>
      <c r="HG272" s="28"/>
      <c r="HH272" s="28"/>
      <c r="HI272" s="28"/>
      <c r="HJ272" s="28"/>
      <c r="HK272" s="28"/>
      <c r="HL272" s="28"/>
    </row>
    <row r="273" spans="1:220" ht="15" customHeight="1">
      <c r="A273" s="31">
        <v>5</v>
      </c>
      <c r="B273" s="105" t="str">
        <f>VLOOKUP(Ruimtestaat[[#This Row],[Code]],Locaties[[Code]:[Locatie]],2,FALSE)</f>
        <v>IKC Remigius</v>
      </c>
      <c r="C273" s="105" t="str">
        <f>VLOOKUP(Ruimtestaat[[#This Row],[Code]],Locaties[[#All],[Code]:[Adres]],4,FALSE)</f>
        <v>Liemersplein 1</v>
      </c>
      <c r="D273" s="105" t="str">
        <f>VLOOKUP(Ruimtestaat[[#This Row],[Code]],Locaties[[#All],[Code]:[Postcode]],5,FALSE)</f>
        <v xml:space="preserve">6921 HN </v>
      </c>
      <c r="E273" s="105" t="str">
        <f>VLOOKUP(Ruimtestaat[[#This Row],[Code]],Locaties[#All],6,FALSE)</f>
        <v>Duiven</v>
      </c>
      <c r="F273" s="113"/>
      <c r="G273" s="31" t="s">
        <v>1826</v>
      </c>
      <c r="H273" s="31" t="s">
        <v>1889</v>
      </c>
      <c r="I273" s="113" t="s">
        <v>1813</v>
      </c>
      <c r="J273" s="31">
        <v>1</v>
      </c>
      <c r="K273" s="113" t="str">
        <f>VLOOKUP(Ruimtestaat[[#This Row],[Ruimte code]],Ruimtegroepen[[#All],[Code]:[Ruimte omschrijving]],2,FALSE)</f>
        <v>Magazijnen/bergingen</v>
      </c>
      <c r="L273" s="73" t="s">
        <v>102</v>
      </c>
      <c r="M273" s="273" t="s">
        <v>120</v>
      </c>
      <c r="N273" s="106">
        <v>2.2999999999999998</v>
      </c>
      <c r="O273" s="112"/>
      <c r="P273" s="73"/>
      <c r="Q273" s="107" t="str">
        <f>VLOOKUP(Ruimtestaat[[#This Row],[Ruimte code]],Ruimtegroepen[],4,FALSE)</f>
        <v>Ve</v>
      </c>
      <c r="R273" s="73">
        <v>40</v>
      </c>
      <c r="S273" s="73" t="s">
        <v>16</v>
      </c>
      <c r="T273" s="73">
        <f>IF(R273&gt;0,IF(RIGHT(Ruimtestaat[[#This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3" s="73">
        <f>IF(T273&gt;0,VLOOKUP($J273,Ruimtegroepen[],3,FALSE)*VLOOKUP($L273,Vloersoorten[],3,FALSE)*VLOOKUP($S273,Frequenties[],3,FALSE)*VLOOKUP($A273,Locaties[],3,FALSE),0)</f>
        <v>0</v>
      </c>
      <c r="V273" s="73">
        <f>Ruimtestaat[[#This Row],[Uitvoeringen werkdagen]]*Ruimtestaat[[#This Row],[Oppervlak (netto)]]</f>
        <v>27.599999999999998</v>
      </c>
      <c r="W273" s="108">
        <f>IF(U273&gt;0,Ruimtestaat[[#This Row],[Prest. (m2 /jaar) werkdagen]]/Ruimtestaat[[#This Row],[Norm (m2/uur) werkdagen]],0)</f>
        <v>0</v>
      </c>
      <c r="X273" s="109">
        <f>Ruimtestaat[[#This Row],[uren / jaar werkdagen]]*Tariefsopbouw!$E$35</f>
        <v>0</v>
      </c>
      <c r="Y273" s="73"/>
      <c r="Z273" s="73">
        <f>IF(Ruimtestaat[[#This Row],[Frequentie weekend]]&gt;0,VALUE(LEFT(Y273,1))*R273,0)</f>
        <v>0</v>
      </c>
      <c r="AA273" s="72">
        <f>IF($Z273&gt;0,VLOOKUP($J273,Ruimtegroepen[],3,FALSE)*VLOOKUP($L273,Vloersoorten[],3,FALSE)*VLOOKUP($Y273,Frequenties[],3,FALSE)*VLOOKUP(Ruimtestaat[[#This Row],[Code]],Locaties[],3,FALSE),0)</f>
        <v>0</v>
      </c>
      <c r="AB273" s="72">
        <f>Ruimtestaat[[#This Row],[Uitvoeringen weekend]]*Ruimtestaat[[#This Row],[Oppervlak (netto)]]</f>
        <v>0</v>
      </c>
      <c r="AC273" s="72">
        <f>IF(AA273&gt;0,Ruimtestaat[[#This Row],[Prest. (m2 /jaar) weekend]]/Ruimtestaat[[#This Row],[Norm (m2/uur) weekend]],0)</f>
        <v>0</v>
      </c>
      <c r="AD273" s="109">
        <f>Ruimtestaat[[#This Row],[uren / jaar weekend]]*Tariefsopbouw!$D$40</f>
        <v>0</v>
      </c>
      <c r="AE273" s="108">
        <f>Ruimtestaat[[#This Row],[Prest. (m2 /jaar) weekend]]+Ruimtestaat[[#This Row],[Prest. (m2 /jaar) werkdagen]]</f>
        <v>27.599999999999998</v>
      </c>
      <c r="AF273" s="108">
        <f>Ruimtestaat[[#This Row],[uren / jaar weekend]]+Ruimtestaat[[#This Row],[uren / jaar werkdagen]]</f>
        <v>0</v>
      </c>
      <c r="AG273" s="103">
        <f>Ruimtestaat[[#This Row],[kosten / jaar weekend]]+Ruimtestaat[[#This Row],[kosten / jaar werkdagen]]</f>
        <v>0</v>
      </c>
      <c r="AH273" s="103"/>
      <c r="AI273" s="110" t="str">
        <f>IF(Ruimtestaat[[#This Row],[Frequentie werkdagen]]="","",_xlfn.CONCAT(Ruimtestaat[[#This Row],[Ruimte code]],"-",Ruimtestaat[[#This Row],[Frequentie werkdagen]]," ",Ruimtestaat[[#This Row],[Vloer code]]))</f>
        <v>1-1m P</v>
      </c>
      <c r="AJ273" s="114" t="str">
        <f>_xlfn.IFNA(VLOOKUP($AI273,Programma!$F$3:$G$1101,2,0),"")</f>
        <v>_</v>
      </c>
      <c r="AK273" s="114" t="str">
        <f>_xlfn.IFNA(VLOOKUP($AI273,Programma!$F$3:$H$1101,3,0),"")</f>
        <v>_</v>
      </c>
      <c r="AL273" s="114" t="str">
        <f>_xlfn.IFNA(VLOOKUP($AI273,Programma!$F$3:$I$1101,4,0),"")</f>
        <v>1m</v>
      </c>
      <c r="AM273" s="114" t="str">
        <f>_xlfn.IFNA(VLOOKUP($AI273,Programma!$F$3:$J$1101,5,0),"")</f>
        <v>1m</v>
      </c>
      <c r="AN273" s="114" t="str">
        <f>_xlfn.IFNA(VLOOKUP($AI273,Programma!$F$3:$K$1101,6,0),"")</f>
        <v>1j</v>
      </c>
      <c r="AO273" s="114" t="str">
        <f>_xlfn.IFNA(VLOOKUP($AI273,Programma!$F$3:$L$1101,7,0),"")</f>
        <v>_</v>
      </c>
      <c r="AP273" s="114" t="str">
        <f>_xlfn.IFNA(VLOOKUP($AI273,Programma!$F$3:$M$1101,8,0),"")</f>
        <v>_</v>
      </c>
      <c r="AQ273" s="114" t="str">
        <f>_xlfn.IFNA(VLOOKUP($AI273,Programma!$F$3:$N$1101,9,0),"")</f>
        <v>_</v>
      </c>
      <c r="AR273" s="114" t="str">
        <f>_xlfn.IFNA(VLOOKUP($AI273,Programma!$F$3:$O$1101,10,0),"")</f>
        <v>_</v>
      </c>
      <c r="AS273" s="114" t="str">
        <f>_xlfn.IFNA(VLOOKUP($AI273,Programma!$F$3:$P$1101,11,0),"")</f>
        <v>_</v>
      </c>
      <c r="AT273" s="114" t="str">
        <f>_xlfn.IFNA(VLOOKUP($AI273,Programma!$F$3:$Q$1101,12,0),"")</f>
        <v>_</v>
      </c>
      <c r="AU273" s="114" t="str">
        <f>_xlfn.IFNA(VLOOKUP($AI273,Programma!$F$3:$R$1101,13,0),"")</f>
        <v>_</v>
      </c>
      <c r="AV273" s="114" t="str">
        <f>_xlfn.IFNA(VLOOKUP($AI273,Programma!$F$3:$S$1101,14,0),"")</f>
        <v>1m</v>
      </c>
      <c r="AW273" s="114" t="str">
        <f>_xlfn.IFNA(VLOOKUP($AI273,Programma!$F$3:$T$1101,15,0),"")</f>
        <v>4j</v>
      </c>
      <c r="AX273" s="114" t="str">
        <f>_xlfn.IFNA(VLOOKUP($AI273,Programma!$F$3:$U$1101,16,0),"")</f>
        <v>4j</v>
      </c>
      <c r="AY273" s="114" t="str">
        <f>_xlfn.IFNA(VLOOKUP($AI273,Programma!$F$3:$V$1101,17,0),"")</f>
        <v>_</v>
      </c>
      <c r="AZ273" s="114" t="str">
        <f>_xlfn.IFNA(VLOOKUP($AI273,Programma!$F$3:$W$1101,18,0),"")</f>
        <v>_</v>
      </c>
      <c r="BA273" s="114" t="str">
        <f>_xlfn.IFNA(VLOOKUP($AI273,Programma!$F$3:$X$1101,19,0),"")</f>
        <v>_</v>
      </c>
      <c r="BB273" s="114" t="str">
        <f>_xlfn.IFNA(VLOOKUP($AI273,Programma!$F$3:$Y$1101,20,0),"")</f>
        <v>_</v>
      </c>
      <c r="BC273" s="111"/>
      <c r="BD273" s="110" t="str">
        <f>IF(Ruimtestaat[[#This Row],[Frequentie weekend]]="","",_xlfn.CONCAT(Ruimtestaat[[#This Row],[Ruimte code]],"-",Ruimtestaat[[#This Row],[Frequentie weekend]]," ",Ruimtestaat[[#This Row],[Vloer code]]))</f>
        <v/>
      </c>
      <c r="BE273" s="114" t="str">
        <f>_xlfn.IFNA(VLOOKUP($BD273,Programma!$F$3:$G$1101,2,0),"")</f>
        <v/>
      </c>
      <c r="BF273" s="114" t="str">
        <f>_xlfn.IFNA(VLOOKUP($BD273,Programma!$F$3:$H$1101,3,0),"")</f>
        <v/>
      </c>
      <c r="BG273" s="114" t="str">
        <f>_xlfn.IFNA(VLOOKUP($BD273,Programma!$F$3:$I$1101,4,0),"")</f>
        <v/>
      </c>
      <c r="BH273" s="114" t="str">
        <f>_xlfn.IFNA(VLOOKUP($BD273,Programma!$F$3:$J$1101,5,0),"")</f>
        <v/>
      </c>
      <c r="BI273" s="114" t="str">
        <f>_xlfn.IFNA(VLOOKUP($BD273,Programma!$F$3:$K$1101,6,0),"")</f>
        <v/>
      </c>
      <c r="BJ273" s="114" t="str">
        <f>_xlfn.IFNA(VLOOKUP($BD273,Programma!$F$3:$L$1101,7,0),"")</f>
        <v/>
      </c>
      <c r="BK273" s="114" t="str">
        <f>_xlfn.IFNA(VLOOKUP($BD273,Programma!$F$3:$M$1101,8,0),"")</f>
        <v/>
      </c>
      <c r="BL273" s="114" t="str">
        <f>_xlfn.IFNA(VLOOKUP($BD273,Programma!$F$3:$N$1101,9,0),"")</f>
        <v/>
      </c>
      <c r="BM273" s="114" t="str">
        <f>_xlfn.IFNA(VLOOKUP($BD273,Programma!$F$3:$O$1101,10,0),"")</f>
        <v/>
      </c>
      <c r="BN273" s="114" t="str">
        <f>_xlfn.IFNA(VLOOKUP($BD273,Programma!$F$3:$P$1101,11,0),"")</f>
        <v/>
      </c>
      <c r="BO273" s="114" t="str">
        <f>_xlfn.IFNA(VLOOKUP($BD273,Programma!$F$3:$Q$1101,12,0),"")</f>
        <v/>
      </c>
      <c r="BP273" s="114" t="str">
        <f>_xlfn.IFNA(VLOOKUP($BD273,Programma!$F$3:$R$1101,13,0),"")</f>
        <v/>
      </c>
      <c r="BQ273" s="114" t="str">
        <f>_xlfn.IFNA(VLOOKUP($BD273,Programma!$F$3:$S$1101,14,0),"")</f>
        <v/>
      </c>
      <c r="BR273" s="114" t="str">
        <f>_xlfn.IFNA(VLOOKUP($BD273,Programma!$F$3:$T$1101,15,0),"")</f>
        <v/>
      </c>
      <c r="BS273" s="114" t="str">
        <f>_xlfn.IFNA(VLOOKUP($BD273,Programma!$F$3:$U$1101,16,0),"")</f>
        <v/>
      </c>
      <c r="BT273" s="114" t="str">
        <f>_xlfn.IFNA(VLOOKUP($BD273,Programma!$F$3:$V$1101,17,0),"")</f>
        <v/>
      </c>
      <c r="BU273" s="114" t="str">
        <f>_xlfn.IFNA(VLOOKUP($BD273,Programma!$F$3:$W$1101,18,0),"")</f>
        <v/>
      </c>
      <c r="BV273" s="114" t="str">
        <f>_xlfn.IFNA(VLOOKUP($BD273,Programma!$F$3:$X$1101,19,0),"")</f>
        <v/>
      </c>
      <c r="BW273" s="114" t="str">
        <f>_xlfn.IFNA(VLOOKUP($BD273,Programma!$F$3:$Y$1101,20,0),"")</f>
        <v/>
      </c>
      <c r="BX273" s="28"/>
      <c r="BY273" s="28"/>
      <c r="BZ273" s="28"/>
      <c r="CA273" s="28"/>
      <c r="CB273" s="28"/>
      <c r="CC273" s="28"/>
      <c r="CD273" s="28"/>
      <c r="CE273" s="28"/>
      <c r="CF273" s="28"/>
      <c r="CG273" s="28"/>
      <c r="CH273" s="28"/>
      <c r="CI273" s="28"/>
      <c r="CJ273" s="28"/>
      <c r="CK273" s="28"/>
      <c r="CL273" s="28"/>
      <c r="CM273" s="28"/>
      <c r="CN273" s="28"/>
      <c r="CO273" s="28"/>
      <c r="CP273" s="28"/>
      <c r="CQ273" s="28"/>
      <c r="CR273" s="28"/>
      <c r="CS273" s="28"/>
      <c r="CT273" s="28"/>
      <c r="CU273" s="28"/>
      <c r="CV273" s="28"/>
      <c r="CW273" s="28"/>
      <c r="CX273" s="28"/>
      <c r="CY273" s="28"/>
      <c r="CZ273" s="28"/>
      <c r="DA273" s="28"/>
      <c r="DB273" s="28"/>
      <c r="DC273" s="28"/>
      <c r="DD273" s="28"/>
      <c r="DE273" s="28"/>
      <c r="DF273" s="28"/>
      <c r="DG273" s="28"/>
      <c r="DH273" s="28"/>
      <c r="DI273" s="28"/>
      <c r="DJ273" s="28"/>
      <c r="DK273" s="28"/>
      <c r="DL273" s="28"/>
      <c r="DM273" s="28"/>
      <c r="DN273" s="28"/>
      <c r="DO273" s="28"/>
      <c r="DP273" s="28"/>
      <c r="DQ273" s="28"/>
      <c r="DR273" s="28"/>
      <c r="DS273" s="28"/>
      <c r="DT273" s="28"/>
      <c r="DU273" s="28"/>
      <c r="DV273" s="28"/>
      <c r="DW273" s="28"/>
      <c r="DX273" s="28"/>
      <c r="DY273" s="28"/>
      <c r="DZ273" s="28"/>
      <c r="EA273" s="28"/>
      <c r="EB273" s="28"/>
      <c r="EC273" s="28"/>
      <c r="ED273" s="28"/>
      <c r="EE273" s="28"/>
      <c r="EF273" s="28"/>
      <c r="EG273" s="28"/>
      <c r="EH273" s="28"/>
      <c r="EI273" s="28"/>
      <c r="EJ273" s="28"/>
      <c r="EK273" s="28"/>
      <c r="EL273" s="28"/>
      <c r="EM273" s="28"/>
      <c r="EN273" s="28"/>
      <c r="EO273" s="28"/>
      <c r="EP273" s="28"/>
      <c r="EQ273" s="28"/>
      <c r="ER273" s="28"/>
      <c r="ES273" s="28"/>
      <c r="ET273" s="28"/>
      <c r="EU273" s="28"/>
      <c r="EV273" s="28"/>
      <c r="EW273" s="28"/>
      <c r="EX273" s="28"/>
      <c r="EY273" s="28"/>
      <c r="EZ273" s="28"/>
      <c r="FA273" s="28"/>
      <c r="FB273" s="28"/>
      <c r="FC273" s="28"/>
      <c r="FD273" s="28"/>
      <c r="FE273" s="28"/>
      <c r="FF273" s="28"/>
      <c r="FG273" s="28"/>
      <c r="FH273" s="28"/>
      <c r="FI273" s="28"/>
      <c r="FJ273" s="28"/>
      <c r="FK273" s="28"/>
      <c r="FL273" s="28"/>
      <c r="FM273" s="28"/>
      <c r="FN273" s="28"/>
      <c r="FO273" s="28"/>
      <c r="FP273" s="28"/>
      <c r="FQ273" s="28"/>
      <c r="FR273" s="28"/>
      <c r="FS273" s="28"/>
      <c r="FT273" s="28"/>
      <c r="FU273" s="28"/>
      <c r="FV273" s="28"/>
      <c r="FW273" s="28"/>
      <c r="FX273" s="28"/>
      <c r="FY273" s="28"/>
      <c r="FZ273" s="28"/>
      <c r="GA273" s="28"/>
      <c r="GB273" s="28"/>
      <c r="GC273" s="28"/>
      <c r="GD273" s="28"/>
      <c r="GE273" s="28"/>
      <c r="GF273" s="28"/>
      <c r="GG273" s="28"/>
      <c r="GH273" s="28"/>
      <c r="GI273" s="28"/>
      <c r="GJ273" s="28"/>
      <c r="GK273" s="28"/>
      <c r="GL273" s="28"/>
      <c r="GM273" s="28"/>
      <c r="GN273" s="28"/>
      <c r="GO273" s="28"/>
      <c r="GP273" s="28"/>
      <c r="GQ273" s="28"/>
      <c r="GR273" s="28"/>
      <c r="GS273" s="28"/>
      <c r="GT273" s="28"/>
      <c r="GU273" s="28"/>
      <c r="GV273" s="28"/>
      <c r="GW273" s="28"/>
      <c r="GX273" s="28"/>
      <c r="GY273" s="28"/>
      <c r="GZ273" s="28"/>
      <c r="HA273" s="28"/>
      <c r="HB273" s="28"/>
      <c r="HC273" s="28"/>
      <c r="HD273" s="28"/>
      <c r="HE273" s="28"/>
      <c r="HF273" s="28"/>
      <c r="HG273" s="28"/>
      <c r="HH273" s="28"/>
      <c r="HI273" s="28"/>
      <c r="HJ273" s="28"/>
      <c r="HK273" s="28"/>
      <c r="HL273" s="28"/>
    </row>
    <row r="274" spans="1:220" ht="15" customHeight="1">
      <c r="A274" s="31">
        <v>5</v>
      </c>
      <c r="B274" s="105" t="str">
        <f>VLOOKUP(Ruimtestaat[[#This Row],[Code]],Locaties[[Code]:[Locatie]],2,FALSE)</f>
        <v>IKC Remigius</v>
      </c>
      <c r="C274" s="105" t="str">
        <f>VLOOKUP(Ruimtestaat[[#This Row],[Code]],Locaties[[#All],[Code]:[Adres]],4,FALSE)</f>
        <v>Liemersplein 1</v>
      </c>
      <c r="D274" s="105" t="str">
        <f>VLOOKUP(Ruimtestaat[[#This Row],[Code]],Locaties[[#All],[Code]:[Postcode]],5,FALSE)</f>
        <v xml:space="preserve">6921 HN </v>
      </c>
      <c r="E274" s="105" t="str">
        <f>VLOOKUP(Ruimtestaat[[#This Row],[Code]],Locaties[#All],6,FALSE)</f>
        <v>Duiven</v>
      </c>
      <c r="F274" s="113"/>
      <c r="G274" s="31" t="s">
        <v>1826</v>
      </c>
      <c r="H274" s="31" t="s">
        <v>1890</v>
      </c>
      <c r="I274" s="113" t="s">
        <v>1813</v>
      </c>
      <c r="J274" s="31">
        <v>1</v>
      </c>
      <c r="K274" s="113" t="str">
        <f>VLOOKUP(Ruimtestaat[[#This Row],[Ruimte code]],Ruimtegroepen[[#All],[Code]:[Ruimte omschrijving]],2,FALSE)</f>
        <v>Magazijnen/bergingen</v>
      </c>
      <c r="L274" s="73" t="s">
        <v>102</v>
      </c>
      <c r="M274" s="273" t="s">
        <v>120</v>
      </c>
      <c r="N274" s="106">
        <v>1.6</v>
      </c>
      <c r="O274" s="112"/>
      <c r="P274" s="112"/>
      <c r="Q274" s="107" t="str">
        <f>VLOOKUP(Ruimtestaat[[#This Row],[Ruimte code]],Ruimtegroepen[],4,FALSE)</f>
        <v>Ve</v>
      </c>
      <c r="R274" s="73">
        <v>40</v>
      </c>
      <c r="S274" s="73" t="s">
        <v>16</v>
      </c>
      <c r="T274" s="73">
        <f>IF(R274&gt;0,IF(RIGHT(Ruimtestaat[[#This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4" s="73">
        <f>IF(T274&gt;0,VLOOKUP($J274,Ruimtegroepen[],3,FALSE)*VLOOKUP($L274,Vloersoorten[],3,FALSE)*VLOOKUP($S274,Frequenties[],3,FALSE)*VLOOKUP($A274,Locaties[],3,FALSE),0)</f>
        <v>0</v>
      </c>
      <c r="V274" s="73">
        <f>Ruimtestaat[[#This Row],[Uitvoeringen werkdagen]]*Ruimtestaat[[#This Row],[Oppervlak (netto)]]</f>
        <v>19.200000000000003</v>
      </c>
      <c r="W274" s="108">
        <f>IF(U274&gt;0,Ruimtestaat[[#This Row],[Prest. (m2 /jaar) werkdagen]]/Ruimtestaat[[#This Row],[Norm (m2/uur) werkdagen]],0)</f>
        <v>0</v>
      </c>
      <c r="X274" s="109">
        <f>Ruimtestaat[[#This Row],[uren / jaar werkdagen]]*Tariefsopbouw!$E$35</f>
        <v>0</v>
      </c>
      <c r="Y274" s="73"/>
      <c r="Z274" s="73">
        <f>IF(Ruimtestaat[[#This Row],[Frequentie weekend]]&gt;0,VALUE(LEFT(Y274,1))*R274,0)</f>
        <v>0</v>
      </c>
      <c r="AA274" s="72">
        <f>IF($Z274&gt;0,VLOOKUP($J274,Ruimtegroepen[],3,FALSE)*VLOOKUP($L274,Vloersoorten[],3,FALSE)*VLOOKUP($Y274,Frequenties[],3,FALSE)*VLOOKUP(Ruimtestaat[[#This Row],[Code]],Locaties[],3,FALSE),0)</f>
        <v>0</v>
      </c>
      <c r="AB274" s="72">
        <f>Ruimtestaat[[#This Row],[Uitvoeringen weekend]]*Ruimtestaat[[#This Row],[Oppervlak (netto)]]</f>
        <v>0</v>
      </c>
      <c r="AC274" s="72">
        <f>IF(AA274&gt;0,Ruimtestaat[[#This Row],[Prest. (m2 /jaar) weekend]]/Ruimtestaat[[#This Row],[Norm (m2/uur) weekend]],0)</f>
        <v>0</v>
      </c>
      <c r="AD274" s="109">
        <f>Ruimtestaat[[#This Row],[uren / jaar weekend]]*Tariefsopbouw!$D$40</f>
        <v>0</v>
      </c>
      <c r="AE274" s="108">
        <f>Ruimtestaat[[#This Row],[Prest. (m2 /jaar) weekend]]+Ruimtestaat[[#This Row],[Prest. (m2 /jaar) werkdagen]]</f>
        <v>19.200000000000003</v>
      </c>
      <c r="AF274" s="108">
        <f>Ruimtestaat[[#This Row],[uren / jaar weekend]]+Ruimtestaat[[#This Row],[uren / jaar werkdagen]]</f>
        <v>0</v>
      </c>
      <c r="AG274" s="103">
        <f>Ruimtestaat[[#This Row],[kosten / jaar weekend]]+Ruimtestaat[[#This Row],[kosten / jaar werkdagen]]</f>
        <v>0</v>
      </c>
      <c r="AH274" s="103"/>
      <c r="AI274" s="110" t="str">
        <f>IF(Ruimtestaat[[#This Row],[Frequentie werkdagen]]="","",_xlfn.CONCAT(Ruimtestaat[[#This Row],[Ruimte code]],"-",Ruimtestaat[[#This Row],[Frequentie werkdagen]]," ",Ruimtestaat[[#This Row],[Vloer code]]))</f>
        <v>1-1m P</v>
      </c>
      <c r="AJ274" s="114" t="str">
        <f>_xlfn.IFNA(VLOOKUP($AI274,Programma!$F$3:$G$1101,2,0),"")</f>
        <v>_</v>
      </c>
      <c r="AK274" s="114" t="str">
        <f>_xlfn.IFNA(VLOOKUP($AI274,Programma!$F$3:$H$1101,3,0),"")</f>
        <v>_</v>
      </c>
      <c r="AL274" s="114" t="str">
        <f>_xlfn.IFNA(VLOOKUP($AI274,Programma!$F$3:$I$1101,4,0),"")</f>
        <v>1m</v>
      </c>
      <c r="AM274" s="114" t="str">
        <f>_xlfn.IFNA(VLOOKUP($AI274,Programma!$F$3:$J$1101,5,0),"")</f>
        <v>1m</v>
      </c>
      <c r="AN274" s="114" t="str">
        <f>_xlfn.IFNA(VLOOKUP($AI274,Programma!$F$3:$K$1101,6,0),"")</f>
        <v>1j</v>
      </c>
      <c r="AO274" s="114" t="str">
        <f>_xlfn.IFNA(VLOOKUP($AI274,Programma!$F$3:$L$1101,7,0),"")</f>
        <v>_</v>
      </c>
      <c r="AP274" s="114" t="str">
        <f>_xlfn.IFNA(VLOOKUP($AI274,Programma!$F$3:$M$1101,8,0),"")</f>
        <v>_</v>
      </c>
      <c r="AQ274" s="114" t="str">
        <f>_xlfn.IFNA(VLOOKUP($AI274,Programma!$F$3:$N$1101,9,0),"")</f>
        <v>_</v>
      </c>
      <c r="AR274" s="114" t="str">
        <f>_xlfn.IFNA(VLOOKUP($AI274,Programma!$F$3:$O$1101,10,0),"")</f>
        <v>_</v>
      </c>
      <c r="AS274" s="114" t="str">
        <f>_xlfn.IFNA(VLOOKUP($AI274,Programma!$F$3:$P$1101,11,0),"")</f>
        <v>_</v>
      </c>
      <c r="AT274" s="114" t="str">
        <f>_xlfn.IFNA(VLOOKUP($AI274,Programma!$F$3:$Q$1101,12,0),"")</f>
        <v>_</v>
      </c>
      <c r="AU274" s="114" t="str">
        <f>_xlfn.IFNA(VLOOKUP($AI274,Programma!$F$3:$R$1101,13,0),"")</f>
        <v>_</v>
      </c>
      <c r="AV274" s="114" t="str">
        <f>_xlfn.IFNA(VLOOKUP($AI274,Programma!$F$3:$S$1101,14,0),"")</f>
        <v>1m</v>
      </c>
      <c r="AW274" s="114" t="str">
        <f>_xlfn.IFNA(VLOOKUP($AI274,Programma!$F$3:$T$1101,15,0),"")</f>
        <v>4j</v>
      </c>
      <c r="AX274" s="114" t="str">
        <f>_xlfn.IFNA(VLOOKUP($AI274,Programma!$F$3:$U$1101,16,0),"")</f>
        <v>4j</v>
      </c>
      <c r="AY274" s="114" t="str">
        <f>_xlfn.IFNA(VLOOKUP($AI274,Programma!$F$3:$V$1101,17,0),"")</f>
        <v>_</v>
      </c>
      <c r="AZ274" s="114" t="str">
        <f>_xlfn.IFNA(VLOOKUP($AI274,Programma!$F$3:$W$1101,18,0),"")</f>
        <v>_</v>
      </c>
      <c r="BA274" s="114" t="str">
        <f>_xlfn.IFNA(VLOOKUP($AI274,Programma!$F$3:$X$1101,19,0),"")</f>
        <v>_</v>
      </c>
      <c r="BB274" s="114" t="str">
        <f>_xlfn.IFNA(VLOOKUP($AI274,Programma!$F$3:$Y$1101,20,0),"")</f>
        <v>_</v>
      </c>
      <c r="BC274" s="111"/>
      <c r="BD274" s="110" t="str">
        <f>IF(Ruimtestaat[[#This Row],[Frequentie weekend]]="","",_xlfn.CONCAT(Ruimtestaat[[#This Row],[Ruimte code]],"-",Ruimtestaat[[#This Row],[Frequentie weekend]]," ",Ruimtestaat[[#This Row],[Vloer code]]))</f>
        <v/>
      </c>
      <c r="BE274" s="114" t="str">
        <f>_xlfn.IFNA(VLOOKUP($BD274,Programma!$F$3:$G$1101,2,0),"")</f>
        <v/>
      </c>
      <c r="BF274" s="114" t="str">
        <f>_xlfn.IFNA(VLOOKUP($BD274,Programma!$F$3:$H$1101,3,0),"")</f>
        <v/>
      </c>
      <c r="BG274" s="114" t="str">
        <f>_xlfn.IFNA(VLOOKUP($BD274,Programma!$F$3:$I$1101,4,0),"")</f>
        <v/>
      </c>
      <c r="BH274" s="114" t="str">
        <f>_xlfn.IFNA(VLOOKUP($BD274,Programma!$F$3:$J$1101,5,0),"")</f>
        <v/>
      </c>
      <c r="BI274" s="114" t="str">
        <f>_xlfn.IFNA(VLOOKUP($BD274,Programma!$F$3:$K$1101,6,0),"")</f>
        <v/>
      </c>
      <c r="BJ274" s="114" t="str">
        <f>_xlfn.IFNA(VLOOKUP($BD274,Programma!$F$3:$L$1101,7,0),"")</f>
        <v/>
      </c>
      <c r="BK274" s="114" t="str">
        <f>_xlfn.IFNA(VLOOKUP($BD274,Programma!$F$3:$M$1101,8,0),"")</f>
        <v/>
      </c>
      <c r="BL274" s="114" t="str">
        <f>_xlfn.IFNA(VLOOKUP($BD274,Programma!$F$3:$N$1101,9,0),"")</f>
        <v/>
      </c>
      <c r="BM274" s="114" t="str">
        <f>_xlfn.IFNA(VLOOKUP($BD274,Programma!$F$3:$O$1101,10,0),"")</f>
        <v/>
      </c>
      <c r="BN274" s="114" t="str">
        <f>_xlfn.IFNA(VLOOKUP($BD274,Programma!$F$3:$P$1101,11,0),"")</f>
        <v/>
      </c>
      <c r="BO274" s="114" t="str">
        <f>_xlfn.IFNA(VLOOKUP($BD274,Programma!$F$3:$Q$1101,12,0),"")</f>
        <v/>
      </c>
      <c r="BP274" s="114" t="str">
        <f>_xlfn.IFNA(VLOOKUP($BD274,Programma!$F$3:$R$1101,13,0),"")</f>
        <v/>
      </c>
      <c r="BQ274" s="114" t="str">
        <f>_xlfn.IFNA(VLOOKUP($BD274,Programma!$F$3:$S$1101,14,0),"")</f>
        <v/>
      </c>
      <c r="BR274" s="114" t="str">
        <f>_xlfn.IFNA(VLOOKUP($BD274,Programma!$F$3:$T$1101,15,0),"")</f>
        <v/>
      </c>
      <c r="BS274" s="114" t="str">
        <f>_xlfn.IFNA(VLOOKUP($BD274,Programma!$F$3:$U$1101,16,0),"")</f>
        <v/>
      </c>
      <c r="BT274" s="114" t="str">
        <f>_xlfn.IFNA(VLOOKUP($BD274,Programma!$F$3:$V$1101,17,0),"")</f>
        <v/>
      </c>
      <c r="BU274" s="114" t="str">
        <f>_xlfn.IFNA(VLOOKUP($BD274,Programma!$F$3:$W$1101,18,0),"")</f>
        <v/>
      </c>
      <c r="BV274" s="114" t="str">
        <f>_xlfn.IFNA(VLOOKUP($BD274,Programma!$F$3:$X$1101,19,0),"")</f>
        <v/>
      </c>
      <c r="BW274" s="114" t="str">
        <f>_xlfn.IFNA(VLOOKUP($BD274,Programma!$F$3:$Y$1101,20,0),"")</f>
        <v/>
      </c>
      <c r="BX274" s="28"/>
      <c r="BY274" s="28"/>
      <c r="BZ274" s="28"/>
      <c r="CA274" s="28"/>
      <c r="CB274" s="28"/>
      <c r="CC274" s="28"/>
      <c r="CD274" s="28"/>
      <c r="CE274" s="28"/>
      <c r="CF274" s="28"/>
      <c r="CG274" s="28"/>
      <c r="CH274" s="28"/>
      <c r="CI274" s="28"/>
      <c r="CJ274" s="28"/>
      <c r="CK274" s="28"/>
      <c r="CL274" s="28"/>
      <c r="CM274" s="28"/>
      <c r="CN274" s="28"/>
      <c r="CO274" s="28"/>
      <c r="CP274" s="28"/>
      <c r="CQ274" s="28"/>
      <c r="CR274" s="28"/>
      <c r="CS274" s="28"/>
      <c r="CT274" s="28"/>
      <c r="CU274" s="28"/>
      <c r="CV274" s="28"/>
      <c r="CW274" s="28"/>
      <c r="CX274" s="28"/>
      <c r="CY274" s="28"/>
      <c r="CZ274" s="28"/>
      <c r="DA274" s="28"/>
      <c r="DB274" s="28"/>
      <c r="DC274" s="28"/>
      <c r="DD274" s="28"/>
      <c r="DE274" s="28"/>
      <c r="DF274" s="28"/>
      <c r="DG274" s="28"/>
      <c r="DH274" s="28"/>
      <c r="DI274" s="28"/>
      <c r="DJ274" s="28"/>
      <c r="DK274" s="28"/>
      <c r="DL274" s="28"/>
      <c r="DM274" s="28"/>
      <c r="DN274" s="28"/>
      <c r="DO274" s="28"/>
      <c r="DP274" s="28"/>
      <c r="DQ274" s="28"/>
      <c r="DR274" s="28"/>
      <c r="DS274" s="28"/>
      <c r="DT274" s="28"/>
      <c r="DU274" s="28"/>
      <c r="DV274" s="28"/>
      <c r="DW274" s="28"/>
      <c r="DX274" s="28"/>
      <c r="DY274" s="28"/>
      <c r="DZ274" s="28"/>
      <c r="EA274" s="28"/>
      <c r="EB274" s="28"/>
      <c r="EC274" s="28"/>
      <c r="ED274" s="28"/>
      <c r="EE274" s="28"/>
      <c r="EF274" s="28"/>
      <c r="EG274" s="28"/>
      <c r="EH274" s="28"/>
      <c r="EI274" s="28"/>
      <c r="EJ274" s="28"/>
      <c r="EK274" s="28"/>
      <c r="EL274" s="28"/>
      <c r="EM274" s="28"/>
      <c r="EN274" s="28"/>
      <c r="EO274" s="28"/>
      <c r="EP274" s="28"/>
      <c r="EQ274" s="28"/>
      <c r="ER274" s="28"/>
      <c r="ES274" s="28"/>
      <c r="ET274" s="28"/>
      <c r="EU274" s="28"/>
      <c r="EV274" s="28"/>
      <c r="EW274" s="28"/>
      <c r="EX274" s="28"/>
      <c r="EY274" s="28"/>
      <c r="EZ274" s="28"/>
      <c r="FA274" s="28"/>
      <c r="FB274" s="28"/>
      <c r="FC274" s="28"/>
      <c r="FD274" s="28"/>
      <c r="FE274" s="28"/>
      <c r="FF274" s="28"/>
      <c r="FG274" s="28"/>
      <c r="FH274" s="28"/>
      <c r="FI274" s="28"/>
      <c r="FJ274" s="28"/>
      <c r="FK274" s="28"/>
      <c r="FL274" s="28"/>
      <c r="FM274" s="28"/>
      <c r="FN274" s="28"/>
      <c r="FO274" s="28"/>
      <c r="FP274" s="28"/>
      <c r="FQ274" s="28"/>
      <c r="FR274" s="28"/>
      <c r="FS274" s="28"/>
      <c r="FT274" s="28"/>
      <c r="FU274" s="28"/>
      <c r="FV274" s="28"/>
      <c r="FW274" s="28"/>
      <c r="FX274" s="28"/>
      <c r="FY274" s="28"/>
      <c r="FZ274" s="28"/>
      <c r="GA274" s="28"/>
      <c r="GB274" s="28"/>
      <c r="GC274" s="28"/>
      <c r="GD274" s="28"/>
      <c r="GE274" s="28"/>
      <c r="GF274" s="28"/>
      <c r="GG274" s="28"/>
      <c r="GH274" s="28"/>
      <c r="GI274" s="28"/>
      <c r="GJ274" s="28"/>
      <c r="GK274" s="28"/>
      <c r="GL274" s="28"/>
      <c r="GM274" s="28"/>
      <c r="GN274" s="28"/>
      <c r="GO274" s="28"/>
      <c r="GP274" s="28"/>
      <c r="GQ274" s="28"/>
      <c r="GR274" s="28"/>
      <c r="GS274" s="28"/>
      <c r="GT274" s="28"/>
      <c r="GU274" s="28"/>
      <c r="GV274" s="28"/>
      <c r="GW274" s="28"/>
      <c r="GX274" s="28"/>
      <c r="GY274" s="28"/>
      <c r="GZ274" s="28"/>
      <c r="HA274" s="28"/>
      <c r="HB274" s="28"/>
      <c r="HC274" s="28"/>
      <c r="HD274" s="28"/>
      <c r="HE274" s="28"/>
      <c r="HF274" s="28"/>
      <c r="HG274" s="28"/>
      <c r="HH274" s="28"/>
      <c r="HI274" s="28"/>
      <c r="HJ274" s="28"/>
      <c r="HK274" s="28"/>
      <c r="HL274" s="28"/>
    </row>
    <row r="275" spans="1:220" ht="15" customHeight="1">
      <c r="A275" s="31">
        <v>5</v>
      </c>
      <c r="B275" s="105" t="str">
        <f>VLOOKUP(Ruimtestaat[[#This Row],[Code]],Locaties[[Code]:[Locatie]],2,FALSE)</f>
        <v>IKC Remigius</v>
      </c>
      <c r="C275" s="105" t="str">
        <f>VLOOKUP(Ruimtestaat[[#This Row],[Code]],Locaties[[#All],[Code]:[Adres]],4,FALSE)</f>
        <v>Liemersplein 1</v>
      </c>
      <c r="D275" s="105" t="str">
        <f>VLOOKUP(Ruimtestaat[[#This Row],[Code]],Locaties[[#All],[Code]:[Postcode]],5,FALSE)</f>
        <v xml:space="preserve">6921 HN </v>
      </c>
      <c r="E275" s="105" t="str">
        <f>VLOOKUP(Ruimtestaat[[#This Row],[Code]],Locaties[#All],6,FALSE)</f>
        <v>Duiven</v>
      </c>
      <c r="F275" s="113"/>
      <c r="G275" s="31" t="s">
        <v>1892</v>
      </c>
      <c r="H275" s="31" t="s">
        <v>1891</v>
      </c>
      <c r="I275" s="113" t="s">
        <v>1812</v>
      </c>
      <c r="J275" s="31">
        <v>20</v>
      </c>
      <c r="K275" s="113" t="str">
        <f>VLOOKUP(Ruimtestaat[[#This Row],[Ruimte code]],Ruimtegroepen[[#All],[Code]:[Ruimte omschrijving]],2,FALSE)</f>
        <v>Niet in Onderhoud</v>
      </c>
      <c r="L275" s="73"/>
      <c r="M275" s="273"/>
      <c r="N275" s="106"/>
      <c r="O275" s="112">
        <v>26.7</v>
      </c>
      <c r="P275" s="112"/>
      <c r="Q275" s="107">
        <f>VLOOKUP(Ruimtestaat[[#This Row],[Ruimte code]],Ruimtegroepen[],4,FALSE)</f>
        <v>0</v>
      </c>
      <c r="R275" s="73"/>
      <c r="S275" s="73"/>
      <c r="T275" s="73">
        <f>IF(R275&gt;0,IF(RIGHT(Ruimtestaat[[#This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5" s="73">
        <f>IF(T275&gt;0,VLOOKUP($J275,Ruimtegroepen[],3,FALSE)*VLOOKUP($L275,Vloersoorten[],3,FALSE)*VLOOKUP($S275,Frequenties[],3,FALSE)*VLOOKUP($A275,Locaties[],3,FALSE),0)</f>
        <v>0</v>
      </c>
      <c r="V275" s="73">
        <f>Ruimtestaat[[#This Row],[Uitvoeringen werkdagen]]*Ruimtestaat[[#This Row],[Oppervlak (netto)]]</f>
        <v>0</v>
      </c>
      <c r="W275" s="108">
        <f>IF(U275&gt;0,Ruimtestaat[[#This Row],[Prest. (m2 /jaar) werkdagen]]/Ruimtestaat[[#This Row],[Norm (m2/uur) werkdagen]],0)</f>
        <v>0</v>
      </c>
      <c r="X275" s="109">
        <f>Ruimtestaat[[#This Row],[uren / jaar werkdagen]]*Tariefsopbouw!$E$35</f>
        <v>0</v>
      </c>
      <c r="Y275" s="73"/>
      <c r="Z275" s="73">
        <f>IF(Ruimtestaat[[#This Row],[Frequentie weekend]]&gt;0,VALUE(LEFT(Y275,1))*R275,0)</f>
        <v>0</v>
      </c>
      <c r="AA275" s="72">
        <f>IF($Z275&gt;0,VLOOKUP($J275,Ruimtegroepen[],3,FALSE)*VLOOKUP($L275,Vloersoorten[],3,FALSE)*VLOOKUP($Y275,Frequenties[],3,FALSE)*VLOOKUP(Ruimtestaat[[#This Row],[Code]],Locaties[],3,FALSE),0)</f>
        <v>0</v>
      </c>
      <c r="AB275" s="72">
        <f>Ruimtestaat[[#This Row],[Uitvoeringen weekend]]*Ruimtestaat[[#This Row],[Oppervlak (netto)]]</f>
        <v>0</v>
      </c>
      <c r="AC275" s="72">
        <f>IF(AA275&gt;0,Ruimtestaat[[#This Row],[Prest. (m2 /jaar) weekend]]/Ruimtestaat[[#This Row],[Norm (m2/uur) weekend]],0)</f>
        <v>0</v>
      </c>
      <c r="AD275" s="109">
        <f>Ruimtestaat[[#This Row],[uren / jaar weekend]]*Tariefsopbouw!$D$40</f>
        <v>0</v>
      </c>
      <c r="AE275" s="108">
        <f>Ruimtestaat[[#This Row],[Prest. (m2 /jaar) weekend]]+Ruimtestaat[[#This Row],[Prest. (m2 /jaar) werkdagen]]</f>
        <v>0</v>
      </c>
      <c r="AF275" s="108">
        <f>Ruimtestaat[[#This Row],[uren / jaar weekend]]+Ruimtestaat[[#This Row],[uren / jaar werkdagen]]</f>
        <v>0</v>
      </c>
      <c r="AG275" s="103">
        <f>Ruimtestaat[[#This Row],[kosten / jaar weekend]]+Ruimtestaat[[#This Row],[kosten / jaar werkdagen]]</f>
        <v>0</v>
      </c>
      <c r="AH275" s="103"/>
      <c r="AI275" s="110" t="str">
        <f>IF(Ruimtestaat[[#This Row],[Frequentie werkdagen]]="","",_xlfn.CONCAT(Ruimtestaat[[#This Row],[Ruimte code]],"-",Ruimtestaat[[#This Row],[Frequentie werkdagen]]," ",Ruimtestaat[[#This Row],[Vloer code]]))</f>
        <v/>
      </c>
      <c r="AJ275" s="114" t="str">
        <f>_xlfn.IFNA(VLOOKUP($AI275,Programma!$F$3:$G$1101,2,0),"")</f>
        <v/>
      </c>
      <c r="AK275" s="114" t="str">
        <f>_xlfn.IFNA(VLOOKUP($AI275,Programma!$F$3:$H$1101,3,0),"")</f>
        <v/>
      </c>
      <c r="AL275" s="114" t="str">
        <f>_xlfn.IFNA(VLOOKUP($AI275,Programma!$F$3:$I$1101,4,0),"")</f>
        <v/>
      </c>
      <c r="AM275" s="114" t="str">
        <f>_xlfn.IFNA(VLOOKUP($AI275,Programma!$F$3:$J$1101,5,0),"")</f>
        <v/>
      </c>
      <c r="AN275" s="114" t="str">
        <f>_xlfn.IFNA(VLOOKUP($AI275,Programma!$F$3:$K$1101,6,0),"")</f>
        <v/>
      </c>
      <c r="AO275" s="114" t="str">
        <f>_xlfn.IFNA(VLOOKUP($AI275,Programma!$F$3:$L$1101,7,0),"")</f>
        <v/>
      </c>
      <c r="AP275" s="114" t="str">
        <f>_xlfn.IFNA(VLOOKUP($AI275,Programma!$F$3:$M$1101,8,0),"")</f>
        <v/>
      </c>
      <c r="AQ275" s="114" t="str">
        <f>_xlfn.IFNA(VLOOKUP($AI275,Programma!$F$3:$N$1101,9,0),"")</f>
        <v/>
      </c>
      <c r="AR275" s="114" t="str">
        <f>_xlfn.IFNA(VLOOKUP($AI275,Programma!$F$3:$O$1101,10,0),"")</f>
        <v/>
      </c>
      <c r="AS275" s="114" t="str">
        <f>_xlfn.IFNA(VLOOKUP($AI275,Programma!$F$3:$P$1101,11,0),"")</f>
        <v/>
      </c>
      <c r="AT275" s="114" t="str">
        <f>_xlfn.IFNA(VLOOKUP($AI275,Programma!$F$3:$Q$1101,12,0),"")</f>
        <v/>
      </c>
      <c r="AU275" s="114" t="str">
        <f>_xlfn.IFNA(VLOOKUP($AI275,Programma!$F$3:$R$1101,13,0),"")</f>
        <v/>
      </c>
      <c r="AV275" s="114" t="str">
        <f>_xlfn.IFNA(VLOOKUP($AI275,Programma!$F$3:$S$1101,14,0),"")</f>
        <v/>
      </c>
      <c r="AW275" s="114" t="str">
        <f>_xlfn.IFNA(VLOOKUP($AI275,Programma!$F$3:$T$1101,15,0),"")</f>
        <v/>
      </c>
      <c r="AX275" s="114" t="str">
        <f>_xlfn.IFNA(VLOOKUP($AI275,Programma!$F$3:$U$1101,16,0),"")</f>
        <v/>
      </c>
      <c r="AY275" s="114" t="str">
        <f>_xlfn.IFNA(VLOOKUP($AI275,Programma!$F$3:$V$1101,17,0),"")</f>
        <v/>
      </c>
      <c r="AZ275" s="114" t="str">
        <f>_xlfn.IFNA(VLOOKUP($AI275,Programma!$F$3:$W$1101,18,0),"")</f>
        <v/>
      </c>
      <c r="BA275" s="114" t="str">
        <f>_xlfn.IFNA(VLOOKUP($AI275,Programma!$F$3:$X$1101,19,0),"")</f>
        <v/>
      </c>
      <c r="BB275" s="114" t="str">
        <f>_xlfn.IFNA(VLOOKUP($AI275,Programma!$F$3:$Y$1101,20,0),"")</f>
        <v/>
      </c>
      <c r="BC275" s="111"/>
      <c r="BD275" s="110" t="str">
        <f>IF(Ruimtestaat[[#This Row],[Frequentie weekend]]="","",_xlfn.CONCAT(Ruimtestaat[[#This Row],[Ruimte code]],"-",Ruimtestaat[[#This Row],[Frequentie weekend]]," ",Ruimtestaat[[#This Row],[Vloer code]]))</f>
        <v/>
      </c>
      <c r="BE275" s="114" t="str">
        <f>_xlfn.IFNA(VLOOKUP($BD275,Programma!$F$3:$G$1101,2,0),"")</f>
        <v/>
      </c>
      <c r="BF275" s="114" t="str">
        <f>_xlfn.IFNA(VLOOKUP($BD275,Programma!$F$3:$H$1101,3,0),"")</f>
        <v/>
      </c>
      <c r="BG275" s="114" t="str">
        <f>_xlfn.IFNA(VLOOKUP($BD275,Programma!$F$3:$I$1101,4,0),"")</f>
        <v/>
      </c>
      <c r="BH275" s="114" t="str">
        <f>_xlfn.IFNA(VLOOKUP($BD275,Programma!$F$3:$J$1101,5,0),"")</f>
        <v/>
      </c>
      <c r="BI275" s="114" t="str">
        <f>_xlfn.IFNA(VLOOKUP($BD275,Programma!$F$3:$K$1101,6,0),"")</f>
        <v/>
      </c>
      <c r="BJ275" s="114" t="str">
        <f>_xlfn.IFNA(VLOOKUP($BD275,Programma!$F$3:$L$1101,7,0),"")</f>
        <v/>
      </c>
      <c r="BK275" s="114" t="str">
        <f>_xlfn.IFNA(VLOOKUP($BD275,Programma!$F$3:$M$1101,8,0),"")</f>
        <v/>
      </c>
      <c r="BL275" s="114" t="str">
        <f>_xlfn.IFNA(VLOOKUP($BD275,Programma!$F$3:$N$1101,9,0),"")</f>
        <v/>
      </c>
      <c r="BM275" s="114" t="str">
        <f>_xlfn.IFNA(VLOOKUP($BD275,Programma!$F$3:$O$1101,10,0),"")</f>
        <v/>
      </c>
      <c r="BN275" s="114" t="str">
        <f>_xlfn.IFNA(VLOOKUP($BD275,Programma!$F$3:$P$1101,11,0),"")</f>
        <v/>
      </c>
      <c r="BO275" s="114" t="str">
        <f>_xlfn.IFNA(VLOOKUP($BD275,Programma!$F$3:$Q$1101,12,0),"")</f>
        <v/>
      </c>
      <c r="BP275" s="114" t="str">
        <f>_xlfn.IFNA(VLOOKUP($BD275,Programma!$F$3:$R$1101,13,0),"")</f>
        <v/>
      </c>
      <c r="BQ275" s="114" t="str">
        <f>_xlfn.IFNA(VLOOKUP($BD275,Programma!$F$3:$S$1101,14,0),"")</f>
        <v/>
      </c>
      <c r="BR275" s="114" t="str">
        <f>_xlfn.IFNA(VLOOKUP($BD275,Programma!$F$3:$T$1101,15,0),"")</f>
        <v/>
      </c>
      <c r="BS275" s="114" t="str">
        <f>_xlfn.IFNA(VLOOKUP($BD275,Programma!$F$3:$U$1101,16,0),"")</f>
        <v/>
      </c>
      <c r="BT275" s="114" t="str">
        <f>_xlfn.IFNA(VLOOKUP($BD275,Programma!$F$3:$V$1101,17,0),"")</f>
        <v/>
      </c>
      <c r="BU275" s="114" t="str">
        <f>_xlfn.IFNA(VLOOKUP($BD275,Programma!$F$3:$W$1101,18,0),"")</f>
        <v/>
      </c>
      <c r="BV275" s="114" t="str">
        <f>_xlfn.IFNA(VLOOKUP($BD275,Programma!$F$3:$X$1101,19,0),"")</f>
        <v/>
      </c>
      <c r="BW275" s="114" t="str">
        <f>_xlfn.IFNA(VLOOKUP($BD275,Programma!$F$3:$Y$1101,20,0),"")</f>
        <v/>
      </c>
      <c r="BX275" s="28"/>
      <c r="BY275" s="28"/>
      <c r="BZ275" s="28"/>
      <c r="CA275" s="28"/>
      <c r="CB275" s="28"/>
      <c r="CC275" s="28"/>
      <c r="CD275" s="28"/>
      <c r="CE275" s="28"/>
      <c r="CF275" s="28"/>
      <c r="CG275" s="28"/>
      <c r="CH275" s="28"/>
      <c r="CI275" s="28"/>
      <c r="CJ275" s="28"/>
      <c r="CK275" s="28"/>
      <c r="CL275" s="28"/>
      <c r="CM275" s="28"/>
      <c r="CN275" s="28"/>
      <c r="CO275" s="28"/>
      <c r="CP275" s="28"/>
      <c r="CQ275" s="28"/>
      <c r="CR275" s="28"/>
      <c r="CS275" s="28"/>
      <c r="CT275" s="28"/>
      <c r="CU275" s="28"/>
      <c r="CV275" s="28"/>
      <c r="CW275" s="28"/>
      <c r="CX275" s="28"/>
      <c r="CY275" s="28"/>
      <c r="CZ275" s="28"/>
      <c r="DA275" s="28"/>
      <c r="DB275" s="28"/>
      <c r="DC275" s="28"/>
      <c r="DD275" s="28"/>
      <c r="DE275" s="28"/>
      <c r="DF275" s="28"/>
      <c r="DG275" s="28"/>
      <c r="DH275" s="28"/>
      <c r="DI275" s="28"/>
      <c r="DJ275" s="28"/>
      <c r="DK275" s="28"/>
      <c r="DL275" s="28"/>
      <c r="DM275" s="28"/>
      <c r="DN275" s="28"/>
      <c r="DO275" s="28"/>
      <c r="DP275" s="28"/>
      <c r="DQ275" s="28"/>
      <c r="DR275" s="28"/>
      <c r="DS275" s="28"/>
      <c r="DT275" s="28"/>
      <c r="DU275" s="28"/>
      <c r="DV275" s="28"/>
      <c r="DW275" s="28"/>
      <c r="DX275" s="28"/>
      <c r="DY275" s="28"/>
      <c r="DZ275" s="28"/>
      <c r="EA275" s="28"/>
      <c r="EB275" s="28"/>
      <c r="EC275" s="28"/>
      <c r="ED275" s="28"/>
      <c r="EE275" s="28"/>
      <c r="EF275" s="28"/>
      <c r="EG275" s="28"/>
      <c r="EH275" s="28"/>
      <c r="EI275" s="28"/>
      <c r="EJ275" s="28"/>
      <c r="EK275" s="28"/>
      <c r="EL275" s="28"/>
      <c r="EM275" s="28"/>
      <c r="EN275" s="28"/>
      <c r="EO275" s="28"/>
      <c r="EP275" s="28"/>
      <c r="EQ275" s="28"/>
      <c r="ER275" s="28"/>
      <c r="ES275" s="28"/>
      <c r="ET275" s="28"/>
      <c r="EU275" s="28"/>
      <c r="EV275" s="28"/>
      <c r="EW275" s="28"/>
      <c r="EX275" s="28"/>
      <c r="EY275" s="28"/>
      <c r="EZ275" s="28"/>
      <c r="FA275" s="28"/>
      <c r="FB275" s="28"/>
      <c r="FC275" s="28"/>
      <c r="FD275" s="28"/>
      <c r="FE275" s="28"/>
      <c r="FF275" s="28"/>
      <c r="FG275" s="28"/>
      <c r="FH275" s="28"/>
      <c r="FI275" s="28"/>
      <c r="FJ275" s="28"/>
      <c r="FK275" s="28"/>
      <c r="FL275" s="28"/>
      <c r="FM275" s="28"/>
      <c r="FN275" s="28"/>
      <c r="FO275" s="28"/>
      <c r="FP275" s="28"/>
      <c r="FQ275" s="28"/>
      <c r="FR275" s="28"/>
      <c r="FS275" s="28"/>
      <c r="FT275" s="28"/>
      <c r="FU275" s="28"/>
      <c r="FV275" s="28"/>
      <c r="FW275" s="28"/>
      <c r="FX275" s="28"/>
      <c r="FY275" s="28"/>
      <c r="FZ275" s="28"/>
      <c r="GA275" s="28"/>
      <c r="GB275" s="28"/>
      <c r="GC275" s="28"/>
      <c r="GD275" s="28"/>
      <c r="GE275" s="28"/>
      <c r="GF275" s="28"/>
      <c r="GG275" s="28"/>
      <c r="GH275" s="28"/>
      <c r="GI275" s="28"/>
      <c r="GJ275" s="28"/>
      <c r="GK275" s="28"/>
      <c r="GL275" s="28"/>
      <c r="GM275" s="28"/>
      <c r="GN275" s="28"/>
      <c r="GO275" s="28"/>
      <c r="GP275" s="28"/>
      <c r="GQ275" s="28"/>
      <c r="GR275" s="28"/>
      <c r="GS275" s="28"/>
      <c r="GT275" s="28"/>
      <c r="GU275" s="28"/>
      <c r="GV275" s="28"/>
      <c r="GW275" s="28"/>
      <c r="GX275" s="28"/>
      <c r="GY275" s="28"/>
      <c r="GZ275" s="28"/>
      <c r="HA275" s="28"/>
      <c r="HB275" s="28"/>
      <c r="HC275" s="28"/>
      <c r="HD275" s="28"/>
      <c r="HE275" s="28"/>
      <c r="HF275" s="28"/>
      <c r="HG275" s="28"/>
      <c r="HH275" s="28"/>
      <c r="HI275" s="28"/>
      <c r="HJ275" s="28"/>
      <c r="HK275" s="28"/>
      <c r="HL275" s="28"/>
    </row>
    <row r="276" spans="1:220" ht="15" customHeight="1">
      <c r="A276" s="31">
        <v>6</v>
      </c>
      <c r="B276" s="105" t="str">
        <f>VLOOKUP(Ruimtestaat[[#This Row],[Code]],Locaties[[Code]:[Locatie]],2,FALSE)</f>
        <v>IKC Joannes</v>
      </c>
      <c r="C276" s="105" t="str">
        <f>VLOOKUP(Ruimtestaat[[#This Row],[Code]],Locaties[[#All],[Code]:[Adres]],4,FALSE)</f>
        <v>Kerkakkers 4</v>
      </c>
      <c r="D276" s="105" t="str">
        <f>VLOOKUP(Ruimtestaat[[#This Row],[Code]],Locaties[[#All],[Code]:[Postcode]],5,FALSE)</f>
        <v>6923 BZ</v>
      </c>
      <c r="E276" s="105" t="str">
        <f>VLOOKUP(Ruimtestaat[[#This Row],[Code]],Locaties[#All],6,FALSE)</f>
        <v>Groessen</v>
      </c>
      <c r="F276" s="113" t="s">
        <v>1895</v>
      </c>
      <c r="G276" s="31" t="s">
        <v>1645</v>
      </c>
      <c r="H276" s="31" t="s">
        <v>1931</v>
      </c>
      <c r="I276" s="113" t="s">
        <v>38</v>
      </c>
      <c r="J276" s="31">
        <v>7</v>
      </c>
      <c r="K276" s="113" t="str">
        <f>VLOOKUP(Ruimtestaat[[#This Row],[Ruimte code]],Ruimtegroepen[[#All],[Code]:[Ruimte omschrijving]],2,FALSE)</f>
        <v>Entree</v>
      </c>
      <c r="L276" s="31" t="s">
        <v>99</v>
      </c>
      <c r="M276" s="31" t="s">
        <v>36</v>
      </c>
      <c r="N276" s="106">
        <v>14</v>
      </c>
      <c r="O276" s="73"/>
      <c r="P276" s="73"/>
      <c r="Q276" s="107" t="str">
        <f>VLOOKUP(Ruimtestaat[[#This Row],[Ruimte code]],Ruimtegroepen[],4,FALSE)</f>
        <v>Ve</v>
      </c>
      <c r="R276" s="73">
        <v>40</v>
      </c>
      <c r="S276" s="73" t="s">
        <v>2</v>
      </c>
      <c r="T276" s="73">
        <f>IF(R276&gt;0,IF(RIGHT(Ruimtestaat[[#This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6" s="73">
        <f>IF(T276&gt;0,VLOOKUP($J276,Ruimtegroepen[],3,FALSE)*VLOOKUP($L276,Vloersoorten[],3,FALSE)*VLOOKUP($S276,Frequenties[],3,FALSE)*VLOOKUP($A276,Locaties[],3,FALSE),0)</f>
        <v>0</v>
      </c>
      <c r="V276" s="73">
        <f>Ruimtestaat[[#This Row],[Uitvoeringen werkdagen]]*Ruimtestaat[[#This Row],[Oppervlak (netto)]]</f>
        <v>2800</v>
      </c>
      <c r="W276" s="108">
        <f>IF(U276&gt;0,Ruimtestaat[[#This Row],[Prest. (m2 /jaar) werkdagen]]/Ruimtestaat[[#This Row],[Norm (m2/uur) werkdagen]],0)</f>
        <v>0</v>
      </c>
      <c r="X276" s="109">
        <f>Ruimtestaat[[#This Row],[uren / jaar werkdagen]]*Tariefsopbouw!$E$35</f>
        <v>0</v>
      </c>
      <c r="Y276" s="73"/>
      <c r="Z276" s="73">
        <f>IF(Ruimtestaat[[#This Row],[Frequentie weekend]]&gt;0,VALUE(LEFT(Y276,1))*R276,0)</f>
        <v>0</v>
      </c>
      <c r="AA276" s="72">
        <f>IF($Z276&gt;0,VLOOKUP($J276,Ruimtegroepen[],3,FALSE)*VLOOKUP($L276,Vloersoorten[],3,FALSE)*VLOOKUP($Y276,Frequenties[],3,FALSE)*VLOOKUP(Ruimtestaat[[#This Row],[Code]],Locaties[],3,FALSE),0)</f>
        <v>0</v>
      </c>
      <c r="AB276" s="72">
        <f>Ruimtestaat[[#This Row],[Uitvoeringen weekend]]*Ruimtestaat[[#This Row],[Oppervlak (netto)]]</f>
        <v>0</v>
      </c>
      <c r="AC276" s="72">
        <f>IF(AA276&gt;0,Ruimtestaat[[#This Row],[Prest. (m2 /jaar) weekend]]/Ruimtestaat[[#This Row],[Norm (m2/uur) weekend]],0)</f>
        <v>0</v>
      </c>
      <c r="AD276" s="109">
        <f>Ruimtestaat[[#This Row],[uren / jaar weekend]]*Tariefsopbouw!$D$40</f>
        <v>0</v>
      </c>
      <c r="AE276" s="108">
        <f>Ruimtestaat[[#This Row],[Prest. (m2 /jaar) weekend]]+Ruimtestaat[[#This Row],[Prest. (m2 /jaar) werkdagen]]</f>
        <v>2800</v>
      </c>
      <c r="AF276" s="108">
        <f>Ruimtestaat[[#This Row],[uren / jaar weekend]]+Ruimtestaat[[#This Row],[uren / jaar werkdagen]]</f>
        <v>0</v>
      </c>
      <c r="AG276" s="103">
        <f>Ruimtestaat[[#This Row],[kosten / jaar weekend]]+Ruimtestaat[[#This Row],[kosten / jaar werkdagen]]</f>
        <v>0</v>
      </c>
      <c r="AH276" s="103"/>
      <c r="AI276" s="110" t="str">
        <f>IF(Ruimtestaat[[#This Row],[Frequentie werkdagen]]="","",_xlfn.CONCAT(Ruimtestaat[[#This Row],[Ruimte code]],"-",Ruimtestaat[[#This Row],[Frequentie werkdagen]]," ",Ruimtestaat[[#This Row],[Vloer code]]))</f>
        <v>7-5w T</v>
      </c>
      <c r="AJ276" s="114" t="str">
        <f>_xlfn.IFNA(VLOOKUP($AI276,Programma!$F$3:$G$1101,2,0),"")</f>
        <v>_</v>
      </c>
      <c r="AK276" s="114" t="str">
        <f>_xlfn.IFNA(VLOOKUP($AI276,Programma!$F$3:$H$1101,3,0),"")</f>
        <v>5w</v>
      </c>
      <c r="AL276" s="114" t="str">
        <f>_xlfn.IFNA(VLOOKUP($AI276,Programma!$F$3:$I$1101,4,0),"")</f>
        <v>_</v>
      </c>
      <c r="AM276" s="114" t="str">
        <f>_xlfn.IFNA(VLOOKUP($AI276,Programma!$F$3:$J$1101,5,0),"")</f>
        <v>_</v>
      </c>
      <c r="AN276" s="114" t="str">
        <f>_xlfn.IFNA(VLOOKUP($AI276,Programma!$F$3:$K$1101,6,0),"")</f>
        <v>_</v>
      </c>
      <c r="AO276" s="114" t="str">
        <f>_xlfn.IFNA(VLOOKUP($AI276,Programma!$F$3:$L$1101,7,0),"")</f>
        <v>_</v>
      </c>
      <c r="AP276" s="114" t="str">
        <f>_xlfn.IFNA(VLOOKUP($AI276,Programma!$F$3:$M$1101,8,0),"")</f>
        <v>_</v>
      </c>
      <c r="AQ276" s="114" t="str">
        <f>_xlfn.IFNA(VLOOKUP($AI276,Programma!$F$3:$N$1101,9,0),"")</f>
        <v>_</v>
      </c>
      <c r="AR276" s="114" t="str">
        <f>_xlfn.IFNA(VLOOKUP($AI276,Programma!$F$3:$O$1101,10,0),"")</f>
        <v>5w</v>
      </c>
      <c r="AS276" s="114" t="str">
        <f>_xlfn.IFNA(VLOOKUP($AI276,Programma!$F$3:$P$1101,11,0),"")</f>
        <v>5w</v>
      </c>
      <c r="AT276" s="114" t="str">
        <f>_xlfn.IFNA(VLOOKUP($AI276,Programma!$F$3:$Q$1101,12,0),"")</f>
        <v>1w</v>
      </c>
      <c r="AU276" s="114" t="str">
        <f>_xlfn.IFNA(VLOOKUP($AI276,Programma!$F$3:$R$1101,13,0),"")</f>
        <v>1w</v>
      </c>
      <c r="AV276" s="114" t="str">
        <f>_xlfn.IFNA(VLOOKUP($AI276,Programma!$F$3:$S$1101,14,0),"")</f>
        <v>1m</v>
      </c>
      <c r="AW276" s="114" t="str">
        <f>_xlfn.IFNA(VLOOKUP($AI276,Programma!$F$3:$T$1101,15,0),"")</f>
        <v>2j</v>
      </c>
      <c r="AX276" s="114" t="str">
        <f>_xlfn.IFNA(VLOOKUP($AI276,Programma!$F$3:$U$1101,16,0),"")</f>
        <v>1j</v>
      </c>
      <c r="AY276" s="114" t="str">
        <f>_xlfn.IFNA(VLOOKUP($AI276,Programma!$F$3:$V$1101,17,0),"")</f>
        <v>_</v>
      </c>
      <c r="AZ276" s="114" t="str">
        <f>_xlfn.IFNA(VLOOKUP($AI276,Programma!$F$3:$W$1101,18,0),"")</f>
        <v>_</v>
      </c>
      <c r="BA276" s="114" t="str">
        <f>_xlfn.IFNA(VLOOKUP($AI276,Programma!$F$3:$X$1101,19,0),"")</f>
        <v>_</v>
      </c>
      <c r="BB276" s="114" t="str">
        <f>_xlfn.IFNA(VLOOKUP($AI276,Programma!$F$3:$Y$1101,20,0),"")</f>
        <v>_</v>
      </c>
      <c r="BC276" s="111"/>
      <c r="BD276" s="110" t="str">
        <f>IF(Ruimtestaat[[#This Row],[Frequentie weekend]]="","",_xlfn.CONCAT(Ruimtestaat[[#This Row],[Ruimte code]],"-",Ruimtestaat[[#This Row],[Frequentie weekend]]," ",Ruimtestaat[[#This Row],[Vloer code]]))</f>
        <v/>
      </c>
      <c r="BE276" s="114" t="str">
        <f>_xlfn.IFNA(VLOOKUP($BD276,Programma!$F$3:$G$1101,2,0),"")</f>
        <v/>
      </c>
      <c r="BF276" s="114" t="str">
        <f>_xlfn.IFNA(VLOOKUP($BD276,Programma!$F$3:$H$1101,3,0),"")</f>
        <v/>
      </c>
      <c r="BG276" s="114" t="str">
        <f>_xlfn.IFNA(VLOOKUP($BD276,Programma!$F$3:$I$1101,4,0),"")</f>
        <v/>
      </c>
      <c r="BH276" s="114" t="str">
        <f>_xlfn.IFNA(VLOOKUP($BD276,Programma!$F$3:$J$1101,5,0),"")</f>
        <v/>
      </c>
      <c r="BI276" s="114" t="str">
        <f>_xlfn.IFNA(VLOOKUP($BD276,Programma!$F$3:$K$1101,6,0),"")</f>
        <v/>
      </c>
      <c r="BJ276" s="114" t="str">
        <f>_xlfn.IFNA(VLOOKUP($BD276,Programma!$F$3:$L$1101,7,0),"")</f>
        <v/>
      </c>
      <c r="BK276" s="114" t="str">
        <f>_xlfn.IFNA(VLOOKUP($BD276,Programma!$F$3:$M$1101,8,0),"")</f>
        <v/>
      </c>
      <c r="BL276" s="114" t="str">
        <f>_xlfn.IFNA(VLOOKUP($BD276,Programma!$F$3:$N$1101,9,0),"")</f>
        <v/>
      </c>
      <c r="BM276" s="114" t="str">
        <f>_xlfn.IFNA(VLOOKUP($BD276,Programma!$F$3:$O$1101,10,0),"")</f>
        <v/>
      </c>
      <c r="BN276" s="114" t="str">
        <f>_xlfn.IFNA(VLOOKUP($BD276,Programma!$F$3:$P$1101,11,0),"")</f>
        <v/>
      </c>
      <c r="BO276" s="114" t="str">
        <f>_xlfn.IFNA(VLOOKUP($BD276,Programma!$F$3:$Q$1101,12,0),"")</f>
        <v/>
      </c>
      <c r="BP276" s="114" t="str">
        <f>_xlfn.IFNA(VLOOKUP($BD276,Programma!$F$3:$R$1101,13,0),"")</f>
        <v/>
      </c>
      <c r="BQ276" s="114" t="str">
        <f>_xlfn.IFNA(VLOOKUP($BD276,Programma!$F$3:$S$1101,14,0),"")</f>
        <v/>
      </c>
      <c r="BR276" s="114" t="str">
        <f>_xlfn.IFNA(VLOOKUP($BD276,Programma!$F$3:$T$1101,15,0),"")</f>
        <v/>
      </c>
      <c r="BS276" s="114" t="str">
        <f>_xlfn.IFNA(VLOOKUP($BD276,Programma!$F$3:$U$1101,16,0),"")</f>
        <v/>
      </c>
      <c r="BT276" s="114" t="str">
        <f>_xlfn.IFNA(VLOOKUP($BD276,Programma!$F$3:$V$1101,17,0),"")</f>
        <v/>
      </c>
      <c r="BU276" s="114" t="str">
        <f>_xlfn.IFNA(VLOOKUP($BD276,Programma!$F$3:$W$1101,18,0),"")</f>
        <v/>
      </c>
      <c r="BV276" s="114" t="str">
        <f>_xlfn.IFNA(VLOOKUP($BD276,Programma!$F$3:$X$1101,19,0),"")</f>
        <v/>
      </c>
      <c r="BW276" s="114" t="str">
        <f>_xlfn.IFNA(VLOOKUP($BD276,Programma!$F$3:$Y$1101,20,0),"")</f>
        <v/>
      </c>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8"/>
      <c r="FJ276" s="28"/>
      <c r="FK276" s="28"/>
      <c r="FL276" s="28"/>
      <c r="FM276" s="28"/>
      <c r="FN276" s="28"/>
      <c r="FO276" s="28"/>
      <c r="FP276" s="28"/>
      <c r="FQ276" s="28"/>
      <c r="FR276" s="28"/>
      <c r="FS276" s="28"/>
      <c r="FT276" s="28"/>
      <c r="FU276" s="28"/>
      <c r="FV276" s="28"/>
      <c r="FW276" s="28"/>
      <c r="FX276" s="28"/>
      <c r="FY276" s="28"/>
      <c r="FZ276" s="28"/>
      <c r="GA276" s="28"/>
      <c r="GB276" s="28"/>
      <c r="GC276" s="28"/>
      <c r="GD276" s="28"/>
      <c r="GE276" s="28"/>
      <c r="GF276" s="28"/>
      <c r="GG276" s="28"/>
      <c r="GH276" s="28"/>
      <c r="GI276" s="28"/>
      <c r="GJ276" s="28"/>
      <c r="GK276" s="28"/>
      <c r="GL276" s="28"/>
      <c r="GM276" s="28"/>
      <c r="GN276" s="28"/>
      <c r="GO276" s="28"/>
      <c r="GP276" s="28"/>
      <c r="GQ276" s="28"/>
      <c r="GR276" s="28"/>
      <c r="GS276" s="28"/>
      <c r="GT276" s="28"/>
      <c r="GU276" s="28"/>
      <c r="GV276" s="28"/>
      <c r="GW276" s="28"/>
      <c r="GX276" s="28"/>
      <c r="GY276" s="28"/>
      <c r="GZ276" s="28"/>
      <c r="HA276" s="28"/>
      <c r="HB276" s="28"/>
      <c r="HC276" s="28"/>
      <c r="HD276" s="28"/>
      <c r="HE276" s="28"/>
      <c r="HF276" s="28"/>
      <c r="HG276" s="28"/>
      <c r="HH276" s="28"/>
      <c r="HI276" s="28"/>
      <c r="HJ276" s="28"/>
      <c r="HK276" s="28"/>
      <c r="HL276" s="28"/>
    </row>
    <row r="277" spans="1:220" ht="15" customHeight="1">
      <c r="A277" s="31">
        <v>6</v>
      </c>
      <c r="B277" s="105" t="str">
        <f>VLOOKUP(Ruimtestaat[[#This Row],[Code]],Locaties[[Code]:[Locatie]],2,FALSE)</f>
        <v>IKC Joannes</v>
      </c>
      <c r="C277" s="105" t="str">
        <f>VLOOKUP(Ruimtestaat[[#This Row],[Code]],Locaties[[#All],[Code]:[Adres]],4,FALSE)</f>
        <v>Kerkakkers 4</v>
      </c>
      <c r="D277" s="105" t="str">
        <f>VLOOKUP(Ruimtestaat[[#This Row],[Code]],Locaties[[#All],[Code]:[Postcode]],5,FALSE)</f>
        <v>6923 BZ</v>
      </c>
      <c r="E277" s="105" t="str">
        <f>VLOOKUP(Ruimtestaat[[#This Row],[Code]],Locaties[#All],6,FALSE)</f>
        <v>Groessen</v>
      </c>
      <c r="F277" s="113" t="s">
        <v>1895</v>
      </c>
      <c r="G277" s="31" t="s">
        <v>1645</v>
      </c>
      <c r="H277" s="31" t="s">
        <v>1932</v>
      </c>
      <c r="I277" s="113" t="s">
        <v>1895</v>
      </c>
      <c r="J277" s="31">
        <v>2</v>
      </c>
      <c r="K277" s="113" t="str">
        <f>VLOOKUP(Ruimtestaat[[#This Row],[Ruimte code]],Ruimtegroepen[[#All],[Code]:[Ruimte omschrijving]],2,FALSE)</f>
        <v>Kantoren</v>
      </c>
      <c r="L277" s="31" t="s">
        <v>99</v>
      </c>
      <c r="M277" s="31" t="s">
        <v>36</v>
      </c>
      <c r="N277" s="106">
        <v>70.400000000000006</v>
      </c>
      <c r="O277" s="112"/>
      <c r="P277" s="112"/>
      <c r="Q277" s="107" t="str">
        <f>VLOOKUP(Ruimtestaat[[#This Row],[Ruimte code]],Ruimtegroepen[],4,FALSE)</f>
        <v>Bu</v>
      </c>
      <c r="R277" s="73">
        <v>40</v>
      </c>
      <c r="S277" s="73" t="s">
        <v>15</v>
      </c>
      <c r="T277" s="73">
        <f>IF(R277&gt;0,IF(RIGHT(Ruimtestaat[[#This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77" s="73">
        <f>IF(T277&gt;0,VLOOKUP($J277,Ruimtegroepen[],3,FALSE)*VLOOKUP($L277,Vloersoorten[],3,FALSE)*VLOOKUP($S277,Frequenties[],3,FALSE)*VLOOKUP($A277,Locaties[],3,FALSE),0)</f>
        <v>0</v>
      </c>
      <c r="V277" s="73">
        <f>Ruimtestaat[[#This Row],[Uitvoeringen werkdagen]]*Ruimtestaat[[#This Row],[Oppervlak (netto)]]</f>
        <v>2816</v>
      </c>
      <c r="W277" s="108">
        <f>IF(U277&gt;0,Ruimtestaat[[#This Row],[Prest. (m2 /jaar) werkdagen]]/Ruimtestaat[[#This Row],[Norm (m2/uur) werkdagen]],0)</f>
        <v>0</v>
      </c>
      <c r="X277" s="109">
        <f>Ruimtestaat[[#This Row],[uren / jaar werkdagen]]*Tariefsopbouw!$E$35</f>
        <v>0</v>
      </c>
      <c r="Y277" s="73"/>
      <c r="Z277" s="73">
        <f>IF(Ruimtestaat[[#This Row],[Frequentie weekend]]&gt;0,VALUE(LEFT(Y277,1))*R277,0)</f>
        <v>0</v>
      </c>
      <c r="AA277" s="72">
        <f>IF($Z277&gt;0,VLOOKUP($J277,Ruimtegroepen[],3,FALSE)*VLOOKUP($L277,Vloersoorten[],3,FALSE)*VLOOKUP($Y277,Frequenties[],3,FALSE)*VLOOKUP(Ruimtestaat[[#This Row],[Code]],Locaties[],3,FALSE),0)</f>
        <v>0</v>
      </c>
      <c r="AB277" s="72">
        <f>Ruimtestaat[[#This Row],[Uitvoeringen weekend]]*Ruimtestaat[[#This Row],[Oppervlak (netto)]]</f>
        <v>0</v>
      </c>
      <c r="AC277" s="72">
        <f>IF(AA277&gt;0,Ruimtestaat[[#This Row],[Prest. (m2 /jaar) weekend]]/Ruimtestaat[[#This Row],[Norm (m2/uur) weekend]],0)</f>
        <v>0</v>
      </c>
      <c r="AD277" s="109">
        <f>Ruimtestaat[[#This Row],[uren / jaar weekend]]*Tariefsopbouw!$D$40</f>
        <v>0</v>
      </c>
      <c r="AE277" s="108">
        <f>Ruimtestaat[[#This Row],[Prest. (m2 /jaar) weekend]]+Ruimtestaat[[#This Row],[Prest. (m2 /jaar) werkdagen]]</f>
        <v>2816</v>
      </c>
      <c r="AF277" s="108">
        <f>Ruimtestaat[[#This Row],[uren / jaar weekend]]+Ruimtestaat[[#This Row],[uren / jaar werkdagen]]</f>
        <v>0</v>
      </c>
      <c r="AG277" s="103">
        <f>Ruimtestaat[[#This Row],[kosten / jaar weekend]]+Ruimtestaat[[#This Row],[kosten / jaar werkdagen]]</f>
        <v>0</v>
      </c>
      <c r="AH277" s="103"/>
      <c r="AI277" s="110" t="str">
        <f>IF(Ruimtestaat[[#This Row],[Frequentie werkdagen]]="","",_xlfn.CONCAT(Ruimtestaat[[#This Row],[Ruimte code]],"-",Ruimtestaat[[#This Row],[Frequentie werkdagen]]," ",Ruimtestaat[[#This Row],[Vloer code]]))</f>
        <v>2-1w T</v>
      </c>
      <c r="AJ277" s="114" t="str">
        <f>_xlfn.IFNA(VLOOKUP($AI277,Programma!$F$3:$G$1101,2,0),"")</f>
        <v>_</v>
      </c>
      <c r="AK277" s="114" t="str">
        <f>_xlfn.IFNA(VLOOKUP($AI277,Programma!$F$3:$H$1101,3,0),"")</f>
        <v>1w</v>
      </c>
      <c r="AL277" s="114" t="str">
        <f>_xlfn.IFNA(VLOOKUP($AI277,Programma!$F$3:$I$1101,4,0),"")</f>
        <v>_</v>
      </c>
      <c r="AM277" s="114" t="str">
        <f>_xlfn.IFNA(VLOOKUP($AI277,Programma!$F$3:$J$1101,5,0),"")</f>
        <v>_</v>
      </c>
      <c r="AN277" s="114" t="str">
        <f>_xlfn.IFNA(VLOOKUP($AI277,Programma!$F$3:$K$1101,6,0),"")</f>
        <v>_</v>
      </c>
      <c r="AO277" s="114" t="str">
        <f>_xlfn.IFNA(VLOOKUP($AI277,Programma!$F$3:$L$1101,7,0),"")</f>
        <v>_</v>
      </c>
      <c r="AP277" s="114" t="str">
        <f>_xlfn.IFNA(VLOOKUP($AI277,Programma!$F$3:$M$1101,8,0),"")</f>
        <v>_</v>
      </c>
      <c r="AQ277" s="114" t="str">
        <f>_xlfn.IFNA(VLOOKUP($AI277,Programma!$F$3:$N$1101,9,0),"")</f>
        <v>_</v>
      </c>
      <c r="AR277" s="114" t="str">
        <f>_xlfn.IFNA(VLOOKUP($AI277,Programma!$F$3:$O$1101,10,0),"")</f>
        <v>1w</v>
      </c>
      <c r="AS277" s="114" t="str">
        <f>_xlfn.IFNA(VLOOKUP($AI277,Programma!$F$3:$P$1101,11,0),"")</f>
        <v>1w</v>
      </c>
      <c r="AT277" s="114" t="str">
        <f>_xlfn.IFNA(VLOOKUP($AI277,Programma!$F$3:$Q$1101,12,0),"")</f>
        <v>1w</v>
      </c>
      <c r="AU277" s="114" t="str">
        <f>_xlfn.IFNA(VLOOKUP($AI277,Programma!$F$3:$R$1101,13,0),"")</f>
        <v>1w</v>
      </c>
      <c r="AV277" s="114" t="str">
        <f>_xlfn.IFNA(VLOOKUP($AI277,Programma!$F$3:$S$1101,14,0),"")</f>
        <v>1m</v>
      </c>
      <c r="AW277" s="114" t="str">
        <f>_xlfn.IFNA(VLOOKUP($AI277,Programma!$F$3:$T$1101,15,0),"")</f>
        <v>2j</v>
      </c>
      <c r="AX277" s="114" t="str">
        <f>_xlfn.IFNA(VLOOKUP($AI277,Programma!$F$3:$U$1101,16,0),"")</f>
        <v>1j</v>
      </c>
      <c r="AY277" s="114" t="str">
        <f>_xlfn.IFNA(VLOOKUP($AI277,Programma!$F$3:$V$1101,17,0),"")</f>
        <v>_</v>
      </c>
      <c r="AZ277" s="114" t="str">
        <f>_xlfn.IFNA(VLOOKUP($AI277,Programma!$F$3:$W$1101,18,0),"")</f>
        <v>_</v>
      </c>
      <c r="BA277" s="114" t="str">
        <f>_xlfn.IFNA(VLOOKUP($AI277,Programma!$F$3:$X$1101,19,0),"")</f>
        <v>_</v>
      </c>
      <c r="BB277" s="114" t="str">
        <f>_xlfn.IFNA(VLOOKUP($AI277,Programma!$F$3:$Y$1101,20,0),"")</f>
        <v>_</v>
      </c>
      <c r="BC277" s="111"/>
      <c r="BD277" s="110" t="str">
        <f>IF(Ruimtestaat[[#This Row],[Frequentie weekend]]="","",_xlfn.CONCAT(Ruimtestaat[[#This Row],[Ruimte code]],"-",Ruimtestaat[[#This Row],[Frequentie weekend]]," ",Ruimtestaat[[#This Row],[Vloer code]]))</f>
        <v/>
      </c>
      <c r="BE277" s="114" t="str">
        <f>_xlfn.IFNA(VLOOKUP($BD277,Programma!$F$3:$G$1101,2,0),"")</f>
        <v/>
      </c>
      <c r="BF277" s="114" t="str">
        <f>_xlfn.IFNA(VLOOKUP($BD277,Programma!$F$3:$H$1101,3,0),"")</f>
        <v/>
      </c>
      <c r="BG277" s="114" t="str">
        <f>_xlfn.IFNA(VLOOKUP($BD277,Programma!$F$3:$I$1101,4,0),"")</f>
        <v/>
      </c>
      <c r="BH277" s="114" t="str">
        <f>_xlfn.IFNA(VLOOKUP($BD277,Programma!$F$3:$J$1101,5,0),"")</f>
        <v/>
      </c>
      <c r="BI277" s="114" t="str">
        <f>_xlfn.IFNA(VLOOKUP($BD277,Programma!$F$3:$K$1101,6,0),"")</f>
        <v/>
      </c>
      <c r="BJ277" s="114" t="str">
        <f>_xlfn.IFNA(VLOOKUP($BD277,Programma!$F$3:$L$1101,7,0),"")</f>
        <v/>
      </c>
      <c r="BK277" s="114" t="str">
        <f>_xlfn.IFNA(VLOOKUP($BD277,Programma!$F$3:$M$1101,8,0),"")</f>
        <v/>
      </c>
      <c r="BL277" s="114" t="str">
        <f>_xlfn.IFNA(VLOOKUP($BD277,Programma!$F$3:$N$1101,9,0),"")</f>
        <v/>
      </c>
      <c r="BM277" s="114" t="str">
        <f>_xlfn.IFNA(VLOOKUP($BD277,Programma!$F$3:$O$1101,10,0),"")</f>
        <v/>
      </c>
      <c r="BN277" s="114" t="str">
        <f>_xlfn.IFNA(VLOOKUP($BD277,Programma!$F$3:$P$1101,11,0),"")</f>
        <v/>
      </c>
      <c r="BO277" s="114" t="str">
        <f>_xlfn.IFNA(VLOOKUP($BD277,Programma!$F$3:$Q$1101,12,0),"")</f>
        <v/>
      </c>
      <c r="BP277" s="114" t="str">
        <f>_xlfn.IFNA(VLOOKUP($BD277,Programma!$F$3:$R$1101,13,0),"")</f>
        <v/>
      </c>
      <c r="BQ277" s="114" t="str">
        <f>_xlfn.IFNA(VLOOKUP($BD277,Programma!$F$3:$S$1101,14,0),"")</f>
        <v/>
      </c>
      <c r="BR277" s="114" t="str">
        <f>_xlfn.IFNA(VLOOKUP($BD277,Programma!$F$3:$T$1101,15,0),"")</f>
        <v/>
      </c>
      <c r="BS277" s="114" t="str">
        <f>_xlfn.IFNA(VLOOKUP($BD277,Programma!$F$3:$U$1101,16,0),"")</f>
        <v/>
      </c>
      <c r="BT277" s="114" t="str">
        <f>_xlfn.IFNA(VLOOKUP($BD277,Programma!$F$3:$V$1101,17,0),"")</f>
        <v/>
      </c>
      <c r="BU277" s="114" t="str">
        <f>_xlfn.IFNA(VLOOKUP($BD277,Programma!$F$3:$W$1101,18,0),"")</f>
        <v/>
      </c>
      <c r="BV277" s="114" t="str">
        <f>_xlfn.IFNA(VLOOKUP($BD277,Programma!$F$3:$X$1101,19,0),"")</f>
        <v/>
      </c>
      <c r="BW277" s="114" t="str">
        <f>_xlfn.IFNA(VLOOKUP($BD277,Programma!$F$3:$Y$1101,20,0),"")</f>
        <v/>
      </c>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c r="GL277" s="28"/>
      <c r="GM277" s="28"/>
      <c r="GN277" s="28"/>
      <c r="GO277" s="28"/>
      <c r="GP277" s="28"/>
      <c r="GQ277" s="28"/>
      <c r="GR277" s="28"/>
      <c r="GS277" s="28"/>
      <c r="GT277" s="28"/>
      <c r="GU277" s="28"/>
      <c r="GV277" s="28"/>
      <c r="GW277" s="28"/>
      <c r="GX277" s="28"/>
      <c r="GY277" s="28"/>
      <c r="GZ277" s="28"/>
      <c r="HA277" s="28"/>
      <c r="HB277" s="28"/>
      <c r="HC277" s="28"/>
      <c r="HD277" s="28"/>
      <c r="HE277" s="28"/>
      <c r="HF277" s="28"/>
      <c r="HG277" s="28"/>
      <c r="HH277" s="28"/>
      <c r="HI277" s="28"/>
      <c r="HJ277" s="28"/>
      <c r="HK277" s="28"/>
      <c r="HL277" s="28"/>
    </row>
    <row r="278" spans="1:220" ht="15" customHeight="1">
      <c r="A278" s="31">
        <v>6</v>
      </c>
      <c r="B278" s="105" t="str">
        <f>VLOOKUP(Ruimtestaat[[#This Row],[Code]],Locaties[[Code]:[Locatie]],2,FALSE)</f>
        <v>IKC Joannes</v>
      </c>
      <c r="C278" s="105" t="str">
        <f>VLOOKUP(Ruimtestaat[[#This Row],[Code]],Locaties[[#All],[Code]:[Adres]],4,FALSE)</f>
        <v>Kerkakkers 4</v>
      </c>
      <c r="D278" s="105" t="str">
        <f>VLOOKUP(Ruimtestaat[[#This Row],[Code]],Locaties[[#All],[Code]:[Postcode]],5,FALSE)</f>
        <v>6923 BZ</v>
      </c>
      <c r="E278" s="105" t="str">
        <f>VLOOKUP(Ruimtestaat[[#This Row],[Code]],Locaties[#All],6,FALSE)</f>
        <v>Groessen</v>
      </c>
      <c r="F278" s="113" t="s">
        <v>1895</v>
      </c>
      <c r="G278" s="31" t="s">
        <v>1645</v>
      </c>
      <c r="H278" s="31" t="s">
        <v>1933</v>
      </c>
      <c r="I278" s="113" t="s">
        <v>1753</v>
      </c>
      <c r="J278" s="31">
        <v>4</v>
      </c>
      <c r="K278" s="113" t="str">
        <f>VLOOKUP(Ruimtestaat[[#This Row],[Ruimte code]],Ruimtegroepen[[#All],[Code]:[Ruimte omschrijving]],2,FALSE)</f>
        <v>Vergader/spreekkamers</v>
      </c>
      <c r="L278" s="31" t="s">
        <v>99</v>
      </c>
      <c r="M278" s="31" t="s">
        <v>36</v>
      </c>
      <c r="N278" s="106">
        <v>13.6</v>
      </c>
      <c r="O278" s="112"/>
      <c r="P278" s="112"/>
      <c r="Q278" s="107" t="str">
        <f>VLOOKUP(Ruimtestaat[[#This Row],[Ruimte code]],Ruimtegroepen[],4,FALSE)</f>
        <v>Bu</v>
      </c>
      <c r="R278" s="73">
        <v>40</v>
      </c>
      <c r="S278" s="73" t="s">
        <v>15</v>
      </c>
      <c r="T278" s="73">
        <f>IF(R278&gt;0,IF(RIGHT(Ruimtestaat[[#This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78" s="73">
        <f>IF(T278&gt;0,VLOOKUP($J278,Ruimtegroepen[],3,FALSE)*VLOOKUP($L278,Vloersoorten[],3,FALSE)*VLOOKUP($S278,Frequenties[],3,FALSE)*VLOOKUP($A278,Locaties[],3,FALSE),0)</f>
        <v>0</v>
      </c>
      <c r="V278" s="73">
        <f>Ruimtestaat[[#This Row],[Uitvoeringen werkdagen]]*Ruimtestaat[[#This Row],[Oppervlak (netto)]]</f>
        <v>544</v>
      </c>
      <c r="W278" s="108">
        <f>IF(U278&gt;0,Ruimtestaat[[#This Row],[Prest. (m2 /jaar) werkdagen]]/Ruimtestaat[[#This Row],[Norm (m2/uur) werkdagen]],0)</f>
        <v>0</v>
      </c>
      <c r="X278" s="109">
        <f>Ruimtestaat[[#This Row],[uren / jaar werkdagen]]*Tariefsopbouw!$E$35</f>
        <v>0</v>
      </c>
      <c r="Y278" s="73"/>
      <c r="Z278" s="73">
        <f>IF(Ruimtestaat[[#This Row],[Frequentie weekend]]&gt;0,VALUE(LEFT(Y278,1))*R278,0)</f>
        <v>0</v>
      </c>
      <c r="AA278" s="72">
        <f>IF($Z278&gt;0,VLOOKUP($J278,Ruimtegroepen[],3,FALSE)*VLOOKUP($L278,Vloersoorten[],3,FALSE)*VLOOKUP($Y278,Frequenties[],3,FALSE)*VLOOKUP(Ruimtestaat[[#This Row],[Code]],Locaties[],3,FALSE),0)</f>
        <v>0</v>
      </c>
      <c r="AB278" s="72">
        <f>Ruimtestaat[[#This Row],[Uitvoeringen weekend]]*Ruimtestaat[[#This Row],[Oppervlak (netto)]]</f>
        <v>0</v>
      </c>
      <c r="AC278" s="72">
        <f>IF(AA278&gt;0,Ruimtestaat[[#This Row],[Prest. (m2 /jaar) weekend]]/Ruimtestaat[[#This Row],[Norm (m2/uur) weekend]],0)</f>
        <v>0</v>
      </c>
      <c r="AD278" s="109">
        <f>Ruimtestaat[[#This Row],[uren / jaar weekend]]*Tariefsopbouw!$D$40</f>
        <v>0</v>
      </c>
      <c r="AE278" s="108">
        <f>Ruimtestaat[[#This Row],[Prest. (m2 /jaar) weekend]]+Ruimtestaat[[#This Row],[Prest. (m2 /jaar) werkdagen]]</f>
        <v>544</v>
      </c>
      <c r="AF278" s="108">
        <f>Ruimtestaat[[#This Row],[uren / jaar weekend]]+Ruimtestaat[[#This Row],[uren / jaar werkdagen]]</f>
        <v>0</v>
      </c>
      <c r="AG278" s="103">
        <f>Ruimtestaat[[#This Row],[kosten / jaar weekend]]+Ruimtestaat[[#This Row],[kosten / jaar werkdagen]]</f>
        <v>0</v>
      </c>
      <c r="AH278" s="103"/>
      <c r="AI278" s="110" t="str">
        <f>IF(Ruimtestaat[[#This Row],[Frequentie werkdagen]]="","",_xlfn.CONCAT(Ruimtestaat[[#This Row],[Ruimte code]],"-",Ruimtestaat[[#This Row],[Frequentie werkdagen]]," ",Ruimtestaat[[#This Row],[Vloer code]]))</f>
        <v>4-1w T</v>
      </c>
      <c r="AJ278" s="114" t="str">
        <f>_xlfn.IFNA(VLOOKUP($AI278,Programma!$F$3:$G$1101,2,0),"")</f>
        <v>_</v>
      </c>
      <c r="AK278" s="114" t="str">
        <f>_xlfn.IFNA(VLOOKUP($AI278,Programma!$F$3:$H$1101,3,0),"")</f>
        <v>1w</v>
      </c>
      <c r="AL278" s="114" t="str">
        <f>_xlfn.IFNA(VLOOKUP($AI278,Programma!$F$3:$I$1101,4,0),"")</f>
        <v>_</v>
      </c>
      <c r="AM278" s="114" t="str">
        <f>_xlfn.IFNA(VLOOKUP($AI278,Programma!$F$3:$J$1101,5,0),"")</f>
        <v>_</v>
      </c>
      <c r="AN278" s="114" t="str">
        <f>_xlfn.IFNA(VLOOKUP($AI278,Programma!$F$3:$K$1101,6,0),"")</f>
        <v>_</v>
      </c>
      <c r="AO278" s="114" t="str">
        <f>_xlfn.IFNA(VLOOKUP($AI278,Programma!$F$3:$L$1101,7,0),"")</f>
        <v>_</v>
      </c>
      <c r="AP278" s="114" t="str">
        <f>_xlfn.IFNA(VLOOKUP($AI278,Programma!$F$3:$M$1101,8,0),"")</f>
        <v>_</v>
      </c>
      <c r="AQ278" s="114" t="str">
        <f>_xlfn.IFNA(VLOOKUP($AI278,Programma!$F$3:$N$1101,9,0),"")</f>
        <v>_</v>
      </c>
      <c r="AR278" s="114" t="str">
        <f>_xlfn.IFNA(VLOOKUP($AI278,Programma!$F$3:$O$1101,10,0),"")</f>
        <v>1w</v>
      </c>
      <c r="AS278" s="114" t="str">
        <f>_xlfn.IFNA(VLOOKUP($AI278,Programma!$F$3:$P$1101,11,0),"")</f>
        <v>1w</v>
      </c>
      <c r="AT278" s="114" t="str">
        <f>_xlfn.IFNA(VLOOKUP($AI278,Programma!$F$3:$Q$1101,12,0),"")</f>
        <v>1w</v>
      </c>
      <c r="AU278" s="114" t="str">
        <f>_xlfn.IFNA(VLOOKUP($AI278,Programma!$F$3:$R$1101,13,0),"")</f>
        <v>1w</v>
      </c>
      <c r="AV278" s="114" t="str">
        <f>_xlfn.IFNA(VLOOKUP($AI278,Programma!$F$3:$S$1101,14,0),"")</f>
        <v>1m</v>
      </c>
      <c r="AW278" s="114" t="str">
        <f>_xlfn.IFNA(VLOOKUP($AI278,Programma!$F$3:$T$1101,15,0),"")</f>
        <v>2j</v>
      </c>
      <c r="AX278" s="114" t="str">
        <f>_xlfn.IFNA(VLOOKUP($AI278,Programma!$F$3:$U$1101,16,0),"")</f>
        <v>1j</v>
      </c>
      <c r="AY278" s="114" t="str">
        <f>_xlfn.IFNA(VLOOKUP($AI278,Programma!$F$3:$V$1101,17,0),"")</f>
        <v>_</v>
      </c>
      <c r="AZ278" s="114" t="str">
        <f>_xlfn.IFNA(VLOOKUP($AI278,Programma!$F$3:$W$1101,18,0),"")</f>
        <v>_</v>
      </c>
      <c r="BA278" s="114" t="str">
        <f>_xlfn.IFNA(VLOOKUP($AI278,Programma!$F$3:$X$1101,19,0),"")</f>
        <v>_</v>
      </c>
      <c r="BB278" s="114" t="str">
        <f>_xlfn.IFNA(VLOOKUP($AI278,Programma!$F$3:$Y$1101,20,0),"")</f>
        <v>_</v>
      </c>
      <c r="BC278" s="111"/>
      <c r="BD278" s="110" t="str">
        <f>IF(Ruimtestaat[[#This Row],[Frequentie weekend]]="","",_xlfn.CONCAT(Ruimtestaat[[#This Row],[Ruimte code]],"-",Ruimtestaat[[#This Row],[Frequentie weekend]]," ",Ruimtestaat[[#This Row],[Vloer code]]))</f>
        <v/>
      </c>
      <c r="BE278" s="114" t="str">
        <f>_xlfn.IFNA(VLOOKUP($BD278,Programma!$F$3:$G$1101,2,0),"")</f>
        <v/>
      </c>
      <c r="BF278" s="114" t="str">
        <f>_xlfn.IFNA(VLOOKUP($BD278,Programma!$F$3:$H$1101,3,0),"")</f>
        <v/>
      </c>
      <c r="BG278" s="114" t="str">
        <f>_xlfn.IFNA(VLOOKUP($BD278,Programma!$F$3:$I$1101,4,0),"")</f>
        <v/>
      </c>
      <c r="BH278" s="114" t="str">
        <f>_xlfn.IFNA(VLOOKUP($BD278,Programma!$F$3:$J$1101,5,0),"")</f>
        <v/>
      </c>
      <c r="BI278" s="114" t="str">
        <f>_xlfn.IFNA(VLOOKUP($BD278,Programma!$F$3:$K$1101,6,0),"")</f>
        <v/>
      </c>
      <c r="BJ278" s="114" t="str">
        <f>_xlfn.IFNA(VLOOKUP($BD278,Programma!$F$3:$L$1101,7,0),"")</f>
        <v/>
      </c>
      <c r="BK278" s="114" t="str">
        <f>_xlfn.IFNA(VLOOKUP($BD278,Programma!$F$3:$M$1101,8,0),"")</f>
        <v/>
      </c>
      <c r="BL278" s="114" t="str">
        <f>_xlfn.IFNA(VLOOKUP($BD278,Programma!$F$3:$N$1101,9,0),"")</f>
        <v/>
      </c>
      <c r="BM278" s="114" t="str">
        <f>_xlfn.IFNA(VLOOKUP($BD278,Programma!$F$3:$O$1101,10,0),"")</f>
        <v/>
      </c>
      <c r="BN278" s="114" t="str">
        <f>_xlfn.IFNA(VLOOKUP($BD278,Programma!$F$3:$P$1101,11,0),"")</f>
        <v/>
      </c>
      <c r="BO278" s="114" t="str">
        <f>_xlfn.IFNA(VLOOKUP($BD278,Programma!$F$3:$Q$1101,12,0),"")</f>
        <v/>
      </c>
      <c r="BP278" s="114" t="str">
        <f>_xlfn.IFNA(VLOOKUP($BD278,Programma!$F$3:$R$1101,13,0),"")</f>
        <v/>
      </c>
      <c r="BQ278" s="114" t="str">
        <f>_xlfn.IFNA(VLOOKUP($BD278,Programma!$F$3:$S$1101,14,0),"")</f>
        <v/>
      </c>
      <c r="BR278" s="114" t="str">
        <f>_xlfn.IFNA(VLOOKUP($BD278,Programma!$F$3:$T$1101,15,0),"")</f>
        <v/>
      </c>
      <c r="BS278" s="114" t="str">
        <f>_xlfn.IFNA(VLOOKUP($BD278,Programma!$F$3:$U$1101,16,0),"")</f>
        <v/>
      </c>
      <c r="BT278" s="114" t="str">
        <f>_xlfn.IFNA(VLOOKUP($BD278,Programma!$F$3:$V$1101,17,0),"")</f>
        <v/>
      </c>
      <c r="BU278" s="114" t="str">
        <f>_xlfn.IFNA(VLOOKUP($BD278,Programma!$F$3:$W$1101,18,0),"")</f>
        <v/>
      </c>
      <c r="BV278" s="114" t="str">
        <f>_xlfn.IFNA(VLOOKUP($BD278,Programma!$F$3:$X$1101,19,0),"")</f>
        <v/>
      </c>
      <c r="BW278" s="114" t="str">
        <f>_xlfn.IFNA(VLOOKUP($BD278,Programma!$F$3:$Y$1101,20,0),"")</f>
        <v/>
      </c>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c r="EV278" s="28"/>
      <c r="EW278" s="28"/>
      <c r="EX278" s="28"/>
      <c r="EY278" s="28"/>
      <c r="EZ278" s="28"/>
      <c r="FA278" s="28"/>
      <c r="FB278" s="28"/>
      <c r="FC278" s="28"/>
      <c r="FD278" s="28"/>
      <c r="FE278" s="28"/>
      <c r="FF278" s="28"/>
      <c r="FG278" s="28"/>
      <c r="FH278" s="28"/>
      <c r="FI278" s="28"/>
      <c r="FJ278" s="28"/>
      <c r="FK278" s="28"/>
      <c r="FL278" s="28"/>
      <c r="FM278" s="28"/>
      <c r="FN278" s="28"/>
      <c r="FO278" s="28"/>
      <c r="FP278" s="28"/>
      <c r="FQ278" s="28"/>
      <c r="FR278" s="28"/>
      <c r="FS278" s="28"/>
      <c r="FT278" s="28"/>
      <c r="FU278" s="28"/>
      <c r="FV278" s="28"/>
      <c r="FW278" s="28"/>
      <c r="FX278" s="28"/>
      <c r="FY278" s="28"/>
      <c r="FZ278" s="28"/>
      <c r="GA278" s="28"/>
      <c r="GB278" s="28"/>
      <c r="GC278" s="28"/>
      <c r="GD278" s="28"/>
      <c r="GE278" s="28"/>
      <c r="GF278" s="28"/>
      <c r="GG278" s="28"/>
      <c r="GH278" s="28"/>
      <c r="GI278" s="28"/>
      <c r="GJ278" s="28"/>
      <c r="GK278" s="28"/>
      <c r="GL278" s="28"/>
      <c r="GM278" s="28"/>
      <c r="GN278" s="28"/>
      <c r="GO278" s="28"/>
      <c r="GP278" s="28"/>
      <c r="GQ278" s="28"/>
      <c r="GR278" s="28"/>
      <c r="GS278" s="28"/>
      <c r="GT278" s="28"/>
      <c r="GU278" s="28"/>
      <c r="GV278" s="28"/>
      <c r="GW278" s="28"/>
      <c r="GX278" s="28"/>
      <c r="GY278" s="28"/>
      <c r="GZ278" s="28"/>
      <c r="HA278" s="28"/>
      <c r="HB278" s="28"/>
      <c r="HC278" s="28"/>
      <c r="HD278" s="28"/>
      <c r="HE278" s="28"/>
      <c r="HF278" s="28"/>
      <c r="HG278" s="28"/>
      <c r="HH278" s="28"/>
      <c r="HI278" s="28"/>
      <c r="HJ278" s="28"/>
      <c r="HK278" s="28"/>
      <c r="HL278" s="28"/>
    </row>
    <row r="279" spans="1:220" ht="15" customHeight="1">
      <c r="A279" s="31">
        <v>6</v>
      </c>
      <c r="B279" s="105" t="str">
        <f>VLOOKUP(Ruimtestaat[[#This Row],[Code]],Locaties[[Code]:[Locatie]],2,FALSE)</f>
        <v>IKC Joannes</v>
      </c>
      <c r="C279" s="105" t="str">
        <f>VLOOKUP(Ruimtestaat[[#This Row],[Code]],Locaties[[#All],[Code]:[Adres]],4,FALSE)</f>
        <v>Kerkakkers 4</v>
      </c>
      <c r="D279" s="105" t="str">
        <f>VLOOKUP(Ruimtestaat[[#This Row],[Code]],Locaties[[#All],[Code]:[Postcode]],5,FALSE)</f>
        <v>6923 BZ</v>
      </c>
      <c r="E279" s="105" t="str">
        <f>VLOOKUP(Ruimtestaat[[#This Row],[Code]],Locaties[#All],6,FALSE)</f>
        <v>Groessen</v>
      </c>
      <c r="F279" s="113" t="s">
        <v>1895</v>
      </c>
      <c r="G279" s="31" t="s">
        <v>1645</v>
      </c>
      <c r="H279" s="31" t="s">
        <v>1934</v>
      </c>
      <c r="I279" s="113" t="s">
        <v>1896</v>
      </c>
      <c r="J279" s="31">
        <v>4</v>
      </c>
      <c r="K279" s="113" t="str">
        <f>VLOOKUP(Ruimtestaat[[#This Row],[Ruimte code]],Ruimtegroepen[[#All],[Code]:[Ruimte omschrijving]],2,FALSE)</f>
        <v>Vergader/spreekkamers</v>
      </c>
      <c r="L279" s="31" t="s">
        <v>99</v>
      </c>
      <c r="M279" s="31" t="s">
        <v>36</v>
      </c>
      <c r="N279" s="106">
        <v>11.559999999999999</v>
      </c>
      <c r="O279" s="112"/>
      <c r="P279" s="112"/>
      <c r="Q279" s="107" t="str">
        <f>VLOOKUP(Ruimtestaat[[#This Row],[Ruimte code]],Ruimtegroepen[],4,FALSE)</f>
        <v>Bu</v>
      </c>
      <c r="R279" s="73">
        <v>40</v>
      </c>
      <c r="S279" s="73" t="s">
        <v>15</v>
      </c>
      <c r="T279" s="73">
        <f>IF(R279&gt;0,IF(RIGHT(Ruimtestaat[[#This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79" s="73">
        <f>IF(T279&gt;0,VLOOKUP($J279,Ruimtegroepen[],3,FALSE)*VLOOKUP($L279,Vloersoorten[],3,FALSE)*VLOOKUP($S279,Frequenties[],3,FALSE)*VLOOKUP($A279,Locaties[],3,FALSE),0)</f>
        <v>0</v>
      </c>
      <c r="V279" s="73">
        <f>Ruimtestaat[[#This Row],[Uitvoeringen werkdagen]]*Ruimtestaat[[#This Row],[Oppervlak (netto)]]</f>
        <v>462.4</v>
      </c>
      <c r="W279" s="108">
        <f>IF(U279&gt;0,Ruimtestaat[[#This Row],[Prest. (m2 /jaar) werkdagen]]/Ruimtestaat[[#This Row],[Norm (m2/uur) werkdagen]],0)</f>
        <v>0</v>
      </c>
      <c r="X279" s="109">
        <f>Ruimtestaat[[#This Row],[uren / jaar werkdagen]]*Tariefsopbouw!$E$35</f>
        <v>0</v>
      </c>
      <c r="Y279" s="73"/>
      <c r="Z279" s="73">
        <f>IF(Ruimtestaat[[#This Row],[Frequentie weekend]]&gt;0,VALUE(LEFT(Y279,1))*R279,0)</f>
        <v>0</v>
      </c>
      <c r="AA279" s="72">
        <f>IF($Z279&gt;0,VLOOKUP($J279,Ruimtegroepen[],3,FALSE)*VLOOKUP($L279,Vloersoorten[],3,FALSE)*VLOOKUP($Y279,Frequenties[],3,FALSE)*VLOOKUP(Ruimtestaat[[#This Row],[Code]],Locaties[],3,FALSE),0)</f>
        <v>0</v>
      </c>
      <c r="AB279" s="72">
        <f>Ruimtestaat[[#This Row],[Uitvoeringen weekend]]*Ruimtestaat[[#This Row],[Oppervlak (netto)]]</f>
        <v>0</v>
      </c>
      <c r="AC279" s="72">
        <f>IF(AA279&gt;0,Ruimtestaat[[#This Row],[Prest. (m2 /jaar) weekend]]/Ruimtestaat[[#This Row],[Norm (m2/uur) weekend]],0)</f>
        <v>0</v>
      </c>
      <c r="AD279" s="109">
        <f>Ruimtestaat[[#This Row],[uren / jaar weekend]]*Tariefsopbouw!$D$40</f>
        <v>0</v>
      </c>
      <c r="AE279" s="108">
        <f>Ruimtestaat[[#This Row],[Prest. (m2 /jaar) weekend]]+Ruimtestaat[[#This Row],[Prest. (m2 /jaar) werkdagen]]</f>
        <v>462.4</v>
      </c>
      <c r="AF279" s="108">
        <f>Ruimtestaat[[#This Row],[uren / jaar weekend]]+Ruimtestaat[[#This Row],[uren / jaar werkdagen]]</f>
        <v>0</v>
      </c>
      <c r="AG279" s="103">
        <f>Ruimtestaat[[#This Row],[kosten / jaar weekend]]+Ruimtestaat[[#This Row],[kosten / jaar werkdagen]]</f>
        <v>0</v>
      </c>
      <c r="AH279" s="103"/>
      <c r="AI279" s="110" t="str">
        <f>IF(Ruimtestaat[[#This Row],[Frequentie werkdagen]]="","",_xlfn.CONCAT(Ruimtestaat[[#This Row],[Ruimte code]],"-",Ruimtestaat[[#This Row],[Frequentie werkdagen]]," ",Ruimtestaat[[#This Row],[Vloer code]]))</f>
        <v>4-1w T</v>
      </c>
      <c r="AJ279" s="114" t="str">
        <f>_xlfn.IFNA(VLOOKUP($AI279,Programma!$F$3:$G$1101,2,0),"")</f>
        <v>_</v>
      </c>
      <c r="AK279" s="114" t="str">
        <f>_xlfn.IFNA(VLOOKUP($AI279,Programma!$F$3:$H$1101,3,0),"")</f>
        <v>1w</v>
      </c>
      <c r="AL279" s="114" t="str">
        <f>_xlfn.IFNA(VLOOKUP($AI279,Programma!$F$3:$I$1101,4,0),"")</f>
        <v>_</v>
      </c>
      <c r="AM279" s="114" t="str">
        <f>_xlfn.IFNA(VLOOKUP($AI279,Programma!$F$3:$J$1101,5,0),"")</f>
        <v>_</v>
      </c>
      <c r="AN279" s="114" t="str">
        <f>_xlfn.IFNA(VLOOKUP($AI279,Programma!$F$3:$K$1101,6,0),"")</f>
        <v>_</v>
      </c>
      <c r="AO279" s="114" t="str">
        <f>_xlfn.IFNA(VLOOKUP($AI279,Programma!$F$3:$L$1101,7,0),"")</f>
        <v>_</v>
      </c>
      <c r="AP279" s="114" t="str">
        <f>_xlfn.IFNA(VLOOKUP($AI279,Programma!$F$3:$M$1101,8,0),"")</f>
        <v>_</v>
      </c>
      <c r="AQ279" s="114" t="str">
        <f>_xlfn.IFNA(VLOOKUP($AI279,Programma!$F$3:$N$1101,9,0),"")</f>
        <v>_</v>
      </c>
      <c r="AR279" s="114" t="str">
        <f>_xlfn.IFNA(VLOOKUP($AI279,Programma!$F$3:$O$1101,10,0),"")</f>
        <v>1w</v>
      </c>
      <c r="AS279" s="114" t="str">
        <f>_xlfn.IFNA(VLOOKUP($AI279,Programma!$F$3:$P$1101,11,0),"")</f>
        <v>1w</v>
      </c>
      <c r="AT279" s="114" t="str">
        <f>_xlfn.IFNA(VLOOKUP($AI279,Programma!$F$3:$Q$1101,12,0),"")</f>
        <v>1w</v>
      </c>
      <c r="AU279" s="114" t="str">
        <f>_xlfn.IFNA(VLOOKUP($AI279,Programma!$F$3:$R$1101,13,0),"")</f>
        <v>1w</v>
      </c>
      <c r="AV279" s="114" t="str">
        <f>_xlfn.IFNA(VLOOKUP($AI279,Programma!$F$3:$S$1101,14,0),"")</f>
        <v>1m</v>
      </c>
      <c r="AW279" s="114" t="str">
        <f>_xlfn.IFNA(VLOOKUP($AI279,Programma!$F$3:$T$1101,15,0),"")</f>
        <v>2j</v>
      </c>
      <c r="AX279" s="114" t="str">
        <f>_xlfn.IFNA(VLOOKUP($AI279,Programma!$F$3:$U$1101,16,0),"")</f>
        <v>1j</v>
      </c>
      <c r="AY279" s="114" t="str">
        <f>_xlfn.IFNA(VLOOKUP($AI279,Programma!$F$3:$V$1101,17,0),"")</f>
        <v>_</v>
      </c>
      <c r="AZ279" s="114" t="str">
        <f>_xlfn.IFNA(VLOOKUP($AI279,Programma!$F$3:$W$1101,18,0),"")</f>
        <v>_</v>
      </c>
      <c r="BA279" s="114" t="str">
        <f>_xlfn.IFNA(VLOOKUP($AI279,Programma!$F$3:$X$1101,19,0),"")</f>
        <v>_</v>
      </c>
      <c r="BB279" s="114" t="str">
        <f>_xlfn.IFNA(VLOOKUP($AI279,Programma!$F$3:$Y$1101,20,0),"")</f>
        <v>_</v>
      </c>
      <c r="BC279" s="111"/>
      <c r="BD279" s="110" t="str">
        <f>IF(Ruimtestaat[[#This Row],[Frequentie weekend]]="","",_xlfn.CONCAT(Ruimtestaat[[#This Row],[Ruimte code]],"-",Ruimtestaat[[#This Row],[Frequentie weekend]]," ",Ruimtestaat[[#This Row],[Vloer code]]))</f>
        <v/>
      </c>
      <c r="BE279" s="114" t="str">
        <f>_xlfn.IFNA(VLOOKUP($BD279,Programma!$F$3:$G$1101,2,0),"")</f>
        <v/>
      </c>
      <c r="BF279" s="114" t="str">
        <f>_xlfn.IFNA(VLOOKUP($BD279,Programma!$F$3:$H$1101,3,0),"")</f>
        <v/>
      </c>
      <c r="BG279" s="114" t="str">
        <f>_xlfn.IFNA(VLOOKUP($BD279,Programma!$F$3:$I$1101,4,0),"")</f>
        <v/>
      </c>
      <c r="BH279" s="114" t="str">
        <f>_xlfn.IFNA(VLOOKUP($BD279,Programma!$F$3:$J$1101,5,0),"")</f>
        <v/>
      </c>
      <c r="BI279" s="114" t="str">
        <f>_xlfn.IFNA(VLOOKUP($BD279,Programma!$F$3:$K$1101,6,0),"")</f>
        <v/>
      </c>
      <c r="BJ279" s="114" t="str">
        <f>_xlfn.IFNA(VLOOKUP($BD279,Programma!$F$3:$L$1101,7,0),"")</f>
        <v/>
      </c>
      <c r="BK279" s="114" t="str">
        <f>_xlfn.IFNA(VLOOKUP($BD279,Programma!$F$3:$M$1101,8,0),"")</f>
        <v/>
      </c>
      <c r="BL279" s="114" t="str">
        <f>_xlfn.IFNA(VLOOKUP($BD279,Programma!$F$3:$N$1101,9,0),"")</f>
        <v/>
      </c>
      <c r="BM279" s="114" t="str">
        <f>_xlfn.IFNA(VLOOKUP($BD279,Programma!$F$3:$O$1101,10,0),"")</f>
        <v/>
      </c>
      <c r="BN279" s="114" t="str">
        <f>_xlfn.IFNA(VLOOKUP($BD279,Programma!$F$3:$P$1101,11,0),"")</f>
        <v/>
      </c>
      <c r="BO279" s="114" t="str">
        <f>_xlfn.IFNA(VLOOKUP($BD279,Programma!$F$3:$Q$1101,12,0),"")</f>
        <v/>
      </c>
      <c r="BP279" s="114" t="str">
        <f>_xlfn.IFNA(VLOOKUP($BD279,Programma!$F$3:$R$1101,13,0),"")</f>
        <v/>
      </c>
      <c r="BQ279" s="114" t="str">
        <f>_xlfn.IFNA(VLOOKUP($BD279,Programma!$F$3:$S$1101,14,0),"")</f>
        <v/>
      </c>
      <c r="BR279" s="114" t="str">
        <f>_xlfn.IFNA(VLOOKUP($BD279,Programma!$F$3:$T$1101,15,0),"")</f>
        <v/>
      </c>
      <c r="BS279" s="114" t="str">
        <f>_xlfn.IFNA(VLOOKUP($BD279,Programma!$F$3:$U$1101,16,0),"")</f>
        <v/>
      </c>
      <c r="BT279" s="114" t="str">
        <f>_xlfn.IFNA(VLOOKUP($BD279,Programma!$F$3:$V$1101,17,0),"")</f>
        <v/>
      </c>
      <c r="BU279" s="114" t="str">
        <f>_xlfn.IFNA(VLOOKUP($BD279,Programma!$F$3:$W$1101,18,0),"")</f>
        <v/>
      </c>
      <c r="BV279" s="114" t="str">
        <f>_xlfn.IFNA(VLOOKUP($BD279,Programma!$F$3:$X$1101,19,0),"")</f>
        <v/>
      </c>
      <c r="BW279" s="114" t="str">
        <f>_xlfn.IFNA(VLOOKUP($BD279,Programma!$F$3:$Y$1101,20,0),"")</f>
        <v/>
      </c>
      <c r="BX279" s="28"/>
      <c r="BY279" s="28"/>
      <c r="BZ279" s="28"/>
      <c r="CA279" s="28"/>
      <c r="CB279" s="28"/>
      <c r="CC279" s="28"/>
      <c r="CD279" s="28"/>
      <c r="CE279" s="28"/>
      <c r="CF279" s="28"/>
      <c r="CG279" s="28"/>
      <c r="CH279" s="28"/>
      <c r="CI279" s="28"/>
      <c r="CJ279" s="28"/>
      <c r="CK279" s="28"/>
      <c r="CL279" s="28"/>
      <c r="CM279" s="28"/>
      <c r="CN279" s="28"/>
      <c r="CO279" s="28"/>
      <c r="CP279" s="28"/>
      <c r="CQ279" s="28"/>
      <c r="CR279" s="28"/>
      <c r="CS279" s="28"/>
      <c r="CT279" s="28"/>
      <c r="CU279" s="28"/>
      <c r="CV279" s="28"/>
      <c r="CW279" s="28"/>
      <c r="CX279" s="28"/>
      <c r="CY279" s="28"/>
      <c r="CZ279" s="28"/>
      <c r="DA279" s="28"/>
      <c r="DB279" s="28"/>
      <c r="DC279" s="28"/>
      <c r="DD279" s="28"/>
      <c r="DE279" s="28"/>
      <c r="DF279" s="28"/>
      <c r="DG279" s="28"/>
      <c r="DH279" s="28"/>
      <c r="DI279" s="28"/>
      <c r="DJ279" s="28"/>
      <c r="DK279" s="28"/>
      <c r="DL279" s="28"/>
      <c r="DM279" s="28"/>
      <c r="DN279" s="28"/>
      <c r="DO279" s="28"/>
      <c r="DP279" s="28"/>
      <c r="DQ279" s="28"/>
      <c r="DR279" s="28"/>
      <c r="DS279" s="28"/>
      <c r="DT279" s="28"/>
      <c r="DU279" s="28"/>
      <c r="DV279" s="28"/>
      <c r="DW279" s="28"/>
      <c r="DX279" s="28"/>
      <c r="DY279" s="28"/>
      <c r="DZ279" s="28"/>
      <c r="EA279" s="28"/>
      <c r="EB279" s="28"/>
      <c r="EC279" s="28"/>
      <c r="ED279" s="28"/>
      <c r="EE279" s="28"/>
      <c r="EF279" s="28"/>
      <c r="EG279" s="28"/>
      <c r="EH279" s="28"/>
      <c r="EI279" s="28"/>
      <c r="EJ279" s="28"/>
      <c r="EK279" s="28"/>
      <c r="EL279" s="28"/>
      <c r="EM279" s="28"/>
      <c r="EN279" s="28"/>
      <c r="EO279" s="28"/>
      <c r="EP279" s="28"/>
      <c r="EQ279" s="28"/>
      <c r="ER279" s="28"/>
      <c r="ES279" s="28"/>
      <c r="ET279" s="28"/>
      <c r="EU279" s="28"/>
      <c r="EV279" s="28"/>
      <c r="EW279" s="28"/>
      <c r="EX279" s="28"/>
      <c r="EY279" s="28"/>
      <c r="EZ279" s="28"/>
      <c r="FA279" s="28"/>
      <c r="FB279" s="28"/>
      <c r="FC279" s="28"/>
      <c r="FD279" s="28"/>
      <c r="FE279" s="28"/>
      <c r="FF279" s="28"/>
      <c r="FG279" s="28"/>
      <c r="FH279" s="28"/>
      <c r="FI279" s="28"/>
      <c r="FJ279" s="28"/>
      <c r="FK279" s="28"/>
      <c r="FL279" s="28"/>
      <c r="FM279" s="28"/>
      <c r="FN279" s="28"/>
      <c r="FO279" s="28"/>
      <c r="FP279" s="28"/>
      <c r="FQ279" s="28"/>
      <c r="FR279" s="28"/>
      <c r="FS279" s="28"/>
      <c r="FT279" s="28"/>
      <c r="FU279" s="28"/>
      <c r="FV279" s="28"/>
      <c r="FW279" s="28"/>
      <c r="FX279" s="28"/>
      <c r="FY279" s="28"/>
      <c r="FZ279" s="28"/>
      <c r="GA279" s="28"/>
      <c r="GB279" s="28"/>
      <c r="GC279" s="28"/>
      <c r="GD279" s="28"/>
      <c r="GE279" s="28"/>
      <c r="GF279" s="28"/>
      <c r="GG279" s="28"/>
      <c r="GH279" s="28"/>
      <c r="GI279" s="28"/>
      <c r="GJ279" s="28"/>
      <c r="GK279" s="28"/>
      <c r="GL279" s="28"/>
      <c r="GM279" s="28"/>
      <c r="GN279" s="28"/>
      <c r="GO279" s="28"/>
      <c r="GP279" s="28"/>
      <c r="GQ279" s="28"/>
      <c r="GR279" s="28"/>
      <c r="GS279" s="28"/>
      <c r="GT279" s="28"/>
      <c r="GU279" s="28"/>
      <c r="GV279" s="28"/>
      <c r="GW279" s="28"/>
      <c r="GX279" s="28"/>
      <c r="GY279" s="28"/>
      <c r="GZ279" s="28"/>
      <c r="HA279" s="28"/>
      <c r="HB279" s="28"/>
      <c r="HC279" s="28"/>
      <c r="HD279" s="28"/>
      <c r="HE279" s="28"/>
      <c r="HF279" s="28"/>
      <c r="HG279" s="28"/>
      <c r="HH279" s="28"/>
      <c r="HI279" s="28"/>
      <c r="HJ279" s="28"/>
      <c r="HK279" s="28"/>
      <c r="HL279" s="28"/>
    </row>
    <row r="280" spans="1:220" ht="15" customHeight="1">
      <c r="A280" s="31">
        <v>6</v>
      </c>
      <c r="B280" s="105" t="str">
        <f>VLOOKUP(Ruimtestaat[[#This Row],[Code]],Locaties[[Code]:[Locatie]],2,FALSE)</f>
        <v>IKC Joannes</v>
      </c>
      <c r="C280" s="105" t="str">
        <f>VLOOKUP(Ruimtestaat[[#This Row],[Code]],Locaties[[#All],[Code]:[Adres]],4,FALSE)</f>
        <v>Kerkakkers 4</v>
      </c>
      <c r="D280" s="105" t="str">
        <f>VLOOKUP(Ruimtestaat[[#This Row],[Code]],Locaties[[#All],[Code]:[Postcode]],5,FALSE)</f>
        <v>6923 BZ</v>
      </c>
      <c r="E280" s="105" t="str">
        <f>VLOOKUP(Ruimtestaat[[#This Row],[Code]],Locaties[#All],6,FALSE)</f>
        <v>Groessen</v>
      </c>
      <c r="F280" s="113" t="s">
        <v>1895</v>
      </c>
      <c r="G280" s="31" t="s">
        <v>1645</v>
      </c>
      <c r="H280" s="31" t="s">
        <v>1935</v>
      </c>
      <c r="I280" s="113" t="s">
        <v>1732</v>
      </c>
      <c r="J280" s="31">
        <v>1</v>
      </c>
      <c r="K280" s="113" t="str">
        <f>VLOOKUP(Ruimtestaat[[#This Row],[Ruimte code]],Ruimtegroepen[[#All],[Code]:[Ruimte omschrijving]],2,FALSE)</f>
        <v>Magazijnen/bergingen</v>
      </c>
      <c r="L280" s="31" t="s">
        <v>99</v>
      </c>
      <c r="M280" s="31" t="s">
        <v>36</v>
      </c>
      <c r="N280" s="106">
        <v>1.5</v>
      </c>
      <c r="O280" s="112"/>
      <c r="P280" s="112"/>
      <c r="Q280" s="107" t="str">
        <f>VLOOKUP(Ruimtestaat[[#This Row],[Ruimte code]],Ruimtegroepen[],4,FALSE)</f>
        <v>Ve</v>
      </c>
      <c r="R280" s="73">
        <v>40</v>
      </c>
      <c r="S280" s="73" t="s">
        <v>16</v>
      </c>
      <c r="T280" s="73">
        <f>IF(R280&gt;0,IF(RIGHT(Ruimtestaat[[#This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0" s="73">
        <f>IF(T280&gt;0,VLOOKUP($J280,Ruimtegroepen[],3,FALSE)*VLOOKUP($L280,Vloersoorten[],3,FALSE)*VLOOKUP($S280,Frequenties[],3,FALSE)*VLOOKUP($A280,Locaties[],3,FALSE),0)</f>
        <v>0</v>
      </c>
      <c r="V280" s="73">
        <f>Ruimtestaat[[#This Row],[Uitvoeringen werkdagen]]*Ruimtestaat[[#This Row],[Oppervlak (netto)]]</f>
        <v>18</v>
      </c>
      <c r="W280" s="108">
        <f>IF(U280&gt;0,Ruimtestaat[[#This Row],[Prest. (m2 /jaar) werkdagen]]/Ruimtestaat[[#This Row],[Norm (m2/uur) werkdagen]],0)</f>
        <v>0</v>
      </c>
      <c r="X280" s="109">
        <f>Ruimtestaat[[#This Row],[uren / jaar werkdagen]]*Tariefsopbouw!$E$35</f>
        <v>0</v>
      </c>
      <c r="Y280" s="73"/>
      <c r="Z280" s="73">
        <f>IF(Ruimtestaat[[#This Row],[Frequentie weekend]]&gt;0,VALUE(LEFT(Y280,1))*R280,0)</f>
        <v>0</v>
      </c>
      <c r="AA280" s="72">
        <f>IF($Z280&gt;0,VLOOKUP($J280,Ruimtegroepen[],3,FALSE)*VLOOKUP($L280,Vloersoorten[],3,FALSE)*VLOOKUP($Y280,Frequenties[],3,FALSE)*VLOOKUP(Ruimtestaat[[#This Row],[Code]],Locaties[],3,FALSE),0)</f>
        <v>0</v>
      </c>
      <c r="AB280" s="72">
        <f>Ruimtestaat[[#This Row],[Uitvoeringen weekend]]*Ruimtestaat[[#This Row],[Oppervlak (netto)]]</f>
        <v>0</v>
      </c>
      <c r="AC280" s="72">
        <f>IF(AA280&gt;0,Ruimtestaat[[#This Row],[Prest. (m2 /jaar) weekend]]/Ruimtestaat[[#This Row],[Norm (m2/uur) weekend]],0)</f>
        <v>0</v>
      </c>
      <c r="AD280" s="109">
        <f>Ruimtestaat[[#This Row],[uren / jaar weekend]]*Tariefsopbouw!$D$40</f>
        <v>0</v>
      </c>
      <c r="AE280" s="108">
        <f>Ruimtestaat[[#This Row],[Prest. (m2 /jaar) weekend]]+Ruimtestaat[[#This Row],[Prest. (m2 /jaar) werkdagen]]</f>
        <v>18</v>
      </c>
      <c r="AF280" s="108">
        <f>Ruimtestaat[[#This Row],[uren / jaar weekend]]+Ruimtestaat[[#This Row],[uren / jaar werkdagen]]</f>
        <v>0</v>
      </c>
      <c r="AG280" s="103">
        <f>Ruimtestaat[[#This Row],[kosten / jaar weekend]]+Ruimtestaat[[#This Row],[kosten / jaar werkdagen]]</f>
        <v>0</v>
      </c>
      <c r="AH280" s="103"/>
      <c r="AI280" s="110" t="str">
        <f>IF(Ruimtestaat[[#This Row],[Frequentie werkdagen]]="","",_xlfn.CONCAT(Ruimtestaat[[#This Row],[Ruimte code]],"-",Ruimtestaat[[#This Row],[Frequentie werkdagen]]," ",Ruimtestaat[[#This Row],[Vloer code]]))</f>
        <v>1-1m T</v>
      </c>
      <c r="AJ280" s="114" t="str">
        <f>_xlfn.IFNA(VLOOKUP($AI280,Programma!$F$3:$G$1101,2,0),"")</f>
        <v>_</v>
      </c>
      <c r="AK280" s="114" t="str">
        <f>_xlfn.IFNA(VLOOKUP($AI280,Programma!$F$3:$H$1101,3,0),"")</f>
        <v>1m</v>
      </c>
      <c r="AL280" s="114" t="str">
        <f>_xlfn.IFNA(VLOOKUP($AI280,Programma!$F$3:$I$1101,4,0),"")</f>
        <v>_</v>
      </c>
      <c r="AM280" s="114" t="str">
        <f>_xlfn.IFNA(VLOOKUP($AI280,Programma!$F$3:$J$1101,5,0),"")</f>
        <v>_</v>
      </c>
      <c r="AN280" s="114" t="str">
        <f>_xlfn.IFNA(VLOOKUP($AI280,Programma!$F$3:$K$1101,6,0),"")</f>
        <v>_</v>
      </c>
      <c r="AO280" s="114" t="str">
        <f>_xlfn.IFNA(VLOOKUP($AI280,Programma!$F$3:$L$1101,7,0),"")</f>
        <v>_</v>
      </c>
      <c r="AP280" s="114" t="str">
        <f>_xlfn.IFNA(VLOOKUP($AI280,Programma!$F$3:$M$1101,8,0),"")</f>
        <v>_</v>
      </c>
      <c r="AQ280" s="114" t="str">
        <f>_xlfn.IFNA(VLOOKUP($AI280,Programma!$F$3:$N$1101,9,0),"")</f>
        <v>_</v>
      </c>
      <c r="AR280" s="114" t="str">
        <f>_xlfn.IFNA(VLOOKUP($AI280,Programma!$F$3:$O$1101,10,0),"")</f>
        <v>_</v>
      </c>
      <c r="AS280" s="114" t="str">
        <f>_xlfn.IFNA(VLOOKUP($AI280,Programma!$F$3:$P$1101,11,0),"")</f>
        <v>_</v>
      </c>
      <c r="AT280" s="114" t="str">
        <f>_xlfn.IFNA(VLOOKUP($AI280,Programma!$F$3:$Q$1101,12,0),"")</f>
        <v>_</v>
      </c>
      <c r="AU280" s="114" t="str">
        <f>_xlfn.IFNA(VLOOKUP($AI280,Programma!$F$3:$R$1101,13,0),"")</f>
        <v>_</v>
      </c>
      <c r="AV280" s="114" t="str">
        <f>_xlfn.IFNA(VLOOKUP($AI280,Programma!$F$3:$S$1101,14,0),"")</f>
        <v>1m</v>
      </c>
      <c r="AW280" s="114" t="str">
        <f>_xlfn.IFNA(VLOOKUP($AI280,Programma!$F$3:$T$1101,15,0),"")</f>
        <v>4j</v>
      </c>
      <c r="AX280" s="114" t="str">
        <f>_xlfn.IFNA(VLOOKUP($AI280,Programma!$F$3:$U$1101,16,0),"")</f>
        <v>4j</v>
      </c>
      <c r="AY280" s="114" t="str">
        <f>_xlfn.IFNA(VLOOKUP($AI280,Programma!$F$3:$V$1101,17,0),"")</f>
        <v>_</v>
      </c>
      <c r="AZ280" s="114" t="str">
        <f>_xlfn.IFNA(VLOOKUP($AI280,Programma!$F$3:$W$1101,18,0),"")</f>
        <v>_</v>
      </c>
      <c r="BA280" s="114" t="str">
        <f>_xlfn.IFNA(VLOOKUP($AI280,Programma!$F$3:$X$1101,19,0),"")</f>
        <v>_</v>
      </c>
      <c r="BB280" s="114" t="str">
        <f>_xlfn.IFNA(VLOOKUP($AI280,Programma!$F$3:$Y$1101,20,0),"")</f>
        <v>_</v>
      </c>
      <c r="BC280" s="111"/>
      <c r="BD280" s="110" t="str">
        <f>IF(Ruimtestaat[[#This Row],[Frequentie weekend]]="","",_xlfn.CONCAT(Ruimtestaat[[#This Row],[Ruimte code]],"-",Ruimtestaat[[#This Row],[Frequentie weekend]]," ",Ruimtestaat[[#This Row],[Vloer code]]))</f>
        <v/>
      </c>
      <c r="BE280" s="114" t="str">
        <f>_xlfn.IFNA(VLOOKUP($BD280,Programma!$F$3:$G$1101,2,0),"")</f>
        <v/>
      </c>
      <c r="BF280" s="114" t="str">
        <f>_xlfn.IFNA(VLOOKUP($BD280,Programma!$F$3:$H$1101,3,0),"")</f>
        <v/>
      </c>
      <c r="BG280" s="114" t="str">
        <f>_xlfn.IFNA(VLOOKUP($BD280,Programma!$F$3:$I$1101,4,0),"")</f>
        <v/>
      </c>
      <c r="BH280" s="114" t="str">
        <f>_xlfn.IFNA(VLOOKUP($BD280,Programma!$F$3:$J$1101,5,0),"")</f>
        <v/>
      </c>
      <c r="BI280" s="114" t="str">
        <f>_xlfn.IFNA(VLOOKUP($BD280,Programma!$F$3:$K$1101,6,0),"")</f>
        <v/>
      </c>
      <c r="BJ280" s="114" t="str">
        <f>_xlfn.IFNA(VLOOKUP($BD280,Programma!$F$3:$L$1101,7,0),"")</f>
        <v/>
      </c>
      <c r="BK280" s="114" t="str">
        <f>_xlfn.IFNA(VLOOKUP($BD280,Programma!$F$3:$M$1101,8,0),"")</f>
        <v/>
      </c>
      <c r="BL280" s="114" t="str">
        <f>_xlfn.IFNA(VLOOKUP($BD280,Programma!$F$3:$N$1101,9,0),"")</f>
        <v/>
      </c>
      <c r="BM280" s="114" t="str">
        <f>_xlfn.IFNA(VLOOKUP($BD280,Programma!$F$3:$O$1101,10,0),"")</f>
        <v/>
      </c>
      <c r="BN280" s="114" t="str">
        <f>_xlfn.IFNA(VLOOKUP($BD280,Programma!$F$3:$P$1101,11,0),"")</f>
        <v/>
      </c>
      <c r="BO280" s="114" t="str">
        <f>_xlfn.IFNA(VLOOKUP($BD280,Programma!$F$3:$Q$1101,12,0),"")</f>
        <v/>
      </c>
      <c r="BP280" s="114" t="str">
        <f>_xlfn.IFNA(VLOOKUP($BD280,Programma!$F$3:$R$1101,13,0),"")</f>
        <v/>
      </c>
      <c r="BQ280" s="114" t="str">
        <f>_xlfn.IFNA(VLOOKUP($BD280,Programma!$F$3:$S$1101,14,0),"")</f>
        <v/>
      </c>
      <c r="BR280" s="114" t="str">
        <f>_xlfn.IFNA(VLOOKUP($BD280,Programma!$F$3:$T$1101,15,0),"")</f>
        <v/>
      </c>
      <c r="BS280" s="114" t="str">
        <f>_xlfn.IFNA(VLOOKUP($BD280,Programma!$F$3:$U$1101,16,0),"")</f>
        <v/>
      </c>
      <c r="BT280" s="114" t="str">
        <f>_xlfn.IFNA(VLOOKUP($BD280,Programma!$F$3:$V$1101,17,0),"")</f>
        <v/>
      </c>
      <c r="BU280" s="114" t="str">
        <f>_xlfn.IFNA(VLOOKUP($BD280,Programma!$F$3:$W$1101,18,0),"")</f>
        <v/>
      </c>
      <c r="BV280" s="114" t="str">
        <f>_xlfn.IFNA(VLOOKUP($BD280,Programma!$F$3:$X$1101,19,0),"")</f>
        <v/>
      </c>
      <c r="BW280" s="114" t="str">
        <f>_xlfn.IFNA(VLOOKUP($BD280,Programma!$F$3:$Y$1101,20,0),"")</f>
        <v/>
      </c>
      <c r="BX280" s="28"/>
      <c r="BY280" s="28"/>
      <c r="BZ280" s="28"/>
      <c r="CA280" s="28"/>
      <c r="CB280" s="28"/>
      <c r="CC280" s="28"/>
      <c r="CD280" s="28"/>
      <c r="CE280" s="28"/>
      <c r="CF280" s="28"/>
      <c r="CG280" s="28"/>
      <c r="CH280" s="28"/>
      <c r="CI280" s="28"/>
      <c r="CJ280" s="28"/>
      <c r="CK280" s="28"/>
      <c r="CL280" s="28"/>
      <c r="CM280" s="28"/>
      <c r="CN280" s="28"/>
      <c r="CO280" s="28"/>
      <c r="CP280" s="28"/>
      <c r="CQ280" s="28"/>
      <c r="CR280" s="28"/>
      <c r="CS280" s="28"/>
      <c r="CT280" s="28"/>
      <c r="CU280" s="28"/>
      <c r="CV280" s="28"/>
      <c r="CW280" s="28"/>
      <c r="CX280" s="28"/>
      <c r="CY280" s="28"/>
      <c r="CZ280" s="28"/>
      <c r="DA280" s="28"/>
      <c r="DB280" s="28"/>
      <c r="DC280" s="28"/>
      <c r="DD280" s="28"/>
      <c r="DE280" s="28"/>
      <c r="DF280" s="28"/>
      <c r="DG280" s="28"/>
      <c r="DH280" s="28"/>
      <c r="DI280" s="28"/>
      <c r="DJ280" s="28"/>
      <c r="DK280" s="28"/>
      <c r="DL280" s="28"/>
      <c r="DM280" s="28"/>
      <c r="DN280" s="28"/>
      <c r="DO280" s="28"/>
      <c r="DP280" s="28"/>
      <c r="DQ280" s="28"/>
      <c r="DR280" s="28"/>
      <c r="DS280" s="28"/>
      <c r="DT280" s="28"/>
      <c r="DU280" s="28"/>
      <c r="DV280" s="28"/>
      <c r="DW280" s="28"/>
      <c r="DX280" s="28"/>
      <c r="DY280" s="28"/>
      <c r="DZ280" s="28"/>
      <c r="EA280" s="28"/>
      <c r="EB280" s="28"/>
      <c r="EC280" s="28"/>
      <c r="ED280" s="28"/>
      <c r="EE280" s="28"/>
      <c r="EF280" s="28"/>
      <c r="EG280" s="28"/>
      <c r="EH280" s="28"/>
      <c r="EI280" s="28"/>
      <c r="EJ280" s="28"/>
      <c r="EK280" s="28"/>
      <c r="EL280" s="28"/>
      <c r="EM280" s="28"/>
      <c r="EN280" s="28"/>
      <c r="EO280" s="28"/>
      <c r="EP280" s="28"/>
      <c r="EQ280" s="28"/>
      <c r="ER280" s="28"/>
      <c r="ES280" s="28"/>
      <c r="ET280" s="28"/>
      <c r="EU280" s="28"/>
      <c r="EV280" s="28"/>
      <c r="EW280" s="28"/>
      <c r="EX280" s="28"/>
      <c r="EY280" s="28"/>
      <c r="EZ280" s="28"/>
      <c r="FA280" s="28"/>
      <c r="FB280" s="28"/>
      <c r="FC280" s="28"/>
      <c r="FD280" s="28"/>
      <c r="FE280" s="28"/>
      <c r="FF280" s="28"/>
      <c r="FG280" s="28"/>
      <c r="FH280" s="28"/>
      <c r="FI280" s="28"/>
      <c r="FJ280" s="28"/>
      <c r="FK280" s="28"/>
      <c r="FL280" s="28"/>
      <c r="FM280" s="28"/>
      <c r="FN280" s="28"/>
      <c r="FO280" s="28"/>
      <c r="FP280" s="28"/>
      <c r="FQ280" s="28"/>
      <c r="FR280" s="28"/>
      <c r="FS280" s="28"/>
      <c r="FT280" s="28"/>
      <c r="FU280" s="28"/>
      <c r="FV280" s="28"/>
      <c r="FW280" s="28"/>
      <c r="FX280" s="28"/>
      <c r="FY280" s="28"/>
      <c r="FZ280" s="28"/>
      <c r="GA280" s="28"/>
      <c r="GB280" s="28"/>
      <c r="GC280" s="28"/>
      <c r="GD280" s="28"/>
      <c r="GE280" s="28"/>
      <c r="GF280" s="28"/>
      <c r="GG280" s="28"/>
      <c r="GH280" s="28"/>
      <c r="GI280" s="28"/>
      <c r="GJ280" s="28"/>
      <c r="GK280" s="28"/>
      <c r="GL280" s="28"/>
      <c r="GM280" s="28"/>
      <c r="GN280" s="28"/>
      <c r="GO280" s="28"/>
      <c r="GP280" s="28"/>
      <c r="GQ280" s="28"/>
      <c r="GR280" s="28"/>
      <c r="GS280" s="28"/>
      <c r="GT280" s="28"/>
      <c r="GU280" s="28"/>
      <c r="GV280" s="28"/>
      <c r="GW280" s="28"/>
      <c r="GX280" s="28"/>
      <c r="GY280" s="28"/>
      <c r="GZ280" s="28"/>
      <c r="HA280" s="28"/>
      <c r="HB280" s="28"/>
      <c r="HC280" s="28"/>
      <c r="HD280" s="28"/>
      <c r="HE280" s="28"/>
      <c r="HF280" s="28"/>
      <c r="HG280" s="28"/>
      <c r="HH280" s="28"/>
      <c r="HI280" s="28"/>
      <c r="HJ280" s="28"/>
      <c r="HK280" s="28"/>
      <c r="HL280" s="28"/>
    </row>
    <row r="281" spans="1:220" ht="15" customHeight="1">
      <c r="A281" s="31">
        <v>6</v>
      </c>
      <c r="B281" s="105" t="str">
        <f>VLOOKUP(Ruimtestaat[[#This Row],[Code]],Locaties[[Code]:[Locatie]],2,FALSE)</f>
        <v>IKC Joannes</v>
      </c>
      <c r="C281" s="105" t="str">
        <f>VLOOKUP(Ruimtestaat[[#This Row],[Code]],Locaties[[#All],[Code]:[Adres]],4,FALSE)</f>
        <v>Kerkakkers 4</v>
      </c>
      <c r="D281" s="105" t="str">
        <f>VLOOKUP(Ruimtestaat[[#This Row],[Code]],Locaties[[#All],[Code]:[Postcode]],5,FALSE)</f>
        <v>6923 BZ</v>
      </c>
      <c r="E281" s="105" t="str">
        <f>VLOOKUP(Ruimtestaat[[#This Row],[Code]],Locaties[#All],6,FALSE)</f>
        <v>Groessen</v>
      </c>
      <c r="F281" s="113" t="s">
        <v>1895</v>
      </c>
      <c r="G281" s="31" t="s">
        <v>1645</v>
      </c>
      <c r="H281" s="31" t="s">
        <v>1936</v>
      </c>
      <c r="I281" s="113" t="s">
        <v>1897</v>
      </c>
      <c r="J281" s="31">
        <v>11</v>
      </c>
      <c r="K281" s="113" t="str">
        <f>VLOOKUP(Ruimtestaat[[#This Row],[Ruimte code]],Ruimtegroepen[[#All],[Code]:[Ruimte omschrijving]],2,FALSE)</f>
        <v>Garderobes</v>
      </c>
      <c r="L281" s="31" t="s">
        <v>99</v>
      </c>
      <c r="M281" s="31" t="s">
        <v>36</v>
      </c>
      <c r="N281" s="106">
        <v>6</v>
      </c>
      <c r="O281" s="112"/>
      <c r="P281" s="112"/>
      <c r="Q281" s="107" t="str">
        <f>VLOOKUP(Ruimtestaat[[#This Row],[Ruimte code]],Ruimtegroepen[],4,FALSE)</f>
        <v>Ve</v>
      </c>
      <c r="R281" s="73">
        <v>40</v>
      </c>
      <c r="S281" s="73" t="s">
        <v>15</v>
      </c>
      <c r="T281" s="73">
        <f>IF(R281&gt;0,IF(RIGHT(Ruimtestaat[[#This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81" s="73">
        <f>IF(T281&gt;0,VLOOKUP($J281,Ruimtegroepen[],3,FALSE)*VLOOKUP($L281,Vloersoorten[],3,FALSE)*VLOOKUP($S281,Frequenties[],3,FALSE)*VLOOKUP($A281,Locaties[],3,FALSE),0)</f>
        <v>0</v>
      </c>
      <c r="V281" s="73">
        <f>Ruimtestaat[[#This Row],[Uitvoeringen werkdagen]]*Ruimtestaat[[#This Row],[Oppervlak (netto)]]</f>
        <v>240</v>
      </c>
      <c r="W281" s="108">
        <f>IF(U281&gt;0,Ruimtestaat[[#This Row],[Prest. (m2 /jaar) werkdagen]]/Ruimtestaat[[#This Row],[Norm (m2/uur) werkdagen]],0)</f>
        <v>0</v>
      </c>
      <c r="X281" s="109">
        <f>Ruimtestaat[[#This Row],[uren / jaar werkdagen]]*Tariefsopbouw!$E$35</f>
        <v>0</v>
      </c>
      <c r="Y281" s="73"/>
      <c r="Z281" s="73">
        <f>IF(Ruimtestaat[[#This Row],[Frequentie weekend]]&gt;0,VALUE(LEFT(Y281,1))*R281,0)</f>
        <v>0</v>
      </c>
      <c r="AA281" s="72">
        <f>IF($Z281&gt;0,VLOOKUP($J281,Ruimtegroepen[],3,FALSE)*VLOOKUP($L281,Vloersoorten[],3,FALSE)*VLOOKUP($Y281,Frequenties[],3,FALSE)*VLOOKUP(Ruimtestaat[[#This Row],[Code]],Locaties[],3,FALSE),0)</f>
        <v>0</v>
      </c>
      <c r="AB281" s="72">
        <f>Ruimtestaat[[#This Row],[Uitvoeringen weekend]]*Ruimtestaat[[#This Row],[Oppervlak (netto)]]</f>
        <v>0</v>
      </c>
      <c r="AC281" s="72">
        <f>IF(AA281&gt;0,Ruimtestaat[[#This Row],[Prest. (m2 /jaar) weekend]]/Ruimtestaat[[#This Row],[Norm (m2/uur) weekend]],0)</f>
        <v>0</v>
      </c>
      <c r="AD281" s="109">
        <f>Ruimtestaat[[#This Row],[uren / jaar weekend]]*Tariefsopbouw!$D$40</f>
        <v>0</v>
      </c>
      <c r="AE281" s="108">
        <f>Ruimtestaat[[#This Row],[Prest. (m2 /jaar) weekend]]+Ruimtestaat[[#This Row],[Prest. (m2 /jaar) werkdagen]]</f>
        <v>240</v>
      </c>
      <c r="AF281" s="108">
        <f>Ruimtestaat[[#This Row],[uren / jaar weekend]]+Ruimtestaat[[#This Row],[uren / jaar werkdagen]]</f>
        <v>0</v>
      </c>
      <c r="AG281" s="103">
        <f>Ruimtestaat[[#This Row],[kosten / jaar weekend]]+Ruimtestaat[[#This Row],[kosten / jaar werkdagen]]</f>
        <v>0</v>
      </c>
      <c r="AH281" s="103"/>
      <c r="AI281" s="110" t="str">
        <f>IF(Ruimtestaat[[#This Row],[Frequentie werkdagen]]="","",_xlfn.CONCAT(Ruimtestaat[[#This Row],[Ruimte code]],"-",Ruimtestaat[[#This Row],[Frequentie werkdagen]]," ",Ruimtestaat[[#This Row],[Vloer code]]))</f>
        <v>11-1w T</v>
      </c>
      <c r="AJ281" s="114" t="str">
        <f>_xlfn.IFNA(VLOOKUP($AI281,Programma!$F$3:$G$1101,2,0),"")</f>
        <v>_</v>
      </c>
      <c r="AK281" s="114" t="str">
        <f>_xlfn.IFNA(VLOOKUP($AI281,Programma!$F$3:$H$1101,3,0),"")</f>
        <v>1w</v>
      </c>
      <c r="AL281" s="114" t="str">
        <f>_xlfn.IFNA(VLOOKUP($AI281,Programma!$F$3:$I$1101,4,0),"")</f>
        <v>_</v>
      </c>
      <c r="AM281" s="114" t="str">
        <f>_xlfn.IFNA(VLOOKUP($AI281,Programma!$F$3:$J$1101,5,0),"")</f>
        <v>_</v>
      </c>
      <c r="AN281" s="114" t="str">
        <f>_xlfn.IFNA(VLOOKUP($AI281,Programma!$F$3:$K$1101,6,0),"")</f>
        <v>_</v>
      </c>
      <c r="AO281" s="114" t="str">
        <f>_xlfn.IFNA(VLOOKUP($AI281,Programma!$F$3:$L$1101,7,0),"")</f>
        <v>_</v>
      </c>
      <c r="AP281" s="114" t="str">
        <f>_xlfn.IFNA(VLOOKUP($AI281,Programma!$F$3:$M$1101,8,0),"")</f>
        <v>_</v>
      </c>
      <c r="AQ281" s="114" t="str">
        <f>_xlfn.IFNA(VLOOKUP($AI281,Programma!$F$3:$N$1101,9,0),"")</f>
        <v>_</v>
      </c>
      <c r="AR281" s="114" t="str">
        <f>_xlfn.IFNA(VLOOKUP($AI281,Programma!$F$3:$O$1101,10,0),"")</f>
        <v>1w</v>
      </c>
      <c r="AS281" s="114" t="str">
        <f>_xlfn.IFNA(VLOOKUP($AI281,Programma!$F$3:$P$1101,11,0),"")</f>
        <v>1w</v>
      </c>
      <c r="AT281" s="114" t="str">
        <f>_xlfn.IFNA(VLOOKUP($AI281,Programma!$F$3:$Q$1101,12,0),"")</f>
        <v>1w</v>
      </c>
      <c r="AU281" s="114" t="str">
        <f>_xlfn.IFNA(VLOOKUP($AI281,Programma!$F$3:$R$1101,13,0),"")</f>
        <v>1w</v>
      </c>
      <c r="AV281" s="114" t="str">
        <f>_xlfn.IFNA(VLOOKUP($AI281,Programma!$F$3:$S$1101,14,0),"")</f>
        <v>1m</v>
      </c>
      <c r="AW281" s="114" t="str">
        <f>_xlfn.IFNA(VLOOKUP($AI281,Programma!$F$3:$T$1101,15,0),"")</f>
        <v>2j</v>
      </c>
      <c r="AX281" s="114" t="str">
        <f>_xlfn.IFNA(VLOOKUP($AI281,Programma!$F$3:$U$1101,16,0),"")</f>
        <v>1j</v>
      </c>
      <c r="AY281" s="114" t="str">
        <f>_xlfn.IFNA(VLOOKUP($AI281,Programma!$F$3:$V$1101,17,0),"")</f>
        <v>_</v>
      </c>
      <c r="AZ281" s="114" t="str">
        <f>_xlfn.IFNA(VLOOKUP($AI281,Programma!$F$3:$W$1101,18,0),"")</f>
        <v>_</v>
      </c>
      <c r="BA281" s="114" t="str">
        <f>_xlfn.IFNA(VLOOKUP($AI281,Programma!$F$3:$X$1101,19,0),"")</f>
        <v>_</v>
      </c>
      <c r="BB281" s="114" t="str">
        <f>_xlfn.IFNA(VLOOKUP($AI281,Programma!$F$3:$Y$1101,20,0),"")</f>
        <v>_</v>
      </c>
      <c r="BC281" s="111"/>
      <c r="BD281" s="110" t="str">
        <f>IF(Ruimtestaat[[#This Row],[Frequentie weekend]]="","",_xlfn.CONCAT(Ruimtestaat[[#This Row],[Ruimte code]],"-",Ruimtestaat[[#This Row],[Frequentie weekend]]," ",Ruimtestaat[[#This Row],[Vloer code]]))</f>
        <v/>
      </c>
      <c r="BE281" s="114" t="str">
        <f>_xlfn.IFNA(VLOOKUP($BD281,Programma!$F$3:$G$1101,2,0),"")</f>
        <v/>
      </c>
      <c r="BF281" s="114" t="str">
        <f>_xlfn.IFNA(VLOOKUP($BD281,Programma!$F$3:$H$1101,3,0),"")</f>
        <v/>
      </c>
      <c r="BG281" s="114" t="str">
        <f>_xlfn.IFNA(VLOOKUP($BD281,Programma!$F$3:$I$1101,4,0),"")</f>
        <v/>
      </c>
      <c r="BH281" s="114" t="str">
        <f>_xlfn.IFNA(VLOOKUP($BD281,Programma!$F$3:$J$1101,5,0),"")</f>
        <v/>
      </c>
      <c r="BI281" s="114" t="str">
        <f>_xlfn.IFNA(VLOOKUP($BD281,Programma!$F$3:$K$1101,6,0),"")</f>
        <v/>
      </c>
      <c r="BJ281" s="114" t="str">
        <f>_xlfn.IFNA(VLOOKUP($BD281,Programma!$F$3:$L$1101,7,0),"")</f>
        <v/>
      </c>
      <c r="BK281" s="114" t="str">
        <f>_xlfn.IFNA(VLOOKUP($BD281,Programma!$F$3:$M$1101,8,0),"")</f>
        <v/>
      </c>
      <c r="BL281" s="114" t="str">
        <f>_xlfn.IFNA(VLOOKUP($BD281,Programma!$F$3:$N$1101,9,0),"")</f>
        <v/>
      </c>
      <c r="BM281" s="114" t="str">
        <f>_xlfn.IFNA(VLOOKUP($BD281,Programma!$F$3:$O$1101,10,0),"")</f>
        <v/>
      </c>
      <c r="BN281" s="114" t="str">
        <f>_xlfn.IFNA(VLOOKUP($BD281,Programma!$F$3:$P$1101,11,0),"")</f>
        <v/>
      </c>
      <c r="BO281" s="114" t="str">
        <f>_xlfn.IFNA(VLOOKUP($BD281,Programma!$F$3:$Q$1101,12,0),"")</f>
        <v/>
      </c>
      <c r="BP281" s="114" t="str">
        <f>_xlfn.IFNA(VLOOKUP($BD281,Programma!$F$3:$R$1101,13,0),"")</f>
        <v/>
      </c>
      <c r="BQ281" s="114" t="str">
        <f>_xlfn.IFNA(VLOOKUP($BD281,Programma!$F$3:$S$1101,14,0),"")</f>
        <v/>
      </c>
      <c r="BR281" s="114" t="str">
        <f>_xlfn.IFNA(VLOOKUP($BD281,Programma!$F$3:$T$1101,15,0),"")</f>
        <v/>
      </c>
      <c r="BS281" s="114" t="str">
        <f>_xlfn.IFNA(VLOOKUP($BD281,Programma!$F$3:$U$1101,16,0),"")</f>
        <v/>
      </c>
      <c r="BT281" s="114" t="str">
        <f>_xlfn.IFNA(VLOOKUP($BD281,Programma!$F$3:$V$1101,17,0),"")</f>
        <v/>
      </c>
      <c r="BU281" s="114" t="str">
        <f>_xlfn.IFNA(VLOOKUP($BD281,Programma!$F$3:$W$1101,18,0),"")</f>
        <v/>
      </c>
      <c r="BV281" s="114" t="str">
        <f>_xlfn.IFNA(VLOOKUP($BD281,Programma!$F$3:$X$1101,19,0),"")</f>
        <v/>
      </c>
      <c r="BW281" s="114" t="str">
        <f>_xlfn.IFNA(VLOOKUP($BD281,Programma!$F$3:$Y$1101,20,0),"")</f>
        <v/>
      </c>
      <c r="BX281" s="28"/>
      <c r="BY281" s="28"/>
      <c r="BZ281" s="28"/>
      <c r="CA281" s="28"/>
      <c r="CB281" s="28"/>
      <c r="CC281" s="28"/>
      <c r="CD281" s="28"/>
      <c r="CE281" s="28"/>
      <c r="CF281" s="28"/>
      <c r="CG281" s="28"/>
      <c r="CH281" s="28"/>
      <c r="CI281" s="28"/>
      <c r="CJ281" s="28"/>
      <c r="CK281" s="28"/>
      <c r="CL281" s="28"/>
      <c r="CM281" s="28"/>
      <c r="CN281" s="28"/>
      <c r="CO281" s="28"/>
      <c r="CP281" s="28"/>
      <c r="CQ281" s="28"/>
      <c r="CR281" s="28"/>
      <c r="CS281" s="28"/>
      <c r="CT281" s="28"/>
      <c r="CU281" s="28"/>
      <c r="CV281" s="28"/>
      <c r="CW281" s="28"/>
      <c r="CX281" s="28"/>
      <c r="CY281" s="28"/>
      <c r="CZ281" s="28"/>
      <c r="DA281" s="28"/>
      <c r="DB281" s="28"/>
      <c r="DC281" s="28"/>
      <c r="DD281" s="28"/>
      <c r="DE281" s="28"/>
      <c r="DF281" s="28"/>
      <c r="DG281" s="28"/>
      <c r="DH281" s="28"/>
      <c r="DI281" s="28"/>
      <c r="DJ281" s="28"/>
      <c r="DK281" s="28"/>
      <c r="DL281" s="28"/>
      <c r="DM281" s="28"/>
      <c r="DN281" s="28"/>
      <c r="DO281" s="28"/>
      <c r="DP281" s="28"/>
      <c r="DQ281" s="28"/>
      <c r="DR281" s="28"/>
      <c r="DS281" s="28"/>
      <c r="DT281" s="28"/>
      <c r="DU281" s="28"/>
      <c r="DV281" s="28"/>
      <c r="DW281" s="28"/>
      <c r="DX281" s="28"/>
      <c r="DY281" s="28"/>
      <c r="DZ281" s="28"/>
      <c r="EA281" s="28"/>
      <c r="EB281" s="28"/>
      <c r="EC281" s="28"/>
      <c r="ED281" s="28"/>
      <c r="EE281" s="28"/>
      <c r="EF281" s="28"/>
      <c r="EG281" s="28"/>
      <c r="EH281" s="28"/>
      <c r="EI281" s="28"/>
      <c r="EJ281" s="28"/>
      <c r="EK281" s="28"/>
      <c r="EL281" s="28"/>
      <c r="EM281" s="28"/>
      <c r="EN281" s="28"/>
      <c r="EO281" s="28"/>
      <c r="EP281" s="28"/>
      <c r="EQ281" s="28"/>
      <c r="ER281" s="28"/>
      <c r="ES281" s="28"/>
      <c r="ET281" s="28"/>
      <c r="EU281" s="28"/>
      <c r="EV281" s="28"/>
      <c r="EW281" s="28"/>
      <c r="EX281" s="28"/>
      <c r="EY281" s="28"/>
      <c r="EZ281" s="28"/>
      <c r="FA281" s="28"/>
      <c r="FB281" s="28"/>
      <c r="FC281" s="28"/>
      <c r="FD281" s="28"/>
      <c r="FE281" s="28"/>
      <c r="FF281" s="28"/>
      <c r="FG281" s="28"/>
      <c r="FH281" s="28"/>
      <c r="FI281" s="28"/>
      <c r="FJ281" s="28"/>
      <c r="FK281" s="28"/>
      <c r="FL281" s="28"/>
      <c r="FM281" s="28"/>
      <c r="FN281" s="28"/>
      <c r="FO281" s="28"/>
      <c r="FP281" s="28"/>
      <c r="FQ281" s="28"/>
      <c r="FR281" s="28"/>
      <c r="FS281" s="28"/>
      <c r="FT281" s="28"/>
      <c r="FU281" s="28"/>
      <c r="FV281" s="28"/>
      <c r="FW281" s="28"/>
      <c r="FX281" s="28"/>
      <c r="FY281" s="28"/>
      <c r="FZ281" s="28"/>
      <c r="GA281" s="28"/>
      <c r="GB281" s="28"/>
      <c r="GC281" s="28"/>
      <c r="GD281" s="28"/>
      <c r="GE281" s="28"/>
      <c r="GF281" s="28"/>
      <c r="GG281" s="28"/>
      <c r="GH281" s="28"/>
      <c r="GI281" s="28"/>
      <c r="GJ281" s="28"/>
      <c r="GK281" s="28"/>
      <c r="GL281" s="28"/>
      <c r="GM281" s="28"/>
      <c r="GN281" s="28"/>
      <c r="GO281" s="28"/>
      <c r="GP281" s="28"/>
      <c r="GQ281" s="28"/>
      <c r="GR281" s="28"/>
      <c r="GS281" s="28"/>
      <c r="GT281" s="28"/>
      <c r="GU281" s="28"/>
      <c r="GV281" s="28"/>
      <c r="GW281" s="28"/>
      <c r="GX281" s="28"/>
      <c r="GY281" s="28"/>
      <c r="GZ281" s="28"/>
      <c r="HA281" s="28"/>
      <c r="HB281" s="28"/>
      <c r="HC281" s="28"/>
      <c r="HD281" s="28"/>
      <c r="HE281" s="28"/>
      <c r="HF281" s="28"/>
      <c r="HG281" s="28"/>
      <c r="HH281" s="28"/>
      <c r="HI281" s="28"/>
      <c r="HJ281" s="28"/>
      <c r="HK281" s="28"/>
      <c r="HL281" s="28"/>
    </row>
    <row r="282" spans="1:220" ht="15" customHeight="1">
      <c r="A282" s="31">
        <v>6</v>
      </c>
      <c r="B282" s="105" t="str">
        <f>VLOOKUP(Ruimtestaat[[#This Row],[Code]],Locaties[[Code]:[Locatie]],2,FALSE)</f>
        <v>IKC Joannes</v>
      </c>
      <c r="C282" s="105" t="str">
        <f>VLOOKUP(Ruimtestaat[[#This Row],[Code]],Locaties[[#All],[Code]:[Adres]],4,FALSE)</f>
        <v>Kerkakkers 4</v>
      </c>
      <c r="D282" s="105" t="str">
        <f>VLOOKUP(Ruimtestaat[[#This Row],[Code]],Locaties[[#All],[Code]:[Postcode]],5,FALSE)</f>
        <v>6923 BZ</v>
      </c>
      <c r="E282" s="105" t="str">
        <f>VLOOKUP(Ruimtestaat[[#This Row],[Code]],Locaties[#All],6,FALSE)</f>
        <v>Groessen</v>
      </c>
      <c r="F282" s="113" t="s">
        <v>1895</v>
      </c>
      <c r="G282" s="31" t="s">
        <v>1645</v>
      </c>
      <c r="H282" s="31" t="s">
        <v>1937</v>
      </c>
      <c r="I282" s="113" t="s">
        <v>22</v>
      </c>
      <c r="J282" s="31">
        <v>5</v>
      </c>
      <c r="K282" s="113" t="str">
        <f>VLOOKUP(Ruimtestaat[[#This Row],[Ruimte code]],Ruimtegroepen[[#All],[Code]:[Ruimte omschrijving]],2,FALSE)</f>
        <v>Sanitair</v>
      </c>
      <c r="L282" s="31" t="s">
        <v>101</v>
      </c>
      <c r="M282" s="31" t="s">
        <v>1980</v>
      </c>
      <c r="N282" s="106">
        <v>1.5</v>
      </c>
      <c r="O282" s="112"/>
      <c r="P282" s="112"/>
      <c r="Q282" s="107" t="str">
        <f>VLOOKUP(Ruimtestaat[[#This Row],[Ruimte code]],Ruimtegroepen[],4,FALSE)</f>
        <v>Sa</v>
      </c>
      <c r="R282" s="73">
        <v>40</v>
      </c>
      <c r="S282" s="73" t="s">
        <v>2</v>
      </c>
      <c r="T282" s="73">
        <f>IF(R282&gt;0,IF(RIGHT(Ruimtestaat[[#This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2" s="73">
        <f>IF(T282&gt;0,VLOOKUP($J282,Ruimtegroepen[],3,FALSE)*VLOOKUP($L282,Vloersoorten[],3,FALSE)*VLOOKUP($S282,Frequenties[],3,FALSE)*VLOOKUP($A282,Locaties[],3,FALSE),0)</f>
        <v>0</v>
      </c>
      <c r="V282" s="73">
        <f>Ruimtestaat[[#This Row],[Uitvoeringen werkdagen]]*Ruimtestaat[[#This Row],[Oppervlak (netto)]]</f>
        <v>300</v>
      </c>
      <c r="W282" s="108">
        <f>IF(U282&gt;0,Ruimtestaat[[#This Row],[Prest. (m2 /jaar) werkdagen]]/Ruimtestaat[[#This Row],[Norm (m2/uur) werkdagen]],0)</f>
        <v>0</v>
      </c>
      <c r="X282" s="109">
        <f>Ruimtestaat[[#This Row],[uren / jaar werkdagen]]*Tariefsopbouw!$E$35</f>
        <v>0</v>
      </c>
      <c r="Y282" s="73"/>
      <c r="Z282" s="73">
        <f>IF(Ruimtestaat[[#This Row],[Frequentie weekend]]&gt;0,VALUE(LEFT(Y282,1))*R282,0)</f>
        <v>0</v>
      </c>
      <c r="AA282" s="72">
        <f>IF($Z282&gt;0,VLOOKUP($J282,Ruimtegroepen[],3,FALSE)*VLOOKUP($L282,Vloersoorten[],3,FALSE)*VLOOKUP($Y282,Frequenties[],3,FALSE)*VLOOKUP(Ruimtestaat[[#This Row],[Code]],Locaties[],3,FALSE),0)</f>
        <v>0</v>
      </c>
      <c r="AB282" s="72">
        <f>Ruimtestaat[[#This Row],[Uitvoeringen weekend]]*Ruimtestaat[[#This Row],[Oppervlak (netto)]]</f>
        <v>0</v>
      </c>
      <c r="AC282" s="72">
        <f>IF(AA282&gt;0,Ruimtestaat[[#This Row],[Prest. (m2 /jaar) weekend]]/Ruimtestaat[[#This Row],[Norm (m2/uur) weekend]],0)</f>
        <v>0</v>
      </c>
      <c r="AD282" s="109">
        <f>Ruimtestaat[[#This Row],[uren / jaar weekend]]*Tariefsopbouw!$D$40</f>
        <v>0</v>
      </c>
      <c r="AE282" s="108">
        <f>Ruimtestaat[[#This Row],[Prest. (m2 /jaar) weekend]]+Ruimtestaat[[#This Row],[Prest. (m2 /jaar) werkdagen]]</f>
        <v>300</v>
      </c>
      <c r="AF282" s="108">
        <f>Ruimtestaat[[#This Row],[uren / jaar weekend]]+Ruimtestaat[[#This Row],[uren / jaar werkdagen]]</f>
        <v>0</v>
      </c>
      <c r="AG282" s="103">
        <f>Ruimtestaat[[#This Row],[kosten / jaar weekend]]+Ruimtestaat[[#This Row],[kosten / jaar werkdagen]]</f>
        <v>0</v>
      </c>
      <c r="AH282" s="103"/>
      <c r="AI282" s="110" t="str">
        <f>IF(Ruimtestaat[[#This Row],[Frequentie werkdagen]]="","",_xlfn.CONCAT(Ruimtestaat[[#This Row],[Ruimte code]],"-",Ruimtestaat[[#This Row],[Frequentie werkdagen]]," ",Ruimtestaat[[#This Row],[Vloer code]]))</f>
        <v>5-5w S</v>
      </c>
      <c r="AJ282" s="114" t="str">
        <f>_xlfn.IFNA(VLOOKUP($AI282,Programma!$F$3:$G$1101,2,0),"")</f>
        <v>_</v>
      </c>
      <c r="AK282" s="114" t="str">
        <f>_xlfn.IFNA(VLOOKUP($AI282,Programma!$F$3:$H$1101,3,0),"")</f>
        <v>_</v>
      </c>
      <c r="AL282" s="114" t="str">
        <f>_xlfn.IFNA(VLOOKUP($AI282,Programma!$F$3:$I$1101,4,0),"")</f>
        <v>_</v>
      </c>
      <c r="AM282" s="114" t="str">
        <f>_xlfn.IFNA(VLOOKUP($AI282,Programma!$F$3:$J$1101,5,0),"")</f>
        <v>4w</v>
      </c>
      <c r="AN282" s="114" t="str">
        <f>_xlfn.IFNA(VLOOKUP($AI282,Programma!$F$3:$K$1101,6,0),"")</f>
        <v>1w</v>
      </c>
      <c r="AO282" s="114" t="str">
        <f>_xlfn.IFNA(VLOOKUP($AI282,Programma!$F$3:$L$1101,7,0),"")</f>
        <v>_</v>
      </c>
      <c r="AP282" s="114" t="str">
        <f>_xlfn.IFNA(VLOOKUP($AI282,Programma!$F$3:$M$1101,8,0),"")</f>
        <v>_</v>
      </c>
      <c r="AQ282" s="114" t="str">
        <f>_xlfn.IFNA(VLOOKUP($AI282,Programma!$F$3:$N$1101,9,0),"")</f>
        <v>_</v>
      </c>
      <c r="AR282" s="114" t="str">
        <f>_xlfn.IFNA(VLOOKUP($AI282,Programma!$F$3:$O$1101,10,0),"")</f>
        <v>_</v>
      </c>
      <c r="AS282" s="114" t="str">
        <f>_xlfn.IFNA(VLOOKUP($AI282,Programma!$F$3:$P$1101,11,0),"")</f>
        <v>_</v>
      </c>
      <c r="AT282" s="114" t="str">
        <f>_xlfn.IFNA(VLOOKUP($AI282,Programma!$F$3:$Q$1101,12,0),"")</f>
        <v>_</v>
      </c>
      <c r="AU282" s="114" t="str">
        <f>_xlfn.IFNA(VLOOKUP($AI282,Programma!$F$3:$R$1101,13,0),"")</f>
        <v>_</v>
      </c>
      <c r="AV282" s="114" t="str">
        <f>_xlfn.IFNA(VLOOKUP($AI282,Programma!$F$3:$S$1101,14,0),"")</f>
        <v>_</v>
      </c>
      <c r="AW282" s="114" t="str">
        <f>_xlfn.IFNA(VLOOKUP($AI282,Programma!$F$3:$T$1101,15,0),"")</f>
        <v>_</v>
      </c>
      <c r="AX282" s="114" t="str">
        <f>_xlfn.IFNA(VLOOKUP($AI282,Programma!$F$3:$U$1101,16,0),"")</f>
        <v>_</v>
      </c>
      <c r="AY282" s="114" t="str">
        <f>_xlfn.IFNA(VLOOKUP($AI282,Programma!$F$3:$V$1101,17,0),"")</f>
        <v>_</v>
      </c>
      <c r="AZ282" s="114" t="str">
        <f>_xlfn.IFNA(VLOOKUP($AI282,Programma!$F$3:$W$1101,18,0),"")</f>
        <v>4w</v>
      </c>
      <c r="BA282" s="114" t="str">
        <f>_xlfn.IFNA(VLOOKUP($AI282,Programma!$F$3:$X$1101,19,0),"")</f>
        <v>1w</v>
      </c>
      <c r="BB282" s="114" t="str">
        <f>_xlfn.IFNA(VLOOKUP($AI282,Programma!$F$3:$Y$1101,20,0),"")</f>
        <v>_</v>
      </c>
      <c r="BC282" s="111"/>
      <c r="BD282" s="110" t="str">
        <f>IF(Ruimtestaat[[#This Row],[Frequentie weekend]]="","",_xlfn.CONCAT(Ruimtestaat[[#This Row],[Ruimte code]],"-",Ruimtestaat[[#This Row],[Frequentie weekend]]," ",Ruimtestaat[[#This Row],[Vloer code]]))</f>
        <v/>
      </c>
      <c r="BE282" s="114" t="str">
        <f>_xlfn.IFNA(VLOOKUP($BD282,Programma!$F$3:$G$1101,2,0),"")</f>
        <v/>
      </c>
      <c r="BF282" s="114" t="str">
        <f>_xlfn.IFNA(VLOOKUP($BD282,Programma!$F$3:$H$1101,3,0),"")</f>
        <v/>
      </c>
      <c r="BG282" s="114" t="str">
        <f>_xlfn.IFNA(VLOOKUP($BD282,Programma!$F$3:$I$1101,4,0),"")</f>
        <v/>
      </c>
      <c r="BH282" s="114" t="str">
        <f>_xlfn.IFNA(VLOOKUP($BD282,Programma!$F$3:$J$1101,5,0),"")</f>
        <v/>
      </c>
      <c r="BI282" s="114" t="str">
        <f>_xlfn.IFNA(VLOOKUP($BD282,Programma!$F$3:$K$1101,6,0),"")</f>
        <v/>
      </c>
      <c r="BJ282" s="114" t="str">
        <f>_xlfn.IFNA(VLOOKUP($BD282,Programma!$F$3:$L$1101,7,0),"")</f>
        <v/>
      </c>
      <c r="BK282" s="114" t="str">
        <f>_xlfn.IFNA(VLOOKUP($BD282,Programma!$F$3:$M$1101,8,0),"")</f>
        <v/>
      </c>
      <c r="BL282" s="114" t="str">
        <f>_xlfn.IFNA(VLOOKUP($BD282,Programma!$F$3:$N$1101,9,0),"")</f>
        <v/>
      </c>
      <c r="BM282" s="114" t="str">
        <f>_xlfn.IFNA(VLOOKUP($BD282,Programma!$F$3:$O$1101,10,0),"")</f>
        <v/>
      </c>
      <c r="BN282" s="114" t="str">
        <f>_xlfn.IFNA(VLOOKUP($BD282,Programma!$F$3:$P$1101,11,0),"")</f>
        <v/>
      </c>
      <c r="BO282" s="114" t="str">
        <f>_xlfn.IFNA(VLOOKUP($BD282,Programma!$F$3:$Q$1101,12,0),"")</f>
        <v/>
      </c>
      <c r="BP282" s="114" t="str">
        <f>_xlfn.IFNA(VLOOKUP($BD282,Programma!$F$3:$R$1101,13,0),"")</f>
        <v/>
      </c>
      <c r="BQ282" s="114" t="str">
        <f>_xlfn.IFNA(VLOOKUP($BD282,Programma!$F$3:$S$1101,14,0),"")</f>
        <v/>
      </c>
      <c r="BR282" s="114" t="str">
        <f>_xlfn.IFNA(VLOOKUP($BD282,Programma!$F$3:$T$1101,15,0),"")</f>
        <v/>
      </c>
      <c r="BS282" s="114" t="str">
        <f>_xlfn.IFNA(VLOOKUP($BD282,Programma!$F$3:$U$1101,16,0),"")</f>
        <v/>
      </c>
      <c r="BT282" s="114" t="str">
        <f>_xlfn.IFNA(VLOOKUP($BD282,Programma!$F$3:$V$1101,17,0),"")</f>
        <v/>
      </c>
      <c r="BU282" s="114" t="str">
        <f>_xlfn.IFNA(VLOOKUP($BD282,Programma!$F$3:$W$1101,18,0),"")</f>
        <v/>
      </c>
      <c r="BV282" s="114" t="str">
        <f>_xlfn.IFNA(VLOOKUP($BD282,Programma!$F$3:$X$1101,19,0),"")</f>
        <v/>
      </c>
      <c r="BW282" s="114" t="str">
        <f>_xlfn.IFNA(VLOOKUP($BD282,Programma!$F$3:$Y$1101,20,0),"")</f>
        <v/>
      </c>
      <c r="BX282" s="28"/>
      <c r="BY282" s="28"/>
      <c r="BZ282" s="28"/>
      <c r="CA282" s="28"/>
      <c r="CB282" s="28"/>
      <c r="CC282" s="28"/>
      <c r="CD282" s="28"/>
      <c r="CE282" s="28"/>
      <c r="CF282" s="28"/>
      <c r="CG282" s="28"/>
      <c r="CH282" s="28"/>
      <c r="CI282" s="28"/>
      <c r="CJ282" s="28"/>
      <c r="CK282" s="28"/>
      <c r="CL282" s="28"/>
      <c r="CM282" s="28"/>
      <c r="CN282" s="28"/>
      <c r="CO282" s="28"/>
      <c r="CP282" s="28"/>
      <c r="CQ282" s="28"/>
      <c r="CR282" s="28"/>
      <c r="CS282" s="28"/>
      <c r="CT282" s="28"/>
      <c r="CU282" s="28"/>
      <c r="CV282" s="28"/>
      <c r="CW282" s="28"/>
      <c r="CX282" s="28"/>
      <c r="CY282" s="28"/>
      <c r="CZ282" s="28"/>
      <c r="DA282" s="28"/>
      <c r="DB282" s="28"/>
      <c r="DC282" s="28"/>
      <c r="DD282" s="28"/>
      <c r="DE282" s="28"/>
      <c r="DF282" s="28"/>
      <c r="DG282" s="28"/>
      <c r="DH282" s="28"/>
      <c r="DI282" s="28"/>
      <c r="DJ282" s="28"/>
      <c r="DK282" s="28"/>
      <c r="DL282" s="28"/>
      <c r="DM282" s="28"/>
      <c r="DN282" s="28"/>
      <c r="DO282" s="28"/>
      <c r="DP282" s="28"/>
      <c r="DQ282" s="28"/>
      <c r="DR282" s="28"/>
      <c r="DS282" s="28"/>
      <c r="DT282" s="28"/>
      <c r="DU282" s="28"/>
      <c r="DV282" s="28"/>
      <c r="DW282" s="28"/>
      <c r="DX282" s="28"/>
      <c r="DY282" s="28"/>
      <c r="DZ282" s="28"/>
      <c r="EA282" s="28"/>
      <c r="EB282" s="28"/>
      <c r="EC282" s="28"/>
      <c r="ED282" s="28"/>
      <c r="EE282" s="28"/>
      <c r="EF282" s="28"/>
      <c r="EG282" s="28"/>
      <c r="EH282" s="28"/>
      <c r="EI282" s="28"/>
      <c r="EJ282" s="28"/>
      <c r="EK282" s="28"/>
      <c r="EL282" s="28"/>
      <c r="EM282" s="28"/>
      <c r="EN282" s="28"/>
      <c r="EO282" s="28"/>
      <c r="EP282" s="28"/>
      <c r="EQ282" s="28"/>
      <c r="ER282" s="28"/>
      <c r="ES282" s="28"/>
      <c r="ET282" s="28"/>
      <c r="EU282" s="28"/>
      <c r="EV282" s="28"/>
      <c r="EW282" s="28"/>
      <c r="EX282" s="28"/>
      <c r="EY282" s="28"/>
      <c r="EZ282" s="28"/>
      <c r="FA282" s="28"/>
      <c r="FB282" s="28"/>
      <c r="FC282" s="28"/>
      <c r="FD282" s="28"/>
      <c r="FE282" s="28"/>
      <c r="FF282" s="28"/>
      <c r="FG282" s="28"/>
      <c r="FH282" s="28"/>
      <c r="FI282" s="28"/>
      <c r="FJ282" s="28"/>
      <c r="FK282" s="28"/>
      <c r="FL282" s="28"/>
      <c r="FM282" s="28"/>
      <c r="FN282" s="28"/>
      <c r="FO282" s="28"/>
      <c r="FP282" s="28"/>
      <c r="FQ282" s="28"/>
      <c r="FR282" s="28"/>
      <c r="FS282" s="28"/>
      <c r="FT282" s="28"/>
      <c r="FU282" s="28"/>
      <c r="FV282" s="28"/>
      <c r="FW282" s="28"/>
      <c r="FX282" s="28"/>
      <c r="FY282" s="28"/>
      <c r="FZ282" s="28"/>
      <c r="GA282" s="28"/>
      <c r="GB282" s="28"/>
      <c r="GC282" s="28"/>
      <c r="GD282" s="28"/>
      <c r="GE282" s="28"/>
      <c r="GF282" s="28"/>
      <c r="GG282" s="28"/>
      <c r="GH282" s="28"/>
      <c r="GI282" s="28"/>
      <c r="GJ282" s="28"/>
      <c r="GK282" s="28"/>
      <c r="GL282" s="28"/>
      <c r="GM282" s="28"/>
      <c r="GN282" s="28"/>
      <c r="GO282" s="28"/>
      <c r="GP282" s="28"/>
      <c r="GQ282" s="28"/>
      <c r="GR282" s="28"/>
      <c r="GS282" s="28"/>
      <c r="GT282" s="28"/>
      <c r="GU282" s="28"/>
      <c r="GV282" s="28"/>
      <c r="GW282" s="28"/>
      <c r="GX282" s="28"/>
      <c r="GY282" s="28"/>
      <c r="GZ282" s="28"/>
      <c r="HA282" s="28"/>
      <c r="HB282" s="28"/>
      <c r="HC282" s="28"/>
      <c r="HD282" s="28"/>
      <c r="HE282" s="28"/>
      <c r="HF282" s="28"/>
      <c r="HG282" s="28"/>
      <c r="HH282" s="28"/>
      <c r="HI282" s="28"/>
      <c r="HJ282" s="28"/>
      <c r="HK282" s="28"/>
      <c r="HL282" s="28"/>
    </row>
    <row r="283" spans="1:220" ht="15" customHeight="1">
      <c r="A283" s="31">
        <v>6</v>
      </c>
      <c r="B283" s="105" t="str">
        <f>VLOOKUP(Ruimtestaat[[#This Row],[Code]],Locaties[[Code]:[Locatie]],2,FALSE)</f>
        <v>IKC Joannes</v>
      </c>
      <c r="C283" s="105" t="str">
        <f>VLOOKUP(Ruimtestaat[[#This Row],[Code]],Locaties[[#All],[Code]:[Adres]],4,FALSE)</f>
        <v>Kerkakkers 4</v>
      </c>
      <c r="D283" s="105" t="str">
        <f>VLOOKUP(Ruimtestaat[[#This Row],[Code]],Locaties[[#All],[Code]:[Postcode]],5,FALSE)</f>
        <v>6923 BZ</v>
      </c>
      <c r="E283" s="105" t="str">
        <f>VLOOKUP(Ruimtestaat[[#This Row],[Code]],Locaties[#All],6,FALSE)</f>
        <v>Groessen</v>
      </c>
      <c r="F283" s="113" t="s">
        <v>1895</v>
      </c>
      <c r="G283" s="31" t="s">
        <v>1645</v>
      </c>
      <c r="H283" s="31" t="s">
        <v>1938</v>
      </c>
      <c r="I283" s="113" t="s">
        <v>1898</v>
      </c>
      <c r="J283" s="31">
        <v>4</v>
      </c>
      <c r="K283" s="113" t="str">
        <f>VLOOKUP(Ruimtestaat[[#This Row],[Ruimte code]],Ruimtegroepen[[#All],[Code]:[Ruimte omschrijving]],2,FALSE)</f>
        <v>Vergader/spreekkamers</v>
      </c>
      <c r="L283" s="31" t="s">
        <v>99</v>
      </c>
      <c r="M283" s="31" t="s">
        <v>36</v>
      </c>
      <c r="N283" s="106">
        <v>70.400000000000006</v>
      </c>
      <c r="O283" s="112"/>
      <c r="P283" s="112"/>
      <c r="Q283" s="107" t="str">
        <f>VLOOKUP(Ruimtestaat[[#This Row],[Ruimte code]],Ruimtegroepen[],4,FALSE)</f>
        <v>Bu</v>
      </c>
      <c r="R283" s="73">
        <v>40</v>
      </c>
      <c r="S283" s="73" t="s">
        <v>15</v>
      </c>
      <c r="T283" s="73">
        <f>IF(R283&gt;0,IF(RIGHT(Ruimtestaat[[#This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83" s="73">
        <f>IF(T283&gt;0,VLOOKUP($J283,Ruimtegroepen[],3,FALSE)*VLOOKUP($L283,Vloersoorten[],3,FALSE)*VLOOKUP($S283,Frequenties[],3,FALSE)*VLOOKUP($A283,Locaties[],3,FALSE),0)</f>
        <v>0</v>
      </c>
      <c r="V283" s="73">
        <f>Ruimtestaat[[#This Row],[Uitvoeringen werkdagen]]*Ruimtestaat[[#This Row],[Oppervlak (netto)]]</f>
        <v>2816</v>
      </c>
      <c r="W283" s="108">
        <f>IF(U283&gt;0,Ruimtestaat[[#This Row],[Prest. (m2 /jaar) werkdagen]]/Ruimtestaat[[#This Row],[Norm (m2/uur) werkdagen]],0)</f>
        <v>0</v>
      </c>
      <c r="X283" s="109">
        <f>Ruimtestaat[[#This Row],[uren / jaar werkdagen]]*Tariefsopbouw!$E$35</f>
        <v>0</v>
      </c>
      <c r="Y283" s="73"/>
      <c r="Z283" s="73">
        <f>IF(Ruimtestaat[[#This Row],[Frequentie weekend]]&gt;0,VALUE(LEFT(Y283,1))*R283,0)</f>
        <v>0</v>
      </c>
      <c r="AA283" s="72">
        <f>IF($Z283&gt;0,VLOOKUP($J283,Ruimtegroepen[],3,FALSE)*VLOOKUP($L283,Vloersoorten[],3,FALSE)*VLOOKUP($Y283,Frequenties[],3,FALSE)*VLOOKUP(Ruimtestaat[[#This Row],[Code]],Locaties[],3,FALSE),0)</f>
        <v>0</v>
      </c>
      <c r="AB283" s="72">
        <f>Ruimtestaat[[#This Row],[Uitvoeringen weekend]]*Ruimtestaat[[#This Row],[Oppervlak (netto)]]</f>
        <v>0</v>
      </c>
      <c r="AC283" s="72">
        <f>IF(AA283&gt;0,Ruimtestaat[[#This Row],[Prest. (m2 /jaar) weekend]]/Ruimtestaat[[#This Row],[Norm (m2/uur) weekend]],0)</f>
        <v>0</v>
      </c>
      <c r="AD283" s="109">
        <f>Ruimtestaat[[#This Row],[uren / jaar weekend]]*Tariefsopbouw!$D$40</f>
        <v>0</v>
      </c>
      <c r="AE283" s="108">
        <f>Ruimtestaat[[#This Row],[Prest. (m2 /jaar) weekend]]+Ruimtestaat[[#This Row],[Prest. (m2 /jaar) werkdagen]]</f>
        <v>2816</v>
      </c>
      <c r="AF283" s="108">
        <f>Ruimtestaat[[#This Row],[uren / jaar weekend]]+Ruimtestaat[[#This Row],[uren / jaar werkdagen]]</f>
        <v>0</v>
      </c>
      <c r="AG283" s="103">
        <f>Ruimtestaat[[#This Row],[kosten / jaar weekend]]+Ruimtestaat[[#This Row],[kosten / jaar werkdagen]]</f>
        <v>0</v>
      </c>
      <c r="AH283" s="103"/>
      <c r="AI283" s="110" t="str">
        <f>IF(Ruimtestaat[[#This Row],[Frequentie werkdagen]]="","",_xlfn.CONCAT(Ruimtestaat[[#This Row],[Ruimte code]],"-",Ruimtestaat[[#This Row],[Frequentie werkdagen]]," ",Ruimtestaat[[#This Row],[Vloer code]]))</f>
        <v>4-1w T</v>
      </c>
      <c r="AJ283" s="114" t="str">
        <f>_xlfn.IFNA(VLOOKUP($AI283,Programma!$F$3:$G$1101,2,0),"")</f>
        <v>_</v>
      </c>
      <c r="AK283" s="114" t="str">
        <f>_xlfn.IFNA(VLOOKUP($AI283,Programma!$F$3:$H$1101,3,0),"")</f>
        <v>1w</v>
      </c>
      <c r="AL283" s="114" t="str">
        <f>_xlfn.IFNA(VLOOKUP($AI283,Programma!$F$3:$I$1101,4,0),"")</f>
        <v>_</v>
      </c>
      <c r="AM283" s="114" t="str">
        <f>_xlfn.IFNA(VLOOKUP($AI283,Programma!$F$3:$J$1101,5,0),"")</f>
        <v>_</v>
      </c>
      <c r="AN283" s="114" t="str">
        <f>_xlfn.IFNA(VLOOKUP($AI283,Programma!$F$3:$K$1101,6,0),"")</f>
        <v>_</v>
      </c>
      <c r="AO283" s="114" t="str">
        <f>_xlfn.IFNA(VLOOKUP($AI283,Programma!$F$3:$L$1101,7,0),"")</f>
        <v>_</v>
      </c>
      <c r="AP283" s="114" t="str">
        <f>_xlfn.IFNA(VLOOKUP($AI283,Programma!$F$3:$M$1101,8,0),"")</f>
        <v>_</v>
      </c>
      <c r="AQ283" s="114" t="str">
        <f>_xlfn.IFNA(VLOOKUP($AI283,Programma!$F$3:$N$1101,9,0),"")</f>
        <v>_</v>
      </c>
      <c r="AR283" s="114" t="str">
        <f>_xlfn.IFNA(VLOOKUP($AI283,Programma!$F$3:$O$1101,10,0),"")</f>
        <v>1w</v>
      </c>
      <c r="AS283" s="114" t="str">
        <f>_xlfn.IFNA(VLOOKUP($AI283,Programma!$F$3:$P$1101,11,0),"")</f>
        <v>1w</v>
      </c>
      <c r="AT283" s="114" t="str">
        <f>_xlfn.IFNA(VLOOKUP($AI283,Programma!$F$3:$Q$1101,12,0),"")</f>
        <v>1w</v>
      </c>
      <c r="AU283" s="114" t="str">
        <f>_xlfn.IFNA(VLOOKUP($AI283,Programma!$F$3:$R$1101,13,0),"")</f>
        <v>1w</v>
      </c>
      <c r="AV283" s="114" t="str">
        <f>_xlfn.IFNA(VLOOKUP($AI283,Programma!$F$3:$S$1101,14,0),"")</f>
        <v>1m</v>
      </c>
      <c r="AW283" s="114" t="str">
        <f>_xlfn.IFNA(VLOOKUP($AI283,Programma!$F$3:$T$1101,15,0),"")</f>
        <v>2j</v>
      </c>
      <c r="AX283" s="114" t="str">
        <f>_xlfn.IFNA(VLOOKUP($AI283,Programma!$F$3:$U$1101,16,0),"")</f>
        <v>1j</v>
      </c>
      <c r="AY283" s="114" t="str">
        <f>_xlfn.IFNA(VLOOKUP($AI283,Programma!$F$3:$V$1101,17,0),"")</f>
        <v>_</v>
      </c>
      <c r="AZ283" s="114" t="str">
        <f>_xlfn.IFNA(VLOOKUP($AI283,Programma!$F$3:$W$1101,18,0),"")</f>
        <v>_</v>
      </c>
      <c r="BA283" s="114" t="str">
        <f>_xlfn.IFNA(VLOOKUP($AI283,Programma!$F$3:$X$1101,19,0),"")</f>
        <v>_</v>
      </c>
      <c r="BB283" s="114" t="str">
        <f>_xlfn.IFNA(VLOOKUP($AI283,Programma!$F$3:$Y$1101,20,0),"")</f>
        <v>_</v>
      </c>
      <c r="BC283" s="111"/>
      <c r="BD283" s="110" t="str">
        <f>IF(Ruimtestaat[[#This Row],[Frequentie weekend]]="","",_xlfn.CONCAT(Ruimtestaat[[#This Row],[Ruimte code]],"-",Ruimtestaat[[#This Row],[Frequentie weekend]]," ",Ruimtestaat[[#This Row],[Vloer code]]))</f>
        <v/>
      </c>
      <c r="BE283" s="114" t="str">
        <f>_xlfn.IFNA(VLOOKUP($BD283,Programma!$F$3:$G$1101,2,0),"")</f>
        <v/>
      </c>
      <c r="BF283" s="114" t="str">
        <f>_xlfn.IFNA(VLOOKUP($BD283,Programma!$F$3:$H$1101,3,0),"")</f>
        <v/>
      </c>
      <c r="BG283" s="114" t="str">
        <f>_xlfn.IFNA(VLOOKUP($BD283,Programma!$F$3:$I$1101,4,0),"")</f>
        <v/>
      </c>
      <c r="BH283" s="114" t="str">
        <f>_xlfn.IFNA(VLOOKUP($BD283,Programma!$F$3:$J$1101,5,0),"")</f>
        <v/>
      </c>
      <c r="BI283" s="114" t="str">
        <f>_xlfn.IFNA(VLOOKUP($BD283,Programma!$F$3:$K$1101,6,0),"")</f>
        <v/>
      </c>
      <c r="BJ283" s="114" t="str">
        <f>_xlfn.IFNA(VLOOKUP($BD283,Programma!$F$3:$L$1101,7,0),"")</f>
        <v/>
      </c>
      <c r="BK283" s="114" t="str">
        <f>_xlfn.IFNA(VLOOKUP($BD283,Programma!$F$3:$M$1101,8,0),"")</f>
        <v/>
      </c>
      <c r="BL283" s="114" t="str">
        <f>_xlfn.IFNA(VLOOKUP($BD283,Programma!$F$3:$N$1101,9,0),"")</f>
        <v/>
      </c>
      <c r="BM283" s="114" t="str">
        <f>_xlfn.IFNA(VLOOKUP($BD283,Programma!$F$3:$O$1101,10,0),"")</f>
        <v/>
      </c>
      <c r="BN283" s="114" t="str">
        <f>_xlfn.IFNA(VLOOKUP($BD283,Programma!$F$3:$P$1101,11,0),"")</f>
        <v/>
      </c>
      <c r="BO283" s="114" t="str">
        <f>_xlfn.IFNA(VLOOKUP($BD283,Programma!$F$3:$Q$1101,12,0),"")</f>
        <v/>
      </c>
      <c r="BP283" s="114" t="str">
        <f>_xlfn.IFNA(VLOOKUP($BD283,Programma!$F$3:$R$1101,13,0),"")</f>
        <v/>
      </c>
      <c r="BQ283" s="114" t="str">
        <f>_xlfn.IFNA(VLOOKUP($BD283,Programma!$F$3:$S$1101,14,0),"")</f>
        <v/>
      </c>
      <c r="BR283" s="114" t="str">
        <f>_xlfn.IFNA(VLOOKUP($BD283,Programma!$F$3:$T$1101,15,0),"")</f>
        <v/>
      </c>
      <c r="BS283" s="114" t="str">
        <f>_xlfn.IFNA(VLOOKUP($BD283,Programma!$F$3:$U$1101,16,0),"")</f>
        <v/>
      </c>
      <c r="BT283" s="114" t="str">
        <f>_xlfn.IFNA(VLOOKUP($BD283,Programma!$F$3:$V$1101,17,0),"")</f>
        <v/>
      </c>
      <c r="BU283" s="114" t="str">
        <f>_xlfn.IFNA(VLOOKUP($BD283,Programma!$F$3:$W$1101,18,0),"")</f>
        <v/>
      </c>
      <c r="BV283" s="114" t="str">
        <f>_xlfn.IFNA(VLOOKUP($BD283,Programma!$F$3:$X$1101,19,0),"")</f>
        <v/>
      </c>
      <c r="BW283" s="114" t="str">
        <f>_xlfn.IFNA(VLOOKUP($BD283,Programma!$F$3:$Y$1101,20,0),"")</f>
        <v/>
      </c>
      <c r="BX283" s="28"/>
      <c r="BY283" s="28"/>
      <c r="BZ283" s="28"/>
      <c r="CA283" s="28"/>
      <c r="CB283" s="28"/>
      <c r="CC283" s="28"/>
      <c r="CD283" s="28"/>
      <c r="CE283" s="28"/>
      <c r="CF283" s="28"/>
      <c r="CG283" s="28"/>
      <c r="CH283" s="28"/>
      <c r="CI283" s="28"/>
      <c r="CJ283" s="28"/>
      <c r="CK283" s="28"/>
      <c r="CL283" s="28"/>
      <c r="CM283" s="28"/>
      <c r="CN283" s="28"/>
      <c r="CO283" s="28"/>
      <c r="CP283" s="28"/>
      <c r="CQ283" s="28"/>
      <c r="CR283" s="28"/>
      <c r="CS283" s="28"/>
      <c r="CT283" s="28"/>
      <c r="CU283" s="28"/>
      <c r="CV283" s="28"/>
      <c r="CW283" s="28"/>
      <c r="CX283" s="28"/>
      <c r="CY283" s="28"/>
      <c r="CZ283" s="28"/>
      <c r="DA283" s="28"/>
      <c r="DB283" s="28"/>
      <c r="DC283" s="28"/>
      <c r="DD283" s="28"/>
      <c r="DE283" s="28"/>
      <c r="DF283" s="28"/>
      <c r="DG283" s="28"/>
      <c r="DH283" s="28"/>
      <c r="DI283" s="28"/>
      <c r="DJ283" s="28"/>
      <c r="DK283" s="28"/>
      <c r="DL283" s="28"/>
      <c r="DM283" s="28"/>
      <c r="DN283" s="28"/>
      <c r="DO283" s="28"/>
      <c r="DP283" s="28"/>
      <c r="DQ283" s="28"/>
      <c r="DR283" s="28"/>
      <c r="DS283" s="28"/>
      <c r="DT283" s="28"/>
      <c r="DU283" s="28"/>
      <c r="DV283" s="28"/>
      <c r="DW283" s="28"/>
      <c r="DX283" s="28"/>
      <c r="DY283" s="28"/>
      <c r="DZ283" s="28"/>
      <c r="EA283" s="28"/>
      <c r="EB283" s="28"/>
      <c r="EC283" s="28"/>
      <c r="ED283" s="28"/>
      <c r="EE283" s="28"/>
      <c r="EF283" s="28"/>
      <c r="EG283" s="28"/>
      <c r="EH283" s="28"/>
      <c r="EI283" s="28"/>
      <c r="EJ283" s="28"/>
      <c r="EK283" s="28"/>
      <c r="EL283" s="28"/>
      <c r="EM283" s="28"/>
      <c r="EN283" s="28"/>
      <c r="EO283" s="28"/>
      <c r="EP283" s="28"/>
      <c r="EQ283" s="28"/>
      <c r="ER283" s="28"/>
      <c r="ES283" s="28"/>
      <c r="ET283" s="28"/>
      <c r="EU283" s="28"/>
      <c r="EV283" s="28"/>
      <c r="EW283" s="28"/>
      <c r="EX283" s="28"/>
      <c r="EY283" s="28"/>
      <c r="EZ283" s="28"/>
      <c r="FA283" s="28"/>
      <c r="FB283" s="28"/>
      <c r="FC283" s="28"/>
      <c r="FD283" s="28"/>
      <c r="FE283" s="28"/>
      <c r="FF283" s="28"/>
      <c r="FG283" s="28"/>
      <c r="FH283" s="28"/>
      <c r="FI283" s="28"/>
      <c r="FJ283" s="28"/>
      <c r="FK283" s="28"/>
      <c r="FL283" s="28"/>
      <c r="FM283" s="28"/>
      <c r="FN283" s="28"/>
      <c r="FO283" s="28"/>
      <c r="FP283" s="28"/>
      <c r="FQ283" s="28"/>
      <c r="FR283" s="28"/>
      <c r="FS283" s="28"/>
      <c r="FT283" s="28"/>
      <c r="FU283" s="28"/>
      <c r="FV283" s="28"/>
      <c r="FW283" s="28"/>
      <c r="FX283" s="28"/>
      <c r="FY283" s="28"/>
      <c r="FZ283" s="28"/>
      <c r="GA283" s="28"/>
      <c r="GB283" s="28"/>
      <c r="GC283" s="28"/>
      <c r="GD283" s="28"/>
      <c r="GE283" s="28"/>
      <c r="GF283" s="28"/>
      <c r="GG283" s="28"/>
      <c r="GH283" s="28"/>
      <c r="GI283" s="28"/>
      <c r="GJ283" s="28"/>
      <c r="GK283" s="28"/>
      <c r="GL283" s="28"/>
      <c r="GM283" s="28"/>
      <c r="GN283" s="28"/>
      <c r="GO283" s="28"/>
      <c r="GP283" s="28"/>
      <c r="GQ283" s="28"/>
      <c r="GR283" s="28"/>
      <c r="GS283" s="28"/>
      <c r="GT283" s="28"/>
      <c r="GU283" s="28"/>
      <c r="GV283" s="28"/>
      <c r="GW283" s="28"/>
      <c r="GX283" s="28"/>
      <c r="GY283" s="28"/>
      <c r="GZ283" s="28"/>
      <c r="HA283" s="28"/>
      <c r="HB283" s="28"/>
      <c r="HC283" s="28"/>
      <c r="HD283" s="28"/>
      <c r="HE283" s="28"/>
      <c r="HF283" s="28"/>
      <c r="HG283" s="28"/>
      <c r="HH283" s="28"/>
      <c r="HI283" s="28"/>
      <c r="HJ283" s="28"/>
      <c r="HK283" s="28"/>
      <c r="HL283" s="28"/>
    </row>
    <row r="284" spans="1:220" ht="15" customHeight="1">
      <c r="A284" s="31">
        <v>6</v>
      </c>
      <c r="B284" s="105" t="str">
        <f>VLOOKUP(Ruimtestaat[[#This Row],[Code]],Locaties[[Code]:[Locatie]],2,FALSE)</f>
        <v>IKC Joannes</v>
      </c>
      <c r="C284" s="105" t="str">
        <f>VLOOKUP(Ruimtestaat[[#This Row],[Code]],Locaties[[#All],[Code]:[Adres]],4,FALSE)</f>
        <v>Kerkakkers 4</v>
      </c>
      <c r="D284" s="105" t="str">
        <f>VLOOKUP(Ruimtestaat[[#This Row],[Code]],Locaties[[#All],[Code]:[Postcode]],5,FALSE)</f>
        <v>6923 BZ</v>
      </c>
      <c r="E284" s="105" t="str">
        <f>VLOOKUP(Ruimtestaat[[#This Row],[Code]],Locaties[#All],6,FALSE)</f>
        <v>Groessen</v>
      </c>
      <c r="F284" s="113"/>
      <c r="G284" s="31" t="s">
        <v>1645</v>
      </c>
      <c r="H284" s="31" t="s">
        <v>1939</v>
      </c>
      <c r="I284" s="113" t="s">
        <v>1782</v>
      </c>
      <c r="J284" s="31">
        <v>1</v>
      </c>
      <c r="K284" s="113" t="str">
        <f>VLOOKUP(Ruimtestaat[[#This Row],[Ruimte code]],Ruimtegroepen[[#All],[Code]:[Ruimte omschrijving]],2,FALSE)</f>
        <v>Magazijnen/bergingen</v>
      </c>
      <c r="L284" s="31" t="s">
        <v>100</v>
      </c>
      <c r="M284" s="31" t="s">
        <v>1975</v>
      </c>
      <c r="N284" s="106">
        <v>23.8</v>
      </c>
      <c r="O284" s="112"/>
      <c r="P284" s="112"/>
      <c r="Q284" s="107" t="str">
        <f>VLOOKUP(Ruimtestaat[[#This Row],[Ruimte code]],Ruimtegroepen[],4,FALSE)</f>
        <v>Ve</v>
      </c>
      <c r="R284" s="73">
        <v>40</v>
      </c>
      <c r="S284" s="73" t="s">
        <v>16</v>
      </c>
      <c r="T284" s="73">
        <f>IF(R284&gt;0,IF(RIGHT(Ruimtestaat[[#This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4" s="73">
        <f>IF(T284&gt;0,VLOOKUP($J284,Ruimtegroepen[],3,FALSE)*VLOOKUP($L284,Vloersoorten[],3,FALSE)*VLOOKUP($S284,Frequenties[],3,FALSE)*VLOOKUP($A284,Locaties[],3,FALSE),0)</f>
        <v>0</v>
      </c>
      <c r="V284" s="73">
        <f>Ruimtestaat[[#This Row],[Uitvoeringen werkdagen]]*Ruimtestaat[[#This Row],[Oppervlak (netto)]]</f>
        <v>285.60000000000002</v>
      </c>
      <c r="W284" s="108">
        <f>IF(U284&gt;0,Ruimtestaat[[#This Row],[Prest. (m2 /jaar) werkdagen]]/Ruimtestaat[[#This Row],[Norm (m2/uur) werkdagen]],0)</f>
        <v>0</v>
      </c>
      <c r="X284" s="109">
        <f>Ruimtestaat[[#This Row],[uren / jaar werkdagen]]*Tariefsopbouw!$E$35</f>
        <v>0</v>
      </c>
      <c r="Y284" s="73"/>
      <c r="Z284" s="73">
        <f>IF(Ruimtestaat[[#This Row],[Frequentie weekend]]&gt;0,VALUE(LEFT(Y284,1))*R284,0)</f>
        <v>0</v>
      </c>
      <c r="AA284" s="72">
        <f>IF($Z284&gt;0,VLOOKUP($J284,Ruimtegroepen[],3,FALSE)*VLOOKUP($L284,Vloersoorten[],3,FALSE)*VLOOKUP($Y284,Frequenties[],3,FALSE)*VLOOKUP(Ruimtestaat[[#This Row],[Code]],Locaties[],3,FALSE),0)</f>
        <v>0</v>
      </c>
      <c r="AB284" s="72">
        <f>Ruimtestaat[[#This Row],[Uitvoeringen weekend]]*Ruimtestaat[[#This Row],[Oppervlak (netto)]]</f>
        <v>0</v>
      </c>
      <c r="AC284" s="72">
        <f>IF(AA284&gt;0,Ruimtestaat[[#This Row],[Prest. (m2 /jaar) weekend]]/Ruimtestaat[[#This Row],[Norm (m2/uur) weekend]],0)</f>
        <v>0</v>
      </c>
      <c r="AD284" s="109">
        <f>Ruimtestaat[[#This Row],[uren / jaar weekend]]*Tariefsopbouw!$D$40</f>
        <v>0</v>
      </c>
      <c r="AE284" s="108">
        <f>Ruimtestaat[[#This Row],[Prest. (m2 /jaar) weekend]]+Ruimtestaat[[#This Row],[Prest. (m2 /jaar) werkdagen]]</f>
        <v>285.60000000000002</v>
      </c>
      <c r="AF284" s="108">
        <f>Ruimtestaat[[#This Row],[uren / jaar weekend]]+Ruimtestaat[[#This Row],[uren / jaar werkdagen]]</f>
        <v>0</v>
      </c>
      <c r="AG284" s="103">
        <f>Ruimtestaat[[#This Row],[kosten / jaar weekend]]+Ruimtestaat[[#This Row],[kosten / jaar werkdagen]]</f>
        <v>0</v>
      </c>
      <c r="AH284" s="103"/>
      <c r="AI284" s="110" t="str">
        <f>IF(Ruimtestaat[[#This Row],[Frequentie werkdagen]]="","",_xlfn.CONCAT(Ruimtestaat[[#This Row],[Ruimte code]],"-",Ruimtestaat[[#This Row],[Frequentie werkdagen]]," ",Ruimtestaat[[#This Row],[Vloer code]]))</f>
        <v>1-1m L</v>
      </c>
      <c r="AJ284" s="114" t="str">
        <f>_xlfn.IFNA(VLOOKUP($AI284,Programma!$F$3:$G$1101,2,0),"")</f>
        <v>_</v>
      </c>
      <c r="AK284" s="114" t="str">
        <f>_xlfn.IFNA(VLOOKUP($AI284,Programma!$F$3:$H$1101,3,0),"")</f>
        <v>_</v>
      </c>
      <c r="AL284" s="114" t="str">
        <f>_xlfn.IFNA(VLOOKUP($AI284,Programma!$F$3:$I$1101,4,0),"")</f>
        <v>1m</v>
      </c>
      <c r="AM284" s="114" t="str">
        <f>_xlfn.IFNA(VLOOKUP($AI284,Programma!$F$3:$J$1101,5,0),"")</f>
        <v>1m</v>
      </c>
      <c r="AN284" s="114" t="str">
        <f>_xlfn.IFNA(VLOOKUP($AI284,Programma!$F$3:$K$1101,6,0),"")</f>
        <v>_</v>
      </c>
      <c r="AO284" s="114" t="str">
        <f>_xlfn.IFNA(VLOOKUP($AI284,Programma!$F$3:$L$1101,7,0),"")</f>
        <v>_</v>
      </c>
      <c r="AP284" s="114" t="str">
        <f>_xlfn.IFNA(VLOOKUP($AI284,Programma!$F$3:$M$1101,8,0),"")</f>
        <v>_</v>
      </c>
      <c r="AQ284" s="114" t="str">
        <f>_xlfn.IFNA(VLOOKUP($AI284,Programma!$F$3:$N$1101,9,0),"")</f>
        <v>_</v>
      </c>
      <c r="AR284" s="114" t="str">
        <f>_xlfn.IFNA(VLOOKUP($AI284,Programma!$F$3:$O$1101,10,0),"")</f>
        <v>_</v>
      </c>
      <c r="AS284" s="114" t="str">
        <f>_xlfn.IFNA(VLOOKUP($AI284,Programma!$F$3:$P$1101,11,0),"")</f>
        <v>_</v>
      </c>
      <c r="AT284" s="114" t="str">
        <f>_xlfn.IFNA(VLOOKUP($AI284,Programma!$F$3:$Q$1101,12,0),"")</f>
        <v>_</v>
      </c>
      <c r="AU284" s="114" t="str">
        <f>_xlfn.IFNA(VLOOKUP($AI284,Programma!$F$3:$R$1101,13,0),"")</f>
        <v>_</v>
      </c>
      <c r="AV284" s="114" t="str">
        <f>_xlfn.IFNA(VLOOKUP($AI284,Programma!$F$3:$S$1101,14,0),"")</f>
        <v>1m</v>
      </c>
      <c r="AW284" s="114" t="str">
        <f>_xlfn.IFNA(VLOOKUP($AI284,Programma!$F$3:$T$1101,15,0),"")</f>
        <v>4j</v>
      </c>
      <c r="AX284" s="114" t="str">
        <f>_xlfn.IFNA(VLOOKUP($AI284,Programma!$F$3:$U$1101,16,0),"")</f>
        <v>4j</v>
      </c>
      <c r="AY284" s="114" t="str">
        <f>_xlfn.IFNA(VLOOKUP($AI284,Programma!$F$3:$V$1101,17,0),"")</f>
        <v>_</v>
      </c>
      <c r="AZ284" s="114" t="str">
        <f>_xlfn.IFNA(VLOOKUP($AI284,Programma!$F$3:$W$1101,18,0),"")</f>
        <v>_</v>
      </c>
      <c r="BA284" s="114" t="str">
        <f>_xlfn.IFNA(VLOOKUP($AI284,Programma!$F$3:$X$1101,19,0),"")</f>
        <v>_</v>
      </c>
      <c r="BB284" s="114" t="str">
        <f>_xlfn.IFNA(VLOOKUP($AI284,Programma!$F$3:$Y$1101,20,0),"")</f>
        <v>_</v>
      </c>
      <c r="BC284" s="111"/>
      <c r="BD284" s="110" t="str">
        <f>IF(Ruimtestaat[[#This Row],[Frequentie weekend]]="","",_xlfn.CONCAT(Ruimtestaat[[#This Row],[Ruimte code]],"-",Ruimtestaat[[#This Row],[Frequentie weekend]]," ",Ruimtestaat[[#This Row],[Vloer code]]))</f>
        <v/>
      </c>
      <c r="BE284" s="114" t="str">
        <f>_xlfn.IFNA(VLOOKUP($BD284,Programma!$F$3:$G$1101,2,0),"")</f>
        <v/>
      </c>
      <c r="BF284" s="114" t="str">
        <f>_xlfn.IFNA(VLOOKUP($BD284,Programma!$F$3:$H$1101,3,0),"")</f>
        <v/>
      </c>
      <c r="BG284" s="114" t="str">
        <f>_xlfn.IFNA(VLOOKUP($BD284,Programma!$F$3:$I$1101,4,0),"")</f>
        <v/>
      </c>
      <c r="BH284" s="114" t="str">
        <f>_xlfn.IFNA(VLOOKUP($BD284,Programma!$F$3:$J$1101,5,0),"")</f>
        <v/>
      </c>
      <c r="BI284" s="114" t="str">
        <f>_xlfn.IFNA(VLOOKUP($BD284,Programma!$F$3:$K$1101,6,0),"")</f>
        <v/>
      </c>
      <c r="BJ284" s="114" t="str">
        <f>_xlfn.IFNA(VLOOKUP($BD284,Programma!$F$3:$L$1101,7,0),"")</f>
        <v/>
      </c>
      <c r="BK284" s="114" t="str">
        <f>_xlfn.IFNA(VLOOKUP($BD284,Programma!$F$3:$M$1101,8,0),"")</f>
        <v/>
      </c>
      <c r="BL284" s="114" t="str">
        <f>_xlfn.IFNA(VLOOKUP($BD284,Programma!$F$3:$N$1101,9,0),"")</f>
        <v/>
      </c>
      <c r="BM284" s="114" t="str">
        <f>_xlfn.IFNA(VLOOKUP($BD284,Programma!$F$3:$O$1101,10,0),"")</f>
        <v/>
      </c>
      <c r="BN284" s="114" t="str">
        <f>_xlfn.IFNA(VLOOKUP($BD284,Programma!$F$3:$P$1101,11,0),"")</f>
        <v/>
      </c>
      <c r="BO284" s="114" t="str">
        <f>_xlfn.IFNA(VLOOKUP($BD284,Programma!$F$3:$Q$1101,12,0),"")</f>
        <v/>
      </c>
      <c r="BP284" s="114" t="str">
        <f>_xlfn.IFNA(VLOOKUP($BD284,Programma!$F$3:$R$1101,13,0),"")</f>
        <v/>
      </c>
      <c r="BQ284" s="114" t="str">
        <f>_xlfn.IFNA(VLOOKUP($BD284,Programma!$F$3:$S$1101,14,0),"")</f>
        <v/>
      </c>
      <c r="BR284" s="114" t="str">
        <f>_xlfn.IFNA(VLOOKUP($BD284,Programma!$F$3:$T$1101,15,0),"")</f>
        <v/>
      </c>
      <c r="BS284" s="114" t="str">
        <f>_xlfn.IFNA(VLOOKUP($BD284,Programma!$F$3:$U$1101,16,0),"")</f>
        <v/>
      </c>
      <c r="BT284" s="114" t="str">
        <f>_xlfn.IFNA(VLOOKUP($BD284,Programma!$F$3:$V$1101,17,0),"")</f>
        <v/>
      </c>
      <c r="BU284" s="114" t="str">
        <f>_xlfn.IFNA(VLOOKUP($BD284,Programma!$F$3:$W$1101,18,0),"")</f>
        <v/>
      </c>
      <c r="BV284" s="114" t="str">
        <f>_xlfn.IFNA(VLOOKUP($BD284,Programma!$F$3:$X$1101,19,0),"")</f>
        <v/>
      </c>
      <c r="BW284" s="114" t="str">
        <f>_xlfn.IFNA(VLOOKUP($BD284,Programma!$F$3:$Y$1101,20,0),"")</f>
        <v/>
      </c>
      <c r="BX284" s="28"/>
      <c r="BY284" s="28"/>
      <c r="BZ284" s="28"/>
      <c r="CA284" s="28"/>
      <c r="CB284" s="28"/>
      <c r="CC284" s="28"/>
      <c r="CD284" s="28"/>
      <c r="CE284" s="28"/>
      <c r="CF284" s="28"/>
      <c r="CG284" s="28"/>
      <c r="CH284" s="28"/>
      <c r="CI284" s="28"/>
      <c r="CJ284" s="28"/>
      <c r="CK284" s="28"/>
      <c r="CL284" s="28"/>
      <c r="CM284" s="28"/>
      <c r="CN284" s="28"/>
      <c r="CO284" s="28"/>
      <c r="CP284" s="28"/>
      <c r="CQ284" s="28"/>
      <c r="CR284" s="28"/>
      <c r="CS284" s="28"/>
      <c r="CT284" s="28"/>
      <c r="CU284" s="28"/>
      <c r="CV284" s="28"/>
      <c r="CW284" s="28"/>
      <c r="CX284" s="28"/>
      <c r="CY284" s="28"/>
      <c r="CZ284" s="28"/>
      <c r="DA284" s="28"/>
      <c r="DB284" s="28"/>
      <c r="DC284" s="28"/>
      <c r="DD284" s="28"/>
      <c r="DE284" s="28"/>
      <c r="DF284" s="28"/>
      <c r="DG284" s="28"/>
      <c r="DH284" s="28"/>
      <c r="DI284" s="28"/>
      <c r="DJ284" s="28"/>
      <c r="DK284" s="28"/>
      <c r="DL284" s="28"/>
      <c r="DM284" s="28"/>
      <c r="DN284" s="28"/>
      <c r="DO284" s="28"/>
      <c r="DP284" s="28"/>
      <c r="DQ284" s="28"/>
      <c r="DR284" s="28"/>
      <c r="DS284" s="28"/>
      <c r="DT284" s="28"/>
      <c r="DU284" s="28"/>
      <c r="DV284" s="28"/>
      <c r="DW284" s="28"/>
      <c r="DX284" s="28"/>
      <c r="DY284" s="28"/>
      <c r="DZ284" s="28"/>
      <c r="EA284" s="28"/>
      <c r="EB284" s="28"/>
      <c r="EC284" s="28"/>
      <c r="ED284" s="28"/>
      <c r="EE284" s="28"/>
      <c r="EF284" s="28"/>
      <c r="EG284" s="28"/>
      <c r="EH284" s="28"/>
      <c r="EI284" s="28"/>
      <c r="EJ284" s="28"/>
      <c r="EK284" s="28"/>
      <c r="EL284" s="28"/>
      <c r="EM284" s="28"/>
      <c r="EN284" s="28"/>
      <c r="EO284" s="28"/>
      <c r="EP284" s="28"/>
      <c r="EQ284" s="28"/>
      <c r="ER284" s="28"/>
      <c r="ES284" s="28"/>
      <c r="ET284" s="28"/>
      <c r="EU284" s="28"/>
      <c r="EV284" s="28"/>
      <c r="EW284" s="28"/>
      <c r="EX284" s="28"/>
      <c r="EY284" s="28"/>
      <c r="EZ284" s="28"/>
      <c r="FA284" s="28"/>
      <c r="FB284" s="28"/>
      <c r="FC284" s="28"/>
      <c r="FD284" s="28"/>
      <c r="FE284" s="28"/>
      <c r="FF284" s="28"/>
      <c r="FG284" s="28"/>
      <c r="FH284" s="28"/>
      <c r="FI284" s="28"/>
      <c r="FJ284" s="28"/>
      <c r="FK284" s="28"/>
      <c r="FL284" s="28"/>
      <c r="FM284" s="28"/>
      <c r="FN284" s="28"/>
      <c r="FO284" s="28"/>
      <c r="FP284" s="28"/>
      <c r="FQ284" s="28"/>
      <c r="FR284" s="28"/>
      <c r="FS284" s="28"/>
      <c r="FT284" s="28"/>
      <c r="FU284" s="28"/>
      <c r="FV284" s="28"/>
      <c r="FW284" s="28"/>
      <c r="FX284" s="28"/>
      <c r="FY284" s="28"/>
      <c r="FZ284" s="28"/>
      <c r="GA284" s="28"/>
      <c r="GB284" s="28"/>
      <c r="GC284" s="28"/>
      <c r="GD284" s="28"/>
      <c r="GE284" s="28"/>
      <c r="GF284" s="28"/>
      <c r="GG284" s="28"/>
      <c r="GH284" s="28"/>
      <c r="GI284" s="28"/>
      <c r="GJ284" s="28"/>
      <c r="GK284" s="28"/>
      <c r="GL284" s="28"/>
      <c r="GM284" s="28"/>
      <c r="GN284" s="28"/>
      <c r="GO284" s="28"/>
      <c r="GP284" s="28"/>
      <c r="GQ284" s="28"/>
      <c r="GR284" s="28"/>
      <c r="GS284" s="28"/>
      <c r="GT284" s="28"/>
      <c r="GU284" s="28"/>
      <c r="GV284" s="28"/>
      <c r="GW284" s="28"/>
      <c r="GX284" s="28"/>
      <c r="GY284" s="28"/>
      <c r="GZ284" s="28"/>
      <c r="HA284" s="28"/>
      <c r="HB284" s="28"/>
      <c r="HC284" s="28"/>
      <c r="HD284" s="28"/>
      <c r="HE284" s="28"/>
      <c r="HF284" s="28"/>
      <c r="HG284" s="28"/>
      <c r="HH284" s="28"/>
      <c r="HI284" s="28"/>
      <c r="HJ284" s="28"/>
      <c r="HK284" s="28"/>
      <c r="HL284" s="28"/>
    </row>
    <row r="285" spans="1:220" ht="15" customHeight="1">
      <c r="A285" s="31">
        <v>6</v>
      </c>
      <c r="B285" s="105" t="str">
        <f>VLOOKUP(Ruimtestaat[[#This Row],[Code]],Locaties[[Code]:[Locatie]],2,FALSE)</f>
        <v>IKC Joannes</v>
      </c>
      <c r="C285" s="105" t="str">
        <f>VLOOKUP(Ruimtestaat[[#This Row],[Code]],Locaties[[#All],[Code]:[Adres]],4,FALSE)</f>
        <v>Kerkakkers 4</v>
      </c>
      <c r="D285" s="105" t="str">
        <f>VLOOKUP(Ruimtestaat[[#This Row],[Code]],Locaties[[#All],[Code]:[Postcode]],5,FALSE)</f>
        <v>6923 BZ</v>
      </c>
      <c r="E285" s="105" t="str">
        <f>VLOOKUP(Ruimtestaat[[#This Row],[Code]],Locaties[#All],6,FALSE)</f>
        <v>Groessen</v>
      </c>
      <c r="F285" s="113" t="s">
        <v>1824</v>
      </c>
      <c r="G285" s="31" t="s">
        <v>1645</v>
      </c>
      <c r="H285" s="31" t="s">
        <v>1922</v>
      </c>
      <c r="I285" s="113" t="s">
        <v>38</v>
      </c>
      <c r="J285" s="31">
        <v>7</v>
      </c>
      <c r="K285" s="113" t="str">
        <f>VLOOKUP(Ruimtestaat[[#This Row],[Ruimte code]],Ruimtegroepen[[#All],[Code]:[Ruimte omschrijving]],2,FALSE)</f>
        <v>Entree</v>
      </c>
      <c r="L285" s="31" t="s">
        <v>100</v>
      </c>
      <c r="M285" s="31" t="s">
        <v>1975</v>
      </c>
      <c r="N285" s="106">
        <v>19.200000000000003</v>
      </c>
      <c r="O285" s="112"/>
      <c r="P285" s="112"/>
      <c r="Q285" s="107" t="str">
        <f>VLOOKUP(Ruimtestaat[[#This Row],[Ruimte code]],Ruimtegroepen[],4,FALSE)</f>
        <v>Ve</v>
      </c>
      <c r="R285" s="73">
        <v>40</v>
      </c>
      <c r="S285" s="73" t="s">
        <v>2</v>
      </c>
      <c r="T285" s="73">
        <f>IF(R285&gt;0,IF(RIGHT(Ruimtestaat[[#This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5" s="73">
        <f>IF(T285&gt;0,VLOOKUP($J285,Ruimtegroepen[],3,FALSE)*VLOOKUP($L285,Vloersoorten[],3,FALSE)*VLOOKUP($S285,Frequenties[],3,FALSE)*VLOOKUP($A285,Locaties[],3,FALSE),0)</f>
        <v>0</v>
      </c>
      <c r="V285" s="73">
        <f>Ruimtestaat[[#This Row],[Uitvoeringen werkdagen]]*Ruimtestaat[[#This Row],[Oppervlak (netto)]]</f>
        <v>3840.0000000000005</v>
      </c>
      <c r="W285" s="108">
        <f>IF(U285&gt;0,Ruimtestaat[[#This Row],[Prest. (m2 /jaar) werkdagen]]/Ruimtestaat[[#This Row],[Norm (m2/uur) werkdagen]],0)</f>
        <v>0</v>
      </c>
      <c r="X285" s="109">
        <f>Ruimtestaat[[#This Row],[uren / jaar werkdagen]]*Tariefsopbouw!$E$35</f>
        <v>0</v>
      </c>
      <c r="Y285" s="73"/>
      <c r="Z285" s="73">
        <f>IF(Ruimtestaat[[#This Row],[Frequentie weekend]]&gt;0,VALUE(LEFT(Y285,1))*R285,0)</f>
        <v>0</v>
      </c>
      <c r="AA285" s="72">
        <f>IF($Z285&gt;0,VLOOKUP($J285,Ruimtegroepen[],3,FALSE)*VLOOKUP($L285,Vloersoorten[],3,FALSE)*VLOOKUP($Y285,Frequenties[],3,FALSE)*VLOOKUP(Ruimtestaat[[#This Row],[Code]],Locaties[],3,FALSE),0)</f>
        <v>0</v>
      </c>
      <c r="AB285" s="72">
        <f>Ruimtestaat[[#This Row],[Uitvoeringen weekend]]*Ruimtestaat[[#This Row],[Oppervlak (netto)]]</f>
        <v>0</v>
      </c>
      <c r="AC285" s="72">
        <f>IF(AA285&gt;0,Ruimtestaat[[#This Row],[Prest. (m2 /jaar) weekend]]/Ruimtestaat[[#This Row],[Norm (m2/uur) weekend]],0)</f>
        <v>0</v>
      </c>
      <c r="AD285" s="109">
        <f>Ruimtestaat[[#This Row],[uren / jaar weekend]]*Tariefsopbouw!$D$40</f>
        <v>0</v>
      </c>
      <c r="AE285" s="108">
        <f>Ruimtestaat[[#This Row],[Prest. (m2 /jaar) weekend]]+Ruimtestaat[[#This Row],[Prest. (m2 /jaar) werkdagen]]</f>
        <v>3840.0000000000005</v>
      </c>
      <c r="AF285" s="108">
        <f>Ruimtestaat[[#This Row],[uren / jaar weekend]]+Ruimtestaat[[#This Row],[uren / jaar werkdagen]]</f>
        <v>0</v>
      </c>
      <c r="AG285" s="103">
        <f>Ruimtestaat[[#This Row],[kosten / jaar weekend]]+Ruimtestaat[[#This Row],[kosten / jaar werkdagen]]</f>
        <v>0</v>
      </c>
      <c r="AH285" s="103"/>
      <c r="AI285" s="110" t="str">
        <f>IF(Ruimtestaat[[#This Row],[Frequentie werkdagen]]="","",_xlfn.CONCAT(Ruimtestaat[[#This Row],[Ruimte code]],"-",Ruimtestaat[[#This Row],[Frequentie werkdagen]]," ",Ruimtestaat[[#This Row],[Vloer code]]))</f>
        <v>7-5w L</v>
      </c>
      <c r="AJ285" s="114" t="str">
        <f>_xlfn.IFNA(VLOOKUP($AI285,Programma!$F$3:$G$1101,2,0),"")</f>
        <v>_</v>
      </c>
      <c r="AK285" s="114" t="str">
        <f>_xlfn.IFNA(VLOOKUP($AI285,Programma!$F$3:$H$1101,3,0),"")</f>
        <v>_</v>
      </c>
      <c r="AL285" s="114" t="str">
        <f>_xlfn.IFNA(VLOOKUP($AI285,Programma!$F$3:$I$1101,4,0),"")</f>
        <v>_</v>
      </c>
      <c r="AM285" s="114" t="str">
        <f>_xlfn.IFNA(VLOOKUP($AI285,Programma!$F$3:$J$1101,5,0),"")</f>
        <v>5w</v>
      </c>
      <c r="AN285" s="114" t="str">
        <f>_xlfn.IFNA(VLOOKUP($AI285,Programma!$F$3:$K$1101,6,0),"")</f>
        <v>_</v>
      </c>
      <c r="AO285" s="114" t="str">
        <f>_xlfn.IFNA(VLOOKUP($AI285,Programma!$F$3:$L$1101,7,0),"")</f>
        <v>_</v>
      </c>
      <c r="AP285" s="114" t="str">
        <f>_xlfn.IFNA(VLOOKUP($AI285,Programma!$F$3:$M$1101,8,0),"")</f>
        <v>_</v>
      </c>
      <c r="AQ285" s="114" t="str">
        <f>_xlfn.IFNA(VLOOKUP($AI285,Programma!$F$3:$N$1101,9,0),"")</f>
        <v>_</v>
      </c>
      <c r="AR285" s="114" t="str">
        <f>_xlfn.IFNA(VLOOKUP($AI285,Programma!$F$3:$O$1101,10,0),"")</f>
        <v>5w</v>
      </c>
      <c r="AS285" s="114" t="str">
        <f>_xlfn.IFNA(VLOOKUP($AI285,Programma!$F$3:$P$1101,11,0),"")</f>
        <v>5w</v>
      </c>
      <c r="AT285" s="114" t="str">
        <f>_xlfn.IFNA(VLOOKUP($AI285,Programma!$F$3:$Q$1101,12,0),"")</f>
        <v>1w</v>
      </c>
      <c r="AU285" s="114" t="str">
        <f>_xlfn.IFNA(VLOOKUP($AI285,Programma!$F$3:$R$1101,13,0),"")</f>
        <v>1w</v>
      </c>
      <c r="AV285" s="114" t="str">
        <f>_xlfn.IFNA(VLOOKUP($AI285,Programma!$F$3:$S$1101,14,0),"")</f>
        <v>1m</v>
      </c>
      <c r="AW285" s="114" t="str">
        <f>_xlfn.IFNA(VLOOKUP($AI285,Programma!$F$3:$T$1101,15,0),"")</f>
        <v>2j</v>
      </c>
      <c r="AX285" s="114" t="str">
        <f>_xlfn.IFNA(VLOOKUP($AI285,Programma!$F$3:$U$1101,16,0),"")</f>
        <v>1j</v>
      </c>
      <c r="AY285" s="114" t="str">
        <f>_xlfn.IFNA(VLOOKUP($AI285,Programma!$F$3:$V$1101,17,0),"")</f>
        <v>_</v>
      </c>
      <c r="AZ285" s="114" t="str">
        <f>_xlfn.IFNA(VLOOKUP($AI285,Programma!$F$3:$W$1101,18,0),"")</f>
        <v>_</v>
      </c>
      <c r="BA285" s="114" t="str">
        <f>_xlfn.IFNA(VLOOKUP($AI285,Programma!$F$3:$X$1101,19,0),"")</f>
        <v>_</v>
      </c>
      <c r="BB285" s="114" t="str">
        <f>_xlfn.IFNA(VLOOKUP($AI285,Programma!$F$3:$Y$1101,20,0),"")</f>
        <v>_</v>
      </c>
      <c r="BC285" s="111"/>
      <c r="BD285" s="110" t="str">
        <f>IF(Ruimtestaat[[#This Row],[Frequentie weekend]]="","",_xlfn.CONCAT(Ruimtestaat[[#This Row],[Ruimte code]],"-",Ruimtestaat[[#This Row],[Frequentie weekend]]," ",Ruimtestaat[[#This Row],[Vloer code]]))</f>
        <v/>
      </c>
      <c r="BE285" s="114" t="str">
        <f>_xlfn.IFNA(VLOOKUP($BD285,Programma!$F$3:$G$1101,2,0),"")</f>
        <v/>
      </c>
      <c r="BF285" s="114" t="str">
        <f>_xlfn.IFNA(VLOOKUP($BD285,Programma!$F$3:$H$1101,3,0),"")</f>
        <v/>
      </c>
      <c r="BG285" s="114" t="str">
        <f>_xlfn.IFNA(VLOOKUP($BD285,Programma!$F$3:$I$1101,4,0),"")</f>
        <v/>
      </c>
      <c r="BH285" s="114" t="str">
        <f>_xlfn.IFNA(VLOOKUP($BD285,Programma!$F$3:$J$1101,5,0),"")</f>
        <v/>
      </c>
      <c r="BI285" s="114" t="str">
        <f>_xlfn.IFNA(VLOOKUP($BD285,Programma!$F$3:$K$1101,6,0),"")</f>
        <v/>
      </c>
      <c r="BJ285" s="114" t="str">
        <f>_xlfn.IFNA(VLOOKUP($BD285,Programma!$F$3:$L$1101,7,0),"")</f>
        <v/>
      </c>
      <c r="BK285" s="114" t="str">
        <f>_xlfn.IFNA(VLOOKUP($BD285,Programma!$F$3:$M$1101,8,0),"")</f>
        <v/>
      </c>
      <c r="BL285" s="114" t="str">
        <f>_xlfn.IFNA(VLOOKUP($BD285,Programma!$F$3:$N$1101,9,0),"")</f>
        <v/>
      </c>
      <c r="BM285" s="114" t="str">
        <f>_xlfn.IFNA(VLOOKUP($BD285,Programma!$F$3:$O$1101,10,0),"")</f>
        <v/>
      </c>
      <c r="BN285" s="114" t="str">
        <f>_xlfn.IFNA(VLOOKUP($BD285,Programma!$F$3:$P$1101,11,0),"")</f>
        <v/>
      </c>
      <c r="BO285" s="114" t="str">
        <f>_xlfn.IFNA(VLOOKUP($BD285,Programma!$F$3:$Q$1101,12,0),"")</f>
        <v/>
      </c>
      <c r="BP285" s="114" t="str">
        <f>_xlfn.IFNA(VLOOKUP($BD285,Programma!$F$3:$R$1101,13,0),"")</f>
        <v/>
      </c>
      <c r="BQ285" s="114" t="str">
        <f>_xlfn.IFNA(VLOOKUP($BD285,Programma!$F$3:$S$1101,14,0),"")</f>
        <v/>
      </c>
      <c r="BR285" s="114" t="str">
        <f>_xlfn.IFNA(VLOOKUP($BD285,Programma!$F$3:$T$1101,15,0),"")</f>
        <v/>
      </c>
      <c r="BS285" s="114" t="str">
        <f>_xlfn.IFNA(VLOOKUP($BD285,Programma!$F$3:$U$1101,16,0),"")</f>
        <v/>
      </c>
      <c r="BT285" s="114" t="str">
        <f>_xlfn.IFNA(VLOOKUP($BD285,Programma!$F$3:$V$1101,17,0),"")</f>
        <v/>
      </c>
      <c r="BU285" s="114" t="str">
        <f>_xlfn.IFNA(VLOOKUP($BD285,Programma!$F$3:$W$1101,18,0),"")</f>
        <v/>
      </c>
      <c r="BV285" s="114" t="str">
        <f>_xlfn.IFNA(VLOOKUP($BD285,Programma!$F$3:$X$1101,19,0),"")</f>
        <v/>
      </c>
      <c r="BW285" s="114" t="str">
        <f>_xlfn.IFNA(VLOOKUP($BD285,Programma!$F$3:$Y$1101,20,0),"")</f>
        <v/>
      </c>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c r="EV285" s="28"/>
      <c r="EW285" s="28"/>
      <c r="EX285" s="28"/>
      <c r="EY285" s="28"/>
      <c r="EZ285" s="28"/>
      <c r="FA285" s="28"/>
      <c r="FB285" s="28"/>
      <c r="FC285" s="28"/>
      <c r="FD285" s="28"/>
      <c r="FE285" s="28"/>
      <c r="FF285" s="28"/>
      <c r="FG285" s="28"/>
      <c r="FH285" s="28"/>
      <c r="FI285" s="28"/>
      <c r="FJ285" s="28"/>
      <c r="FK285" s="28"/>
      <c r="FL285" s="28"/>
      <c r="FM285" s="28"/>
      <c r="FN285" s="28"/>
      <c r="FO285" s="28"/>
      <c r="FP285" s="28"/>
      <c r="FQ285" s="28"/>
      <c r="FR285" s="28"/>
      <c r="FS285" s="28"/>
      <c r="FT285" s="28"/>
      <c r="FU285" s="28"/>
      <c r="FV285" s="28"/>
      <c r="FW285" s="28"/>
      <c r="FX285" s="28"/>
      <c r="FY285" s="28"/>
      <c r="FZ285" s="28"/>
      <c r="GA285" s="28"/>
      <c r="GB285" s="28"/>
      <c r="GC285" s="28"/>
      <c r="GD285" s="28"/>
      <c r="GE285" s="28"/>
      <c r="GF285" s="28"/>
      <c r="GG285" s="28"/>
      <c r="GH285" s="28"/>
      <c r="GI285" s="28"/>
      <c r="GJ285" s="28"/>
      <c r="GK285" s="28"/>
      <c r="GL285" s="28"/>
      <c r="GM285" s="28"/>
      <c r="GN285" s="28"/>
      <c r="GO285" s="28"/>
      <c r="GP285" s="28"/>
      <c r="GQ285" s="28"/>
      <c r="GR285" s="28"/>
      <c r="GS285" s="28"/>
      <c r="GT285" s="28"/>
      <c r="GU285" s="28"/>
      <c r="GV285" s="28"/>
      <c r="GW285" s="28"/>
      <c r="GX285" s="28"/>
      <c r="GY285" s="28"/>
      <c r="GZ285" s="28"/>
      <c r="HA285" s="28"/>
      <c r="HB285" s="28"/>
      <c r="HC285" s="28"/>
      <c r="HD285" s="28"/>
      <c r="HE285" s="28"/>
      <c r="HF285" s="28"/>
      <c r="HG285" s="28"/>
      <c r="HH285" s="28"/>
      <c r="HI285" s="28"/>
      <c r="HJ285" s="28"/>
      <c r="HK285" s="28"/>
      <c r="HL285" s="28"/>
    </row>
    <row r="286" spans="1:220" ht="15" customHeight="1">
      <c r="A286" s="31">
        <v>6</v>
      </c>
      <c r="B286" s="105" t="str">
        <f>VLOOKUP(Ruimtestaat[[#This Row],[Code]],Locaties[[Code]:[Locatie]],2,FALSE)</f>
        <v>IKC Joannes</v>
      </c>
      <c r="C286" s="105" t="str">
        <f>VLOOKUP(Ruimtestaat[[#This Row],[Code]],Locaties[[#All],[Code]:[Adres]],4,FALSE)</f>
        <v>Kerkakkers 4</v>
      </c>
      <c r="D286" s="105" t="str">
        <f>VLOOKUP(Ruimtestaat[[#This Row],[Code]],Locaties[[#All],[Code]:[Postcode]],5,FALSE)</f>
        <v>6923 BZ</v>
      </c>
      <c r="E286" s="105" t="str">
        <f>VLOOKUP(Ruimtestaat[[#This Row],[Code]],Locaties[#All],6,FALSE)</f>
        <v>Groessen</v>
      </c>
      <c r="F286" s="113" t="s">
        <v>1824</v>
      </c>
      <c r="G286" s="31" t="s">
        <v>1645</v>
      </c>
      <c r="H286" s="31" t="s">
        <v>1923</v>
      </c>
      <c r="I286" s="113" t="s">
        <v>1899</v>
      </c>
      <c r="J286" s="31">
        <v>6</v>
      </c>
      <c r="K286" s="113" t="str">
        <f>VLOOKUP(Ruimtestaat[[#This Row],[Ruimte code]],Ruimtegroepen[[#All],[Code]:[Ruimte omschrijving]],2,FALSE)</f>
        <v>Gangen/hallen</v>
      </c>
      <c r="L286" s="31" t="s">
        <v>100</v>
      </c>
      <c r="M286" s="31" t="s">
        <v>1975</v>
      </c>
      <c r="N286" s="106">
        <v>59.879999999999995</v>
      </c>
      <c r="O286" s="112"/>
      <c r="P286" s="112"/>
      <c r="Q286" s="107" t="str">
        <f>VLOOKUP(Ruimtestaat[[#This Row],[Ruimte code]],Ruimtegroepen[],4,FALSE)</f>
        <v>Ve</v>
      </c>
      <c r="R286" s="73">
        <v>40</v>
      </c>
      <c r="S286" s="73" t="s">
        <v>2</v>
      </c>
      <c r="T286" s="73">
        <f>IF(R286&gt;0,IF(RIGHT(Ruimtestaat[[#This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6" s="73">
        <f>IF(T286&gt;0,VLOOKUP($J286,Ruimtegroepen[],3,FALSE)*VLOOKUP($L286,Vloersoorten[],3,FALSE)*VLOOKUP($S286,Frequenties[],3,FALSE)*VLOOKUP($A286,Locaties[],3,FALSE),0)</f>
        <v>0</v>
      </c>
      <c r="V286" s="73">
        <f>Ruimtestaat[[#This Row],[Uitvoeringen werkdagen]]*Ruimtestaat[[#This Row],[Oppervlak (netto)]]</f>
        <v>11976</v>
      </c>
      <c r="W286" s="108">
        <f>IF(U286&gt;0,Ruimtestaat[[#This Row],[Prest. (m2 /jaar) werkdagen]]/Ruimtestaat[[#This Row],[Norm (m2/uur) werkdagen]],0)</f>
        <v>0</v>
      </c>
      <c r="X286" s="109">
        <f>Ruimtestaat[[#This Row],[uren / jaar werkdagen]]*Tariefsopbouw!$E$35</f>
        <v>0</v>
      </c>
      <c r="Y286" s="73"/>
      <c r="Z286" s="73">
        <f>IF(Ruimtestaat[[#This Row],[Frequentie weekend]]&gt;0,VALUE(LEFT(Y286,1))*R286,0)</f>
        <v>0</v>
      </c>
      <c r="AA286" s="72">
        <f>IF($Z286&gt;0,VLOOKUP($J286,Ruimtegroepen[],3,FALSE)*VLOOKUP($L286,Vloersoorten[],3,FALSE)*VLOOKUP($Y286,Frequenties[],3,FALSE)*VLOOKUP(Ruimtestaat[[#This Row],[Code]],Locaties[],3,FALSE),0)</f>
        <v>0</v>
      </c>
      <c r="AB286" s="72">
        <f>Ruimtestaat[[#This Row],[Uitvoeringen weekend]]*Ruimtestaat[[#This Row],[Oppervlak (netto)]]</f>
        <v>0</v>
      </c>
      <c r="AC286" s="72">
        <f>IF(AA286&gt;0,Ruimtestaat[[#This Row],[Prest. (m2 /jaar) weekend]]/Ruimtestaat[[#This Row],[Norm (m2/uur) weekend]],0)</f>
        <v>0</v>
      </c>
      <c r="AD286" s="109">
        <f>Ruimtestaat[[#This Row],[uren / jaar weekend]]*Tariefsopbouw!$D$40</f>
        <v>0</v>
      </c>
      <c r="AE286" s="108">
        <f>Ruimtestaat[[#This Row],[Prest. (m2 /jaar) weekend]]+Ruimtestaat[[#This Row],[Prest. (m2 /jaar) werkdagen]]</f>
        <v>11976</v>
      </c>
      <c r="AF286" s="108">
        <f>Ruimtestaat[[#This Row],[uren / jaar weekend]]+Ruimtestaat[[#This Row],[uren / jaar werkdagen]]</f>
        <v>0</v>
      </c>
      <c r="AG286" s="103">
        <f>Ruimtestaat[[#This Row],[kosten / jaar weekend]]+Ruimtestaat[[#This Row],[kosten / jaar werkdagen]]</f>
        <v>0</v>
      </c>
      <c r="AH286" s="103"/>
      <c r="AI286" s="110" t="str">
        <f>IF(Ruimtestaat[[#This Row],[Frequentie werkdagen]]="","",_xlfn.CONCAT(Ruimtestaat[[#This Row],[Ruimte code]],"-",Ruimtestaat[[#This Row],[Frequentie werkdagen]]," ",Ruimtestaat[[#This Row],[Vloer code]]))</f>
        <v>6-5w L</v>
      </c>
      <c r="AJ286" s="114" t="str">
        <f>_xlfn.IFNA(VLOOKUP($AI286,Programma!$F$3:$G$1101,2,0),"")</f>
        <v>_</v>
      </c>
      <c r="AK286" s="114" t="str">
        <f>_xlfn.IFNA(VLOOKUP($AI286,Programma!$F$3:$H$1101,3,0),"")</f>
        <v>_</v>
      </c>
      <c r="AL286" s="114" t="str">
        <f>_xlfn.IFNA(VLOOKUP($AI286,Programma!$F$3:$I$1101,4,0),"")</f>
        <v>_</v>
      </c>
      <c r="AM286" s="114" t="str">
        <f>_xlfn.IFNA(VLOOKUP($AI286,Programma!$F$3:$J$1101,5,0),"")</f>
        <v>5w</v>
      </c>
      <c r="AN286" s="114" t="str">
        <f>_xlfn.IFNA(VLOOKUP($AI286,Programma!$F$3:$K$1101,6,0),"")</f>
        <v>_</v>
      </c>
      <c r="AO286" s="114" t="str">
        <f>_xlfn.IFNA(VLOOKUP($AI286,Programma!$F$3:$L$1101,7,0),"")</f>
        <v>_</v>
      </c>
      <c r="AP286" s="114" t="str">
        <f>_xlfn.IFNA(VLOOKUP($AI286,Programma!$F$3:$M$1101,8,0),"")</f>
        <v>_</v>
      </c>
      <c r="AQ286" s="114" t="str">
        <f>_xlfn.IFNA(VLOOKUP($AI286,Programma!$F$3:$N$1101,9,0),"")</f>
        <v>_</v>
      </c>
      <c r="AR286" s="114" t="str">
        <f>_xlfn.IFNA(VLOOKUP($AI286,Programma!$F$3:$O$1101,10,0),"")</f>
        <v>5w</v>
      </c>
      <c r="AS286" s="114" t="str">
        <f>_xlfn.IFNA(VLOOKUP($AI286,Programma!$F$3:$P$1101,11,0),"")</f>
        <v>5w</v>
      </c>
      <c r="AT286" s="114" t="str">
        <f>_xlfn.IFNA(VLOOKUP($AI286,Programma!$F$3:$Q$1101,12,0),"")</f>
        <v>1w</v>
      </c>
      <c r="AU286" s="114" t="str">
        <f>_xlfn.IFNA(VLOOKUP($AI286,Programma!$F$3:$R$1101,13,0),"")</f>
        <v>1w</v>
      </c>
      <c r="AV286" s="114" t="str">
        <f>_xlfn.IFNA(VLOOKUP($AI286,Programma!$F$3:$S$1101,14,0),"")</f>
        <v>1m</v>
      </c>
      <c r="AW286" s="114" t="str">
        <f>_xlfn.IFNA(VLOOKUP($AI286,Programma!$F$3:$T$1101,15,0),"")</f>
        <v>2j</v>
      </c>
      <c r="AX286" s="114" t="str">
        <f>_xlfn.IFNA(VLOOKUP($AI286,Programma!$F$3:$U$1101,16,0),"")</f>
        <v>1j</v>
      </c>
      <c r="AY286" s="114" t="str">
        <f>_xlfn.IFNA(VLOOKUP($AI286,Programma!$F$3:$V$1101,17,0),"")</f>
        <v>_</v>
      </c>
      <c r="AZ286" s="114" t="str">
        <f>_xlfn.IFNA(VLOOKUP($AI286,Programma!$F$3:$W$1101,18,0),"")</f>
        <v>_</v>
      </c>
      <c r="BA286" s="114" t="str">
        <f>_xlfn.IFNA(VLOOKUP($AI286,Programma!$F$3:$X$1101,19,0),"")</f>
        <v>_</v>
      </c>
      <c r="BB286" s="114" t="str">
        <f>_xlfn.IFNA(VLOOKUP($AI286,Programma!$F$3:$Y$1101,20,0),"")</f>
        <v>_</v>
      </c>
      <c r="BC286" s="111"/>
      <c r="BD286" s="110" t="str">
        <f>IF(Ruimtestaat[[#This Row],[Frequentie weekend]]="","",_xlfn.CONCAT(Ruimtestaat[[#This Row],[Ruimte code]],"-",Ruimtestaat[[#This Row],[Frequentie weekend]]," ",Ruimtestaat[[#This Row],[Vloer code]]))</f>
        <v/>
      </c>
      <c r="BE286" s="114" t="str">
        <f>_xlfn.IFNA(VLOOKUP($BD286,Programma!$F$3:$G$1101,2,0),"")</f>
        <v/>
      </c>
      <c r="BF286" s="114" t="str">
        <f>_xlfn.IFNA(VLOOKUP($BD286,Programma!$F$3:$H$1101,3,0),"")</f>
        <v/>
      </c>
      <c r="BG286" s="114" t="str">
        <f>_xlfn.IFNA(VLOOKUP($BD286,Programma!$F$3:$I$1101,4,0),"")</f>
        <v/>
      </c>
      <c r="BH286" s="114" t="str">
        <f>_xlfn.IFNA(VLOOKUP($BD286,Programma!$F$3:$J$1101,5,0),"")</f>
        <v/>
      </c>
      <c r="BI286" s="114" t="str">
        <f>_xlfn.IFNA(VLOOKUP($BD286,Programma!$F$3:$K$1101,6,0),"")</f>
        <v/>
      </c>
      <c r="BJ286" s="114" t="str">
        <f>_xlfn.IFNA(VLOOKUP($BD286,Programma!$F$3:$L$1101,7,0),"")</f>
        <v/>
      </c>
      <c r="BK286" s="114" t="str">
        <f>_xlfn.IFNA(VLOOKUP($BD286,Programma!$F$3:$M$1101,8,0),"")</f>
        <v/>
      </c>
      <c r="BL286" s="114" t="str">
        <f>_xlfn.IFNA(VLOOKUP($BD286,Programma!$F$3:$N$1101,9,0),"")</f>
        <v/>
      </c>
      <c r="BM286" s="114" t="str">
        <f>_xlfn.IFNA(VLOOKUP($BD286,Programma!$F$3:$O$1101,10,0),"")</f>
        <v/>
      </c>
      <c r="BN286" s="114" t="str">
        <f>_xlfn.IFNA(VLOOKUP($BD286,Programma!$F$3:$P$1101,11,0),"")</f>
        <v/>
      </c>
      <c r="BO286" s="114" t="str">
        <f>_xlfn.IFNA(VLOOKUP($BD286,Programma!$F$3:$Q$1101,12,0),"")</f>
        <v/>
      </c>
      <c r="BP286" s="114" t="str">
        <f>_xlfn.IFNA(VLOOKUP($BD286,Programma!$F$3:$R$1101,13,0),"")</f>
        <v/>
      </c>
      <c r="BQ286" s="114" t="str">
        <f>_xlfn.IFNA(VLOOKUP($BD286,Programma!$F$3:$S$1101,14,0),"")</f>
        <v/>
      </c>
      <c r="BR286" s="114" t="str">
        <f>_xlfn.IFNA(VLOOKUP($BD286,Programma!$F$3:$T$1101,15,0),"")</f>
        <v/>
      </c>
      <c r="BS286" s="114" t="str">
        <f>_xlfn.IFNA(VLOOKUP($BD286,Programma!$F$3:$U$1101,16,0),"")</f>
        <v/>
      </c>
      <c r="BT286" s="114" t="str">
        <f>_xlfn.IFNA(VLOOKUP($BD286,Programma!$F$3:$V$1101,17,0),"")</f>
        <v/>
      </c>
      <c r="BU286" s="114" t="str">
        <f>_xlfn.IFNA(VLOOKUP($BD286,Programma!$F$3:$W$1101,18,0),"")</f>
        <v/>
      </c>
      <c r="BV286" s="114" t="str">
        <f>_xlfn.IFNA(VLOOKUP($BD286,Programma!$F$3:$X$1101,19,0),"")</f>
        <v/>
      </c>
      <c r="BW286" s="114" t="str">
        <f>_xlfn.IFNA(VLOOKUP($BD286,Programma!$F$3:$Y$1101,20,0),"")</f>
        <v/>
      </c>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8"/>
      <c r="FJ286" s="28"/>
      <c r="FK286" s="28"/>
      <c r="FL286" s="28"/>
      <c r="FM286" s="28"/>
      <c r="FN286" s="28"/>
      <c r="FO286" s="28"/>
      <c r="FP286" s="28"/>
      <c r="FQ286" s="28"/>
      <c r="FR286" s="28"/>
      <c r="FS286" s="28"/>
      <c r="FT286" s="28"/>
      <c r="FU286" s="28"/>
      <c r="FV286" s="28"/>
      <c r="FW286" s="28"/>
      <c r="FX286" s="28"/>
      <c r="FY286" s="28"/>
      <c r="FZ286" s="28"/>
      <c r="GA286" s="28"/>
      <c r="GB286" s="28"/>
      <c r="GC286" s="28"/>
      <c r="GD286" s="28"/>
      <c r="GE286" s="28"/>
      <c r="GF286" s="28"/>
      <c r="GG286" s="28"/>
      <c r="GH286" s="28"/>
      <c r="GI286" s="28"/>
      <c r="GJ286" s="28"/>
      <c r="GK286" s="28"/>
      <c r="GL286" s="28"/>
      <c r="GM286" s="28"/>
      <c r="GN286" s="28"/>
      <c r="GO286" s="28"/>
      <c r="GP286" s="28"/>
      <c r="GQ286" s="28"/>
      <c r="GR286" s="28"/>
      <c r="GS286" s="28"/>
      <c r="GT286" s="28"/>
      <c r="GU286" s="28"/>
      <c r="GV286" s="28"/>
      <c r="GW286" s="28"/>
      <c r="GX286" s="28"/>
      <c r="GY286" s="28"/>
      <c r="GZ286" s="28"/>
      <c r="HA286" s="28"/>
      <c r="HB286" s="28"/>
      <c r="HC286" s="28"/>
      <c r="HD286" s="28"/>
      <c r="HE286" s="28"/>
      <c r="HF286" s="28"/>
      <c r="HG286" s="28"/>
      <c r="HH286" s="28"/>
      <c r="HI286" s="28"/>
      <c r="HJ286" s="28"/>
      <c r="HK286" s="28"/>
      <c r="HL286" s="28"/>
    </row>
    <row r="287" spans="1:220" ht="15" customHeight="1">
      <c r="A287" s="31">
        <v>6</v>
      </c>
      <c r="B287" s="105" t="str">
        <f>VLOOKUP(Ruimtestaat[[#This Row],[Code]],Locaties[[Code]:[Locatie]],2,FALSE)</f>
        <v>IKC Joannes</v>
      </c>
      <c r="C287" s="105" t="str">
        <f>VLOOKUP(Ruimtestaat[[#This Row],[Code]],Locaties[[#All],[Code]:[Adres]],4,FALSE)</f>
        <v>Kerkakkers 4</v>
      </c>
      <c r="D287" s="105" t="str">
        <f>VLOOKUP(Ruimtestaat[[#This Row],[Code]],Locaties[[#All],[Code]:[Postcode]],5,FALSE)</f>
        <v>6923 BZ</v>
      </c>
      <c r="E287" s="105" t="str">
        <f>VLOOKUP(Ruimtestaat[[#This Row],[Code]],Locaties[#All],6,FALSE)</f>
        <v>Groessen</v>
      </c>
      <c r="F287" s="113" t="s">
        <v>1824</v>
      </c>
      <c r="G287" s="31" t="s">
        <v>1645</v>
      </c>
      <c r="H287" s="31" t="s">
        <v>1924</v>
      </c>
      <c r="I287" s="113" t="s">
        <v>1722</v>
      </c>
      <c r="J287" s="31">
        <v>1</v>
      </c>
      <c r="K287" s="113" t="str">
        <f>VLOOKUP(Ruimtestaat[[#This Row],[Ruimte code]],Ruimtegroepen[[#All],[Code]:[Ruimte omschrijving]],2,FALSE)</f>
        <v>Magazijnen/bergingen</v>
      </c>
      <c r="L287" s="31" t="s">
        <v>100</v>
      </c>
      <c r="M287" s="31" t="s">
        <v>1975</v>
      </c>
      <c r="N287" s="106">
        <v>2</v>
      </c>
      <c r="O287" s="112"/>
      <c r="P287" s="112"/>
      <c r="Q287" s="107" t="str">
        <f>VLOOKUP(Ruimtestaat[[#This Row],[Ruimte code]],Ruimtegroepen[],4,FALSE)</f>
        <v>Ve</v>
      </c>
      <c r="R287" s="73">
        <v>40</v>
      </c>
      <c r="S287" s="73" t="s">
        <v>16</v>
      </c>
      <c r="T287" s="73">
        <f>IF(R287&gt;0,IF(RIGHT(Ruimtestaat[[#This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7" s="73">
        <f>IF(T287&gt;0,VLOOKUP($J287,Ruimtegroepen[],3,FALSE)*VLOOKUP($L287,Vloersoorten[],3,FALSE)*VLOOKUP($S287,Frequenties[],3,FALSE)*VLOOKUP($A287,Locaties[],3,FALSE),0)</f>
        <v>0</v>
      </c>
      <c r="V287" s="73">
        <f>Ruimtestaat[[#This Row],[Uitvoeringen werkdagen]]*Ruimtestaat[[#This Row],[Oppervlak (netto)]]</f>
        <v>24</v>
      </c>
      <c r="W287" s="108">
        <f>IF(U287&gt;0,Ruimtestaat[[#This Row],[Prest. (m2 /jaar) werkdagen]]/Ruimtestaat[[#This Row],[Norm (m2/uur) werkdagen]],0)</f>
        <v>0</v>
      </c>
      <c r="X287" s="109">
        <f>Ruimtestaat[[#This Row],[uren / jaar werkdagen]]*Tariefsopbouw!$E$35</f>
        <v>0</v>
      </c>
      <c r="Y287" s="73"/>
      <c r="Z287" s="73">
        <f>IF(Ruimtestaat[[#This Row],[Frequentie weekend]]&gt;0,VALUE(LEFT(Y287,1))*R287,0)</f>
        <v>0</v>
      </c>
      <c r="AA287" s="72">
        <f>IF($Z287&gt;0,VLOOKUP($J287,Ruimtegroepen[],3,FALSE)*VLOOKUP($L287,Vloersoorten[],3,FALSE)*VLOOKUP($Y287,Frequenties[],3,FALSE)*VLOOKUP(Ruimtestaat[[#This Row],[Code]],Locaties[],3,FALSE),0)</f>
        <v>0</v>
      </c>
      <c r="AB287" s="72">
        <f>Ruimtestaat[[#This Row],[Uitvoeringen weekend]]*Ruimtestaat[[#This Row],[Oppervlak (netto)]]</f>
        <v>0</v>
      </c>
      <c r="AC287" s="72">
        <f>IF(AA287&gt;0,Ruimtestaat[[#This Row],[Prest. (m2 /jaar) weekend]]/Ruimtestaat[[#This Row],[Norm (m2/uur) weekend]],0)</f>
        <v>0</v>
      </c>
      <c r="AD287" s="109">
        <f>Ruimtestaat[[#This Row],[uren / jaar weekend]]*Tariefsopbouw!$D$40</f>
        <v>0</v>
      </c>
      <c r="AE287" s="108">
        <f>Ruimtestaat[[#This Row],[Prest. (m2 /jaar) weekend]]+Ruimtestaat[[#This Row],[Prest. (m2 /jaar) werkdagen]]</f>
        <v>24</v>
      </c>
      <c r="AF287" s="108">
        <f>Ruimtestaat[[#This Row],[uren / jaar weekend]]+Ruimtestaat[[#This Row],[uren / jaar werkdagen]]</f>
        <v>0</v>
      </c>
      <c r="AG287" s="103">
        <f>Ruimtestaat[[#This Row],[kosten / jaar weekend]]+Ruimtestaat[[#This Row],[kosten / jaar werkdagen]]</f>
        <v>0</v>
      </c>
      <c r="AH287" s="103"/>
      <c r="AI287" s="110" t="str">
        <f>IF(Ruimtestaat[[#This Row],[Frequentie werkdagen]]="","",_xlfn.CONCAT(Ruimtestaat[[#This Row],[Ruimte code]],"-",Ruimtestaat[[#This Row],[Frequentie werkdagen]]," ",Ruimtestaat[[#This Row],[Vloer code]]))</f>
        <v>1-1m L</v>
      </c>
      <c r="AJ287" s="114" t="str">
        <f>_xlfn.IFNA(VLOOKUP($AI287,Programma!$F$3:$G$1101,2,0),"")</f>
        <v>_</v>
      </c>
      <c r="AK287" s="114" t="str">
        <f>_xlfn.IFNA(VLOOKUP($AI287,Programma!$F$3:$H$1101,3,0),"")</f>
        <v>_</v>
      </c>
      <c r="AL287" s="114" t="str">
        <f>_xlfn.IFNA(VLOOKUP($AI287,Programma!$F$3:$I$1101,4,0),"")</f>
        <v>1m</v>
      </c>
      <c r="AM287" s="114" t="str">
        <f>_xlfn.IFNA(VLOOKUP($AI287,Programma!$F$3:$J$1101,5,0),"")</f>
        <v>1m</v>
      </c>
      <c r="AN287" s="114" t="str">
        <f>_xlfn.IFNA(VLOOKUP($AI287,Programma!$F$3:$K$1101,6,0),"")</f>
        <v>_</v>
      </c>
      <c r="AO287" s="114" t="str">
        <f>_xlfn.IFNA(VLOOKUP($AI287,Programma!$F$3:$L$1101,7,0),"")</f>
        <v>_</v>
      </c>
      <c r="AP287" s="114" t="str">
        <f>_xlfn.IFNA(VLOOKUP($AI287,Programma!$F$3:$M$1101,8,0),"")</f>
        <v>_</v>
      </c>
      <c r="AQ287" s="114" t="str">
        <f>_xlfn.IFNA(VLOOKUP($AI287,Programma!$F$3:$N$1101,9,0),"")</f>
        <v>_</v>
      </c>
      <c r="AR287" s="114" t="str">
        <f>_xlfn.IFNA(VLOOKUP($AI287,Programma!$F$3:$O$1101,10,0),"")</f>
        <v>_</v>
      </c>
      <c r="AS287" s="114" t="str">
        <f>_xlfn.IFNA(VLOOKUP($AI287,Programma!$F$3:$P$1101,11,0),"")</f>
        <v>_</v>
      </c>
      <c r="AT287" s="114" t="str">
        <f>_xlfn.IFNA(VLOOKUP($AI287,Programma!$F$3:$Q$1101,12,0),"")</f>
        <v>_</v>
      </c>
      <c r="AU287" s="114" t="str">
        <f>_xlfn.IFNA(VLOOKUP($AI287,Programma!$F$3:$R$1101,13,0),"")</f>
        <v>_</v>
      </c>
      <c r="AV287" s="114" t="str">
        <f>_xlfn.IFNA(VLOOKUP($AI287,Programma!$F$3:$S$1101,14,0),"")</f>
        <v>1m</v>
      </c>
      <c r="AW287" s="114" t="str">
        <f>_xlfn.IFNA(VLOOKUP($AI287,Programma!$F$3:$T$1101,15,0),"")</f>
        <v>4j</v>
      </c>
      <c r="AX287" s="114" t="str">
        <f>_xlfn.IFNA(VLOOKUP($AI287,Programma!$F$3:$U$1101,16,0),"")</f>
        <v>4j</v>
      </c>
      <c r="AY287" s="114" t="str">
        <f>_xlfn.IFNA(VLOOKUP($AI287,Programma!$F$3:$V$1101,17,0),"")</f>
        <v>_</v>
      </c>
      <c r="AZ287" s="114" t="str">
        <f>_xlfn.IFNA(VLOOKUP($AI287,Programma!$F$3:$W$1101,18,0),"")</f>
        <v>_</v>
      </c>
      <c r="BA287" s="114" t="str">
        <f>_xlfn.IFNA(VLOOKUP($AI287,Programma!$F$3:$X$1101,19,0),"")</f>
        <v>_</v>
      </c>
      <c r="BB287" s="114" t="str">
        <f>_xlfn.IFNA(VLOOKUP($AI287,Programma!$F$3:$Y$1101,20,0),"")</f>
        <v>_</v>
      </c>
      <c r="BC287" s="111"/>
      <c r="BD287" s="110" t="str">
        <f>IF(Ruimtestaat[[#This Row],[Frequentie weekend]]="","",_xlfn.CONCAT(Ruimtestaat[[#This Row],[Ruimte code]],"-",Ruimtestaat[[#This Row],[Frequentie weekend]]," ",Ruimtestaat[[#This Row],[Vloer code]]))</f>
        <v/>
      </c>
      <c r="BE287" s="114" t="str">
        <f>_xlfn.IFNA(VLOOKUP($BD287,Programma!$F$3:$G$1101,2,0),"")</f>
        <v/>
      </c>
      <c r="BF287" s="114" t="str">
        <f>_xlfn.IFNA(VLOOKUP($BD287,Programma!$F$3:$H$1101,3,0),"")</f>
        <v/>
      </c>
      <c r="BG287" s="114" t="str">
        <f>_xlfn.IFNA(VLOOKUP($BD287,Programma!$F$3:$I$1101,4,0),"")</f>
        <v/>
      </c>
      <c r="BH287" s="114" t="str">
        <f>_xlfn.IFNA(VLOOKUP($BD287,Programma!$F$3:$J$1101,5,0),"")</f>
        <v/>
      </c>
      <c r="BI287" s="114" t="str">
        <f>_xlfn.IFNA(VLOOKUP($BD287,Programma!$F$3:$K$1101,6,0),"")</f>
        <v/>
      </c>
      <c r="BJ287" s="114" t="str">
        <f>_xlfn.IFNA(VLOOKUP($BD287,Programma!$F$3:$L$1101,7,0),"")</f>
        <v/>
      </c>
      <c r="BK287" s="114" t="str">
        <f>_xlfn.IFNA(VLOOKUP($BD287,Programma!$F$3:$M$1101,8,0),"")</f>
        <v/>
      </c>
      <c r="BL287" s="114" t="str">
        <f>_xlfn.IFNA(VLOOKUP($BD287,Programma!$F$3:$N$1101,9,0),"")</f>
        <v/>
      </c>
      <c r="BM287" s="114" t="str">
        <f>_xlfn.IFNA(VLOOKUP($BD287,Programma!$F$3:$O$1101,10,0),"")</f>
        <v/>
      </c>
      <c r="BN287" s="114" t="str">
        <f>_xlfn.IFNA(VLOOKUP($BD287,Programma!$F$3:$P$1101,11,0),"")</f>
        <v/>
      </c>
      <c r="BO287" s="114" t="str">
        <f>_xlfn.IFNA(VLOOKUP($BD287,Programma!$F$3:$Q$1101,12,0),"")</f>
        <v/>
      </c>
      <c r="BP287" s="114" t="str">
        <f>_xlfn.IFNA(VLOOKUP($BD287,Programma!$F$3:$R$1101,13,0),"")</f>
        <v/>
      </c>
      <c r="BQ287" s="114" t="str">
        <f>_xlfn.IFNA(VLOOKUP($BD287,Programma!$F$3:$S$1101,14,0),"")</f>
        <v/>
      </c>
      <c r="BR287" s="114" t="str">
        <f>_xlfn.IFNA(VLOOKUP($BD287,Programma!$F$3:$T$1101,15,0),"")</f>
        <v/>
      </c>
      <c r="BS287" s="114" t="str">
        <f>_xlfn.IFNA(VLOOKUP($BD287,Programma!$F$3:$U$1101,16,0),"")</f>
        <v/>
      </c>
      <c r="BT287" s="114" t="str">
        <f>_xlfn.IFNA(VLOOKUP($BD287,Programma!$F$3:$V$1101,17,0),"")</f>
        <v/>
      </c>
      <c r="BU287" s="114" t="str">
        <f>_xlfn.IFNA(VLOOKUP($BD287,Programma!$F$3:$W$1101,18,0),"")</f>
        <v/>
      </c>
      <c r="BV287" s="114" t="str">
        <f>_xlfn.IFNA(VLOOKUP($BD287,Programma!$F$3:$X$1101,19,0),"")</f>
        <v/>
      </c>
      <c r="BW287" s="114" t="str">
        <f>_xlfn.IFNA(VLOOKUP($BD287,Programma!$F$3:$Y$1101,20,0),"")</f>
        <v/>
      </c>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c r="EV287" s="28"/>
      <c r="EW287" s="28"/>
      <c r="EX287" s="28"/>
      <c r="EY287" s="28"/>
      <c r="EZ287" s="28"/>
      <c r="FA287" s="28"/>
      <c r="FB287" s="28"/>
      <c r="FC287" s="28"/>
      <c r="FD287" s="28"/>
      <c r="FE287" s="28"/>
      <c r="FF287" s="28"/>
      <c r="FG287" s="28"/>
      <c r="FH287" s="28"/>
      <c r="FI287" s="28"/>
      <c r="FJ287" s="28"/>
      <c r="FK287" s="28"/>
      <c r="FL287" s="28"/>
      <c r="FM287" s="28"/>
      <c r="FN287" s="28"/>
      <c r="FO287" s="28"/>
      <c r="FP287" s="28"/>
      <c r="FQ287" s="28"/>
      <c r="FR287" s="28"/>
      <c r="FS287" s="28"/>
      <c r="FT287" s="28"/>
      <c r="FU287" s="28"/>
      <c r="FV287" s="28"/>
      <c r="FW287" s="28"/>
      <c r="FX287" s="28"/>
      <c r="FY287" s="28"/>
      <c r="FZ287" s="28"/>
      <c r="GA287" s="28"/>
      <c r="GB287" s="28"/>
      <c r="GC287" s="28"/>
      <c r="GD287" s="28"/>
      <c r="GE287" s="28"/>
      <c r="GF287" s="28"/>
      <c r="GG287" s="28"/>
      <c r="GH287" s="28"/>
      <c r="GI287" s="28"/>
      <c r="GJ287" s="28"/>
      <c r="GK287" s="28"/>
      <c r="GL287" s="28"/>
      <c r="GM287" s="28"/>
      <c r="GN287" s="28"/>
      <c r="GO287" s="28"/>
      <c r="GP287" s="28"/>
      <c r="GQ287" s="28"/>
      <c r="GR287" s="28"/>
      <c r="GS287" s="28"/>
      <c r="GT287" s="28"/>
      <c r="GU287" s="28"/>
      <c r="GV287" s="28"/>
      <c r="GW287" s="28"/>
      <c r="GX287" s="28"/>
      <c r="GY287" s="28"/>
      <c r="GZ287" s="28"/>
      <c r="HA287" s="28"/>
      <c r="HB287" s="28"/>
      <c r="HC287" s="28"/>
      <c r="HD287" s="28"/>
      <c r="HE287" s="28"/>
      <c r="HF287" s="28"/>
      <c r="HG287" s="28"/>
      <c r="HH287" s="28"/>
      <c r="HI287" s="28"/>
      <c r="HJ287" s="28"/>
      <c r="HK287" s="28"/>
      <c r="HL287" s="28"/>
    </row>
    <row r="288" spans="1:220" ht="15" customHeight="1">
      <c r="A288" s="31">
        <v>6</v>
      </c>
      <c r="B288" s="105" t="str">
        <f>VLOOKUP(Ruimtestaat[[#This Row],[Code]],Locaties[[Code]:[Locatie]],2,FALSE)</f>
        <v>IKC Joannes</v>
      </c>
      <c r="C288" s="105" t="str">
        <f>VLOOKUP(Ruimtestaat[[#This Row],[Code]],Locaties[[#All],[Code]:[Adres]],4,FALSE)</f>
        <v>Kerkakkers 4</v>
      </c>
      <c r="D288" s="105" t="str">
        <f>VLOOKUP(Ruimtestaat[[#This Row],[Code]],Locaties[[#All],[Code]:[Postcode]],5,FALSE)</f>
        <v>6923 BZ</v>
      </c>
      <c r="E288" s="105" t="str">
        <f>VLOOKUP(Ruimtestaat[[#This Row],[Code]],Locaties[#All],6,FALSE)</f>
        <v>Groessen</v>
      </c>
      <c r="F288" s="113" t="s">
        <v>1824</v>
      </c>
      <c r="G288" s="31" t="s">
        <v>1645</v>
      </c>
      <c r="H288" s="31" t="s">
        <v>1925</v>
      </c>
      <c r="I288" s="113" t="s">
        <v>1792</v>
      </c>
      <c r="J288" s="31">
        <v>5</v>
      </c>
      <c r="K288" s="113" t="str">
        <f>VLOOKUP(Ruimtestaat[[#This Row],[Ruimte code]],Ruimtegroepen[[#All],[Code]:[Ruimte omschrijving]],2,FALSE)</f>
        <v>Sanitair</v>
      </c>
      <c r="L288" s="31" t="s">
        <v>100</v>
      </c>
      <c r="M288" s="31" t="s">
        <v>1975</v>
      </c>
      <c r="N288" s="106">
        <v>5.6</v>
      </c>
      <c r="O288" s="112"/>
      <c r="P288" s="112"/>
      <c r="Q288" s="107" t="str">
        <f>VLOOKUP(Ruimtestaat[[#This Row],[Ruimte code]],Ruimtegroepen[],4,FALSE)</f>
        <v>Sa</v>
      </c>
      <c r="R288" s="73">
        <v>40</v>
      </c>
      <c r="S288" s="73" t="s">
        <v>2</v>
      </c>
      <c r="T288" s="73">
        <f>IF(R288&gt;0,IF(RIGHT(Ruimtestaat[[#This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8" s="73">
        <f>IF(T288&gt;0,VLOOKUP($J288,Ruimtegroepen[],3,FALSE)*VLOOKUP($L288,Vloersoorten[],3,FALSE)*VLOOKUP($S288,Frequenties[],3,FALSE)*VLOOKUP($A288,Locaties[],3,FALSE),0)</f>
        <v>0</v>
      </c>
      <c r="V288" s="73">
        <f>Ruimtestaat[[#This Row],[Uitvoeringen werkdagen]]*Ruimtestaat[[#This Row],[Oppervlak (netto)]]</f>
        <v>1120</v>
      </c>
      <c r="W288" s="108">
        <f>IF(U288&gt;0,Ruimtestaat[[#This Row],[Prest. (m2 /jaar) werkdagen]]/Ruimtestaat[[#This Row],[Norm (m2/uur) werkdagen]],0)</f>
        <v>0</v>
      </c>
      <c r="X288" s="109">
        <f>Ruimtestaat[[#This Row],[uren / jaar werkdagen]]*Tariefsopbouw!$E$35</f>
        <v>0</v>
      </c>
      <c r="Y288" s="73"/>
      <c r="Z288" s="73">
        <f>IF(Ruimtestaat[[#This Row],[Frequentie weekend]]&gt;0,VALUE(LEFT(Y288,1))*R288,0)</f>
        <v>0</v>
      </c>
      <c r="AA288" s="72">
        <f>IF($Z288&gt;0,VLOOKUP($J288,Ruimtegroepen[],3,FALSE)*VLOOKUP($L288,Vloersoorten[],3,FALSE)*VLOOKUP($Y288,Frequenties[],3,FALSE)*VLOOKUP(Ruimtestaat[[#This Row],[Code]],Locaties[],3,FALSE),0)</f>
        <v>0</v>
      </c>
      <c r="AB288" s="72">
        <f>Ruimtestaat[[#This Row],[Uitvoeringen weekend]]*Ruimtestaat[[#This Row],[Oppervlak (netto)]]</f>
        <v>0</v>
      </c>
      <c r="AC288" s="72">
        <f>IF(AA288&gt;0,Ruimtestaat[[#This Row],[Prest. (m2 /jaar) weekend]]/Ruimtestaat[[#This Row],[Norm (m2/uur) weekend]],0)</f>
        <v>0</v>
      </c>
      <c r="AD288" s="109">
        <f>Ruimtestaat[[#This Row],[uren / jaar weekend]]*Tariefsopbouw!$D$40</f>
        <v>0</v>
      </c>
      <c r="AE288" s="108">
        <f>Ruimtestaat[[#This Row],[Prest. (m2 /jaar) weekend]]+Ruimtestaat[[#This Row],[Prest. (m2 /jaar) werkdagen]]</f>
        <v>1120</v>
      </c>
      <c r="AF288" s="108">
        <f>Ruimtestaat[[#This Row],[uren / jaar weekend]]+Ruimtestaat[[#This Row],[uren / jaar werkdagen]]</f>
        <v>0</v>
      </c>
      <c r="AG288" s="103">
        <f>Ruimtestaat[[#This Row],[kosten / jaar weekend]]+Ruimtestaat[[#This Row],[kosten / jaar werkdagen]]</f>
        <v>0</v>
      </c>
      <c r="AH288" s="103"/>
      <c r="AI288" s="110" t="str">
        <f>IF(Ruimtestaat[[#This Row],[Frequentie werkdagen]]="","",_xlfn.CONCAT(Ruimtestaat[[#This Row],[Ruimte code]],"-",Ruimtestaat[[#This Row],[Frequentie werkdagen]]," ",Ruimtestaat[[#This Row],[Vloer code]]))</f>
        <v>5-5w L</v>
      </c>
      <c r="AJ288" s="114" t="str">
        <f>_xlfn.IFNA(VLOOKUP($AI288,Programma!$F$3:$G$1101,2,0),"")</f>
        <v>_</v>
      </c>
      <c r="AK288" s="114" t="str">
        <f>_xlfn.IFNA(VLOOKUP($AI288,Programma!$F$3:$H$1101,3,0),"")</f>
        <v>_</v>
      </c>
      <c r="AL288" s="114" t="str">
        <f>_xlfn.IFNA(VLOOKUP($AI288,Programma!$F$3:$I$1101,4,0),"")</f>
        <v>_</v>
      </c>
      <c r="AM288" s="114" t="str">
        <f>_xlfn.IFNA(VLOOKUP($AI288,Programma!$F$3:$J$1101,5,0),"")</f>
        <v>4w</v>
      </c>
      <c r="AN288" s="114" t="str">
        <f>_xlfn.IFNA(VLOOKUP($AI288,Programma!$F$3:$K$1101,6,0),"")</f>
        <v>1w</v>
      </c>
      <c r="AO288" s="114" t="str">
        <f>_xlfn.IFNA(VLOOKUP($AI288,Programma!$F$3:$L$1101,7,0),"")</f>
        <v>_</v>
      </c>
      <c r="AP288" s="114" t="str">
        <f>_xlfn.IFNA(VLOOKUP($AI288,Programma!$F$3:$M$1101,8,0),"")</f>
        <v>_</v>
      </c>
      <c r="AQ288" s="114" t="str">
        <f>_xlfn.IFNA(VLOOKUP($AI288,Programma!$F$3:$N$1101,9,0),"")</f>
        <v>_</v>
      </c>
      <c r="AR288" s="114" t="str">
        <f>_xlfn.IFNA(VLOOKUP($AI288,Programma!$F$3:$O$1101,10,0),"")</f>
        <v>_</v>
      </c>
      <c r="AS288" s="114" t="str">
        <f>_xlfn.IFNA(VLOOKUP($AI288,Programma!$F$3:$P$1101,11,0),"")</f>
        <v>_</v>
      </c>
      <c r="AT288" s="114" t="str">
        <f>_xlfn.IFNA(VLOOKUP($AI288,Programma!$F$3:$Q$1101,12,0),"")</f>
        <v>_</v>
      </c>
      <c r="AU288" s="114" t="str">
        <f>_xlfn.IFNA(VLOOKUP($AI288,Programma!$F$3:$R$1101,13,0),"")</f>
        <v>_</v>
      </c>
      <c r="AV288" s="114" t="str">
        <f>_xlfn.IFNA(VLOOKUP($AI288,Programma!$F$3:$S$1101,14,0),"")</f>
        <v>_</v>
      </c>
      <c r="AW288" s="114" t="str">
        <f>_xlfn.IFNA(VLOOKUP($AI288,Programma!$F$3:$T$1101,15,0),"")</f>
        <v>_</v>
      </c>
      <c r="AX288" s="114" t="str">
        <f>_xlfn.IFNA(VLOOKUP($AI288,Programma!$F$3:$U$1101,16,0),"")</f>
        <v>_</v>
      </c>
      <c r="AY288" s="114" t="str">
        <f>_xlfn.IFNA(VLOOKUP($AI288,Programma!$F$3:$V$1101,17,0),"")</f>
        <v>_</v>
      </c>
      <c r="AZ288" s="114" t="str">
        <f>_xlfn.IFNA(VLOOKUP($AI288,Programma!$F$3:$W$1101,18,0),"")</f>
        <v>4w</v>
      </c>
      <c r="BA288" s="114" t="str">
        <f>_xlfn.IFNA(VLOOKUP($AI288,Programma!$F$3:$X$1101,19,0),"")</f>
        <v>1w</v>
      </c>
      <c r="BB288" s="114" t="str">
        <f>_xlfn.IFNA(VLOOKUP($AI288,Programma!$F$3:$Y$1101,20,0),"")</f>
        <v>_</v>
      </c>
      <c r="BC288" s="111"/>
      <c r="BD288" s="110" t="str">
        <f>IF(Ruimtestaat[[#This Row],[Frequentie weekend]]="","",_xlfn.CONCAT(Ruimtestaat[[#This Row],[Ruimte code]],"-",Ruimtestaat[[#This Row],[Frequentie weekend]]," ",Ruimtestaat[[#This Row],[Vloer code]]))</f>
        <v/>
      </c>
      <c r="BE288" s="114" t="str">
        <f>_xlfn.IFNA(VLOOKUP($BD288,Programma!$F$3:$G$1101,2,0),"")</f>
        <v/>
      </c>
      <c r="BF288" s="114" t="str">
        <f>_xlfn.IFNA(VLOOKUP($BD288,Programma!$F$3:$H$1101,3,0),"")</f>
        <v/>
      </c>
      <c r="BG288" s="114" t="str">
        <f>_xlfn.IFNA(VLOOKUP($BD288,Programma!$F$3:$I$1101,4,0),"")</f>
        <v/>
      </c>
      <c r="BH288" s="114" t="str">
        <f>_xlfn.IFNA(VLOOKUP($BD288,Programma!$F$3:$J$1101,5,0),"")</f>
        <v/>
      </c>
      <c r="BI288" s="114" t="str">
        <f>_xlfn.IFNA(VLOOKUP($BD288,Programma!$F$3:$K$1101,6,0),"")</f>
        <v/>
      </c>
      <c r="BJ288" s="114" t="str">
        <f>_xlfn.IFNA(VLOOKUP($BD288,Programma!$F$3:$L$1101,7,0),"")</f>
        <v/>
      </c>
      <c r="BK288" s="114" t="str">
        <f>_xlfn.IFNA(VLOOKUP($BD288,Programma!$F$3:$M$1101,8,0),"")</f>
        <v/>
      </c>
      <c r="BL288" s="114" t="str">
        <f>_xlfn.IFNA(VLOOKUP($BD288,Programma!$F$3:$N$1101,9,0),"")</f>
        <v/>
      </c>
      <c r="BM288" s="114" t="str">
        <f>_xlfn.IFNA(VLOOKUP($BD288,Programma!$F$3:$O$1101,10,0),"")</f>
        <v/>
      </c>
      <c r="BN288" s="114" t="str">
        <f>_xlfn.IFNA(VLOOKUP($BD288,Programma!$F$3:$P$1101,11,0),"")</f>
        <v/>
      </c>
      <c r="BO288" s="114" t="str">
        <f>_xlfn.IFNA(VLOOKUP($BD288,Programma!$F$3:$Q$1101,12,0),"")</f>
        <v/>
      </c>
      <c r="BP288" s="114" t="str">
        <f>_xlfn.IFNA(VLOOKUP($BD288,Programma!$F$3:$R$1101,13,0),"")</f>
        <v/>
      </c>
      <c r="BQ288" s="114" t="str">
        <f>_xlfn.IFNA(VLOOKUP($BD288,Programma!$F$3:$S$1101,14,0),"")</f>
        <v/>
      </c>
      <c r="BR288" s="114" t="str">
        <f>_xlfn.IFNA(VLOOKUP($BD288,Programma!$F$3:$T$1101,15,0),"")</f>
        <v/>
      </c>
      <c r="BS288" s="114" t="str">
        <f>_xlfn.IFNA(VLOOKUP($BD288,Programma!$F$3:$U$1101,16,0),"")</f>
        <v/>
      </c>
      <c r="BT288" s="114" t="str">
        <f>_xlfn.IFNA(VLOOKUP($BD288,Programma!$F$3:$V$1101,17,0),"")</f>
        <v/>
      </c>
      <c r="BU288" s="114" t="str">
        <f>_xlfn.IFNA(VLOOKUP($BD288,Programma!$F$3:$W$1101,18,0),"")</f>
        <v/>
      </c>
      <c r="BV288" s="114" t="str">
        <f>_xlfn.IFNA(VLOOKUP($BD288,Programma!$F$3:$X$1101,19,0),"")</f>
        <v/>
      </c>
      <c r="BW288" s="114" t="str">
        <f>_xlfn.IFNA(VLOOKUP($BD288,Programma!$F$3:$Y$1101,20,0),"")</f>
        <v/>
      </c>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c r="EV288" s="28"/>
      <c r="EW288" s="28"/>
      <c r="EX288" s="28"/>
      <c r="EY288" s="28"/>
      <c r="EZ288" s="28"/>
      <c r="FA288" s="28"/>
      <c r="FB288" s="28"/>
      <c r="FC288" s="28"/>
      <c r="FD288" s="28"/>
      <c r="FE288" s="28"/>
      <c r="FF288" s="28"/>
      <c r="FG288" s="28"/>
      <c r="FH288" s="28"/>
      <c r="FI288" s="28"/>
      <c r="FJ288" s="28"/>
      <c r="FK288" s="28"/>
      <c r="FL288" s="28"/>
      <c r="FM288" s="28"/>
      <c r="FN288" s="28"/>
      <c r="FO288" s="28"/>
      <c r="FP288" s="28"/>
      <c r="FQ288" s="28"/>
      <c r="FR288" s="28"/>
      <c r="FS288" s="28"/>
      <c r="FT288" s="28"/>
      <c r="FU288" s="28"/>
      <c r="FV288" s="28"/>
      <c r="FW288" s="28"/>
      <c r="FX288" s="28"/>
      <c r="FY288" s="28"/>
      <c r="FZ288" s="28"/>
      <c r="GA288" s="28"/>
      <c r="GB288" s="28"/>
      <c r="GC288" s="28"/>
      <c r="GD288" s="28"/>
      <c r="GE288" s="28"/>
      <c r="GF288" s="28"/>
      <c r="GG288" s="28"/>
      <c r="GH288" s="28"/>
      <c r="GI288" s="28"/>
      <c r="GJ288" s="28"/>
      <c r="GK288" s="28"/>
      <c r="GL288" s="28"/>
      <c r="GM288" s="28"/>
      <c r="GN288" s="28"/>
      <c r="GO288" s="28"/>
      <c r="GP288" s="28"/>
      <c r="GQ288" s="28"/>
      <c r="GR288" s="28"/>
      <c r="GS288" s="28"/>
      <c r="GT288" s="28"/>
      <c r="GU288" s="28"/>
      <c r="GV288" s="28"/>
      <c r="GW288" s="28"/>
      <c r="GX288" s="28"/>
      <c r="GY288" s="28"/>
      <c r="GZ288" s="28"/>
      <c r="HA288" s="28"/>
      <c r="HB288" s="28"/>
      <c r="HC288" s="28"/>
      <c r="HD288" s="28"/>
      <c r="HE288" s="28"/>
      <c r="HF288" s="28"/>
      <c r="HG288" s="28"/>
      <c r="HH288" s="28"/>
      <c r="HI288" s="28"/>
      <c r="HJ288" s="28"/>
      <c r="HK288" s="28"/>
      <c r="HL288" s="28"/>
    </row>
    <row r="289" spans="1:220" ht="15" customHeight="1">
      <c r="A289" s="31">
        <v>6</v>
      </c>
      <c r="B289" s="105" t="str">
        <f>VLOOKUP(Ruimtestaat[[#This Row],[Code]],Locaties[[Code]:[Locatie]],2,FALSE)</f>
        <v>IKC Joannes</v>
      </c>
      <c r="C289" s="105" t="str">
        <f>VLOOKUP(Ruimtestaat[[#This Row],[Code]],Locaties[[#All],[Code]:[Adres]],4,FALSE)</f>
        <v>Kerkakkers 4</v>
      </c>
      <c r="D289" s="105" t="str">
        <f>VLOOKUP(Ruimtestaat[[#This Row],[Code]],Locaties[[#All],[Code]:[Postcode]],5,FALSE)</f>
        <v>6923 BZ</v>
      </c>
      <c r="E289" s="105" t="str">
        <f>VLOOKUP(Ruimtestaat[[#This Row],[Code]],Locaties[#All],6,FALSE)</f>
        <v>Groessen</v>
      </c>
      <c r="F289" s="113" t="s">
        <v>1824</v>
      </c>
      <c r="G289" s="31" t="s">
        <v>1645</v>
      </c>
      <c r="H289" s="31" t="s">
        <v>1926</v>
      </c>
      <c r="I289" s="113" t="s">
        <v>1794</v>
      </c>
      <c r="J289" s="31">
        <v>5</v>
      </c>
      <c r="K289" s="113" t="str">
        <f>VLOOKUP(Ruimtestaat[[#This Row],[Ruimte code]],Ruimtegroepen[[#All],[Code]:[Ruimte omschrijving]],2,FALSE)</f>
        <v>Sanitair</v>
      </c>
      <c r="L289" s="31" t="s">
        <v>100</v>
      </c>
      <c r="M289" s="31" t="s">
        <v>1975</v>
      </c>
      <c r="N289" s="106">
        <v>5.6</v>
      </c>
      <c r="O289" s="112"/>
      <c r="P289" s="112"/>
      <c r="Q289" s="107" t="str">
        <f>VLOOKUP(Ruimtestaat[[#This Row],[Ruimte code]],Ruimtegroepen[],4,FALSE)</f>
        <v>Sa</v>
      </c>
      <c r="R289" s="73">
        <v>40</v>
      </c>
      <c r="S289" s="73" t="s">
        <v>2</v>
      </c>
      <c r="T289" s="73">
        <f>IF(R289&gt;0,IF(RIGHT(Ruimtestaat[[#This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9" s="73">
        <f>IF(T289&gt;0,VLOOKUP($J289,Ruimtegroepen[],3,FALSE)*VLOOKUP($L289,Vloersoorten[],3,FALSE)*VLOOKUP($S289,Frequenties[],3,FALSE)*VLOOKUP($A289,Locaties[],3,FALSE),0)</f>
        <v>0</v>
      </c>
      <c r="V289" s="73">
        <f>Ruimtestaat[[#This Row],[Uitvoeringen werkdagen]]*Ruimtestaat[[#This Row],[Oppervlak (netto)]]</f>
        <v>1120</v>
      </c>
      <c r="W289" s="108">
        <f>IF(U289&gt;0,Ruimtestaat[[#This Row],[Prest. (m2 /jaar) werkdagen]]/Ruimtestaat[[#This Row],[Norm (m2/uur) werkdagen]],0)</f>
        <v>0</v>
      </c>
      <c r="X289" s="109">
        <f>Ruimtestaat[[#This Row],[uren / jaar werkdagen]]*Tariefsopbouw!$E$35</f>
        <v>0</v>
      </c>
      <c r="Y289" s="73"/>
      <c r="Z289" s="73">
        <f>IF(Ruimtestaat[[#This Row],[Frequentie weekend]]&gt;0,VALUE(LEFT(Y289,1))*R289,0)</f>
        <v>0</v>
      </c>
      <c r="AA289" s="72">
        <f>IF($Z289&gt;0,VLOOKUP($J289,Ruimtegroepen[],3,FALSE)*VLOOKUP($L289,Vloersoorten[],3,FALSE)*VLOOKUP($Y289,Frequenties[],3,FALSE)*VLOOKUP(Ruimtestaat[[#This Row],[Code]],Locaties[],3,FALSE),0)</f>
        <v>0</v>
      </c>
      <c r="AB289" s="72">
        <f>Ruimtestaat[[#This Row],[Uitvoeringen weekend]]*Ruimtestaat[[#This Row],[Oppervlak (netto)]]</f>
        <v>0</v>
      </c>
      <c r="AC289" s="72">
        <f>IF(AA289&gt;0,Ruimtestaat[[#This Row],[Prest. (m2 /jaar) weekend]]/Ruimtestaat[[#This Row],[Norm (m2/uur) weekend]],0)</f>
        <v>0</v>
      </c>
      <c r="AD289" s="109">
        <f>Ruimtestaat[[#This Row],[uren / jaar weekend]]*Tariefsopbouw!$D$40</f>
        <v>0</v>
      </c>
      <c r="AE289" s="108">
        <f>Ruimtestaat[[#This Row],[Prest. (m2 /jaar) weekend]]+Ruimtestaat[[#This Row],[Prest. (m2 /jaar) werkdagen]]</f>
        <v>1120</v>
      </c>
      <c r="AF289" s="108">
        <f>Ruimtestaat[[#This Row],[uren / jaar weekend]]+Ruimtestaat[[#This Row],[uren / jaar werkdagen]]</f>
        <v>0</v>
      </c>
      <c r="AG289" s="103">
        <f>Ruimtestaat[[#This Row],[kosten / jaar weekend]]+Ruimtestaat[[#This Row],[kosten / jaar werkdagen]]</f>
        <v>0</v>
      </c>
      <c r="AH289" s="103"/>
      <c r="AI289" s="110" t="str">
        <f>IF(Ruimtestaat[[#This Row],[Frequentie werkdagen]]="","",_xlfn.CONCAT(Ruimtestaat[[#This Row],[Ruimte code]],"-",Ruimtestaat[[#This Row],[Frequentie werkdagen]]," ",Ruimtestaat[[#This Row],[Vloer code]]))</f>
        <v>5-5w L</v>
      </c>
      <c r="AJ289" s="114" t="str">
        <f>_xlfn.IFNA(VLOOKUP($AI289,Programma!$F$3:$G$1101,2,0),"")</f>
        <v>_</v>
      </c>
      <c r="AK289" s="114" t="str">
        <f>_xlfn.IFNA(VLOOKUP($AI289,Programma!$F$3:$H$1101,3,0),"")</f>
        <v>_</v>
      </c>
      <c r="AL289" s="114" t="str">
        <f>_xlfn.IFNA(VLOOKUP($AI289,Programma!$F$3:$I$1101,4,0),"")</f>
        <v>_</v>
      </c>
      <c r="AM289" s="114" t="str">
        <f>_xlfn.IFNA(VLOOKUP($AI289,Programma!$F$3:$J$1101,5,0),"")</f>
        <v>4w</v>
      </c>
      <c r="AN289" s="114" t="str">
        <f>_xlfn.IFNA(VLOOKUP($AI289,Programma!$F$3:$K$1101,6,0),"")</f>
        <v>1w</v>
      </c>
      <c r="AO289" s="114" t="str">
        <f>_xlfn.IFNA(VLOOKUP($AI289,Programma!$F$3:$L$1101,7,0),"")</f>
        <v>_</v>
      </c>
      <c r="AP289" s="114" t="str">
        <f>_xlfn.IFNA(VLOOKUP($AI289,Programma!$F$3:$M$1101,8,0),"")</f>
        <v>_</v>
      </c>
      <c r="AQ289" s="114" t="str">
        <f>_xlfn.IFNA(VLOOKUP($AI289,Programma!$F$3:$N$1101,9,0),"")</f>
        <v>_</v>
      </c>
      <c r="AR289" s="114" t="str">
        <f>_xlfn.IFNA(VLOOKUP($AI289,Programma!$F$3:$O$1101,10,0),"")</f>
        <v>_</v>
      </c>
      <c r="AS289" s="114" t="str">
        <f>_xlfn.IFNA(VLOOKUP($AI289,Programma!$F$3:$P$1101,11,0),"")</f>
        <v>_</v>
      </c>
      <c r="AT289" s="114" t="str">
        <f>_xlfn.IFNA(VLOOKUP($AI289,Programma!$F$3:$Q$1101,12,0),"")</f>
        <v>_</v>
      </c>
      <c r="AU289" s="114" t="str">
        <f>_xlfn.IFNA(VLOOKUP($AI289,Programma!$F$3:$R$1101,13,0),"")</f>
        <v>_</v>
      </c>
      <c r="AV289" s="114" t="str">
        <f>_xlfn.IFNA(VLOOKUP($AI289,Programma!$F$3:$S$1101,14,0),"")</f>
        <v>_</v>
      </c>
      <c r="AW289" s="114" t="str">
        <f>_xlfn.IFNA(VLOOKUP($AI289,Programma!$F$3:$T$1101,15,0),"")</f>
        <v>_</v>
      </c>
      <c r="AX289" s="114" t="str">
        <f>_xlfn.IFNA(VLOOKUP($AI289,Programma!$F$3:$U$1101,16,0),"")</f>
        <v>_</v>
      </c>
      <c r="AY289" s="114" t="str">
        <f>_xlfn.IFNA(VLOOKUP($AI289,Programma!$F$3:$V$1101,17,0),"")</f>
        <v>_</v>
      </c>
      <c r="AZ289" s="114" t="str">
        <f>_xlfn.IFNA(VLOOKUP($AI289,Programma!$F$3:$W$1101,18,0),"")</f>
        <v>4w</v>
      </c>
      <c r="BA289" s="114" t="str">
        <f>_xlfn.IFNA(VLOOKUP($AI289,Programma!$F$3:$X$1101,19,0),"")</f>
        <v>1w</v>
      </c>
      <c r="BB289" s="114" t="str">
        <f>_xlfn.IFNA(VLOOKUP($AI289,Programma!$F$3:$Y$1101,20,0),"")</f>
        <v>_</v>
      </c>
      <c r="BC289" s="111"/>
      <c r="BD289" s="110" t="str">
        <f>IF(Ruimtestaat[[#This Row],[Frequentie weekend]]="","",_xlfn.CONCAT(Ruimtestaat[[#This Row],[Ruimte code]],"-",Ruimtestaat[[#This Row],[Frequentie weekend]]," ",Ruimtestaat[[#This Row],[Vloer code]]))</f>
        <v/>
      </c>
      <c r="BE289" s="114" t="str">
        <f>_xlfn.IFNA(VLOOKUP($BD289,Programma!$F$3:$G$1101,2,0),"")</f>
        <v/>
      </c>
      <c r="BF289" s="114" t="str">
        <f>_xlfn.IFNA(VLOOKUP($BD289,Programma!$F$3:$H$1101,3,0),"")</f>
        <v/>
      </c>
      <c r="BG289" s="114" t="str">
        <f>_xlfn.IFNA(VLOOKUP($BD289,Programma!$F$3:$I$1101,4,0),"")</f>
        <v/>
      </c>
      <c r="BH289" s="114" t="str">
        <f>_xlfn.IFNA(VLOOKUP($BD289,Programma!$F$3:$J$1101,5,0),"")</f>
        <v/>
      </c>
      <c r="BI289" s="114" t="str">
        <f>_xlfn.IFNA(VLOOKUP($BD289,Programma!$F$3:$K$1101,6,0),"")</f>
        <v/>
      </c>
      <c r="BJ289" s="114" t="str">
        <f>_xlfn.IFNA(VLOOKUP($BD289,Programma!$F$3:$L$1101,7,0),"")</f>
        <v/>
      </c>
      <c r="BK289" s="114" t="str">
        <f>_xlfn.IFNA(VLOOKUP($BD289,Programma!$F$3:$M$1101,8,0),"")</f>
        <v/>
      </c>
      <c r="BL289" s="114" t="str">
        <f>_xlfn.IFNA(VLOOKUP($BD289,Programma!$F$3:$N$1101,9,0),"")</f>
        <v/>
      </c>
      <c r="BM289" s="114" t="str">
        <f>_xlfn.IFNA(VLOOKUP($BD289,Programma!$F$3:$O$1101,10,0),"")</f>
        <v/>
      </c>
      <c r="BN289" s="114" t="str">
        <f>_xlfn.IFNA(VLOOKUP($BD289,Programma!$F$3:$P$1101,11,0),"")</f>
        <v/>
      </c>
      <c r="BO289" s="114" t="str">
        <f>_xlfn.IFNA(VLOOKUP($BD289,Programma!$F$3:$Q$1101,12,0),"")</f>
        <v/>
      </c>
      <c r="BP289" s="114" t="str">
        <f>_xlfn.IFNA(VLOOKUP($BD289,Programma!$F$3:$R$1101,13,0),"")</f>
        <v/>
      </c>
      <c r="BQ289" s="114" t="str">
        <f>_xlfn.IFNA(VLOOKUP($BD289,Programma!$F$3:$S$1101,14,0),"")</f>
        <v/>
      </c>
      <c r="BR289" s="114" t="str">
        <f>_xlfn.IFNA(VLOOKUP($BD289,Programma!$F$3:$T$1101,15,0),"")</f>
        <v/>
      </c>
      <c r="BS289" s="114" t="str">
        <f>_xlfn.IFNA(VLOOKUP($BD289,Programma!$F$3:$U$1101,16,0),"")</f>
        <v/>
      </c>
      <c r="BT289" s="114" t="str">
        <f>_xlfn.IFNA(VLOOKUP($BD289,Programma!$F$3:$V$1101,17,0),"")</f>
        <v/>
      </c>
      <c r="BU289" s="114" t="str">
        <f>_xlfn.IFNA(VLOOKUP($BD289,Programma!$F$3:$W$1101,18,0),"")</f>
        <v/>
      </c>
      <c r="BV289" s="114" t="str">
        <f>_xlfn.IFNA(VLOOKUP($BD289,Programma!$F$3:$X$1101,19,0),"")</f>
        <v/>
      </c>
      <c r="BW289" s="114" t="str">
        <f>_xlfn.IFNA(VLOOKUP($BD289,Programma!$F$3:$Y$1101,20,0),"")</f>
        <v/>
      </c>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c r="EV289" s="28"/>
      <c r="EW289" s="28"/>
      <c r="EX289" s="28"/>
      <c r="EY289" s="28"/>
      <c r="EZ289" s="28"/>
      <c r="FA289" s="28"/>
      <c r="FB289" s="28"/>
      <c r="FC289" s="28"/>
      <c r="FD289" s="28"/>
      <c r="FE289" s="28"/>
      <c r="FF289" s="28"/>
      <c r="FG289" s="28"/>
      <c r="FH289" s="28"/>
      <c r="FI289" s="28"/>
      <c r="FJ289" s="28"/>
      <c r="FK289" s="28"/>
      <c r="FL289" s="28"/>
      <c r="FM289" s="28"/>
      <c r="FN289" s="28"/>
      <c r="FO289" s="28"/>
      <c r="FP289" s="28"/>
      <c r="FQ289" s="28"/>
      <c r="FR289" s="28"/>
      <c r="FS289" s="28"/>
      <c r="FT289" s="28"/>
      <c r="FU289" s="28"/>
      <c r="FV289" s="28"/>
      <c r="FW289" s="28"/>
      <c r="FX289" s="28"/>
      <c r="FY289" s="28"/>
      <c r="FZ289" s="28"/>
      <c r="GA289" s="28"/>
      <c r="GB289" s="28"/>
      <c r="GC289" s="28"/>
      <c r="GD289" s="28"/>
      <c r="GE289" s="28"/>
      <c r="GF289" s="28"/>
      <c r="GG289" s="28"/>
      <c r="GH289" s="28"/>
      <c r="GI289" s="28"/>
      <c r="GJ289" s="28"/>
      <c r="GK289" s="28"/>
      <c r="GL289" s="28"/>
      <c r="GM289" s="28"/>
      <c r="GN289" s="28"/>
      <c r="GO289" s="28"/>
      <c r="GP289" s="28"/>
      <c r="GQ289" s="28"/>
      <c r="GR289" s="28"/>
      <c r="GS289" s="28"/>
      <c r="GT289" s="28"/>
      <c r="GU289" s="28"/>
      <c r="GV289" s="28"/>
      <c r="GW289" s="28"/>
      <c r="GX289" s="28"/>
      <c r="GY289" s="28"/>
      <c r="GZ289" s="28"/>
      <c r="HA289" s="28"/>
      <c r="HB289" s="28"/>
      <c r="HC289" s="28"/>
      <c r="HD289" s="28"/>
      <c r="HE289" s="28"/>
      <c r="HF289" s="28"/>
      <c r="HG289" s="28"/>
      <c r="HH289" s="28"/>
      <c r="HI289" s="28"/>
      <c r="HJ289" s="28"/>
      <c r="HK289" s="28"/>
      <c r="HL289" s="28"/>
    </row>
    <row r="290" spans="1:220" ht="15" customHeight="1">
      <c r="A290" s="31">
        <v>6</v>
      </c>
      <c r="B290" s="105" t="str">
        <f>VLOOKUP(Ruimtestaat[[#This Row],[Code]],Locaties[[Code]:[Locatie]],2,FALSE)</f>
        <v>IKC Joannes</v>
      </c>
      <c r="C290" s="105" t="str">
        <f>VLOOKUP(Ruimtestaat[[#This Row],[Code]],Locaties[[#All],[Code]:[Adres]],4,FALSE)</f>
        <v>Kerkakkers 4</v>
      </c>
      <c r="D290" s="105" t="str">
        <f>VLOOKUP(Ruimtestaat[[#This Row],[Code]],Locaties[[#All],[Code]:[Postcode]],5,FALSE)</f>
        <v>6923 BZ</v>
      </c>
      <c r="E290" s="105" t="str">
        <f>VLOOKUP(Ruimtestaat[[#This Row],[Code]],Locaties[#All],6,FALSE)</f>
        <v>Groessen</v>
      </c>
      <c r="F290" s="113" t="s">
        <v>1824</v>
      </c>
      <c r="G290" s="31" t="s">
        <v>1645</v>
      </c>
      <c r="H290" s="31" t="s">
        <v>1927</v>
      </c>
      <c r="I290" s="113" t="s">
        <v>1900</v>
      </c>
      <c r="J290" s="31">
        <v>8</v>
      </c>
      <c r="K290" s="113" t="str">
        <f>VLOOKUP(Ruimtestaat[[#This Row],[Ruimte code]],Ruimtegroepen[[#All],[Code]:[Ruimte omschrijving]],2,FALSE)</f>
        <v>Kinderopvang</v>
      </c>
      <c r="L290" s="31" t="s">
        <v>99</v>
      </c>
      <c r="M290" s="31" t="s">
        <v>36</v>
      </c>
      <c r="N290" s="106">
        <v>65.36</v>
      </c>
      <c r="O290" s="112"/>
      <c r="P290" s="112"/>
      <c r="Q290" s="107" t="str">
        <f>VLOOKUP(Ruimtestaat[[#This Row],[Ruimte code]],Ruimtegroepen[],4,FALSE)</f>
        <v>Le</v>
      </c>
      <c r="R290" s="73">
        <v>40</v>
      </c>
      <c r="S290" s="73" t="s">
        <v>2</v>
      </c>
      <c r="T290" s="73">
        <f>IF(R290&gt;0,IF(RIGHT(Ruimtestaat[[#This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0" s="73">
        <f>IF(T290&gt;0,VLOOKUP($J290,Ruimtegroepen[],3,FALSE)*VLOOKUP($L290,Vloersoorten[],3,FALSE)*VLOOKUP($S290,Frequenties[],3,FALSE)*VLOOKUP($A290,Locaties[],3,FALSE),0)</f>
        <v>0</v>
      </c>
      <c r="V290" s="73">
        <f>Ruimtestaat[[#This Row],[Uitvoeringen werkdagen]]*Ruimtestaat[[#This Row],[Oppervlak (netto)]]</f>
        <v>13072</v>
      </c>
      <c r="W290" s="108">
        <f>IF(U290&gt;0,Ruimtestaat[[#This Row],[Prest. (m2 /jaar) werkdagen]]/Ruimtestaat[[#This Row],[Norm (m2/uur) werkdagen]],0)</f>
        <v>0</v>
      </c>
      <c r="X290" s="109">
        <f>Ruimtestaat[[#This Row],[uren / jaar werkdagen]]*Tariefsopbouw!$E$35</f>
        <v>0</v>
      </c>
      <c r="Y290" s="73"/>
      <c r="Z290" s="73">
        <f>IF(Ruimtestaat[[#This Row],[Frequentie weekend]]&gt;0,VALUE(LEFT(Y290,1))*R290,0)</f>
        <v>0</v>
      </c>
      <c r="AA290" s="72">
        <f>IF($Z290&gt;0,VLOOKUP($J290,Ruimtegroepen[],3,FALSE)*VLOOKUP($L290,Vloersoorten[],3,FALSE)*VLOOKUP($Y290,Frequenties[],3,FALSE)*VLOOKUP(Ruimtestaat[[#This Row],[Code]],Locaties[],3,FALSE),0)</f>
        <v>0</v>
      </c>
      <c r="AB290" s="72">
        <f>Ruimtestaat[[#This Row],[Uitvoeringen weekend]]*Ruimtestaat[[#This Row],[Oppervlak (netto)]]</f>
        <v>0</v>
      </c>
      <c r="AC290" s="72">
        <f>IF(AA290&gt;0,Ruimtestaat[[#This Row],[Prest. (m2 /jaar) weekend]]/Ruimtestaat[[#This Row],[Norm (m2/uur) weekend]],0)</f>
        <v>0</v>
      </c>
      <c r="AD290" s="109">
        <f>Ruimtestaat[[#This Row],[uren / jaar weekend]]*Tariefsopbouw!$D$40</f>
        <v>0</v>
      </c>
      <c r="AE290" s="108">
        <f>Ruimtestaat[[#This Row],[Prest. (m2 /jaar) weekend]]+Ruimtestaat[[#This Row],[Prest. (m2 /jaar) werkdagen]]</f>
        <v>13072</v>
      </c>
      <c r="AF290" s="108">
        <f>Ruimtestaat[[#This Row],[uren / jaar weekend]]+Ruimtestaat[[#This Row],[uren / jaar werkdagen]]</f>
        <v>0</v>
      </c>
      <c r="AG290" s="103">
        <f>Ruimtestaat[[#This Row],[kosten / jaar weekend]]+Ruimtestaat[[#This Row],[kosten / jaar werkdagen]]</f>
        <v>0</v>
      </c>
      <c r="AH290" s="103"/>
      <c r="AI290" s="110" t="str">
        <f>IF(Ruimtestaat[[#This Row],[Frequentie werkdagen]]="","",_xlfn.CONCAT(Ruimtestaat[[#This Row],[Ruimte code]],"-",Ruimtestaat[[#This Row],[Frequentie werkdagen]]," ",Ruimtestaat[[#This Row],[Vloer code]]))</f>
        <v>8-5w T</v>
      </c>
      <c r="AJ290" s="114" t="str">
        <f>_xlfn.IFNA(VLOOKUP($AI290,Programma!$F$3:$G$1101,2,0),"")</f>
        <v>_</v>
      </c>
      <c r="AK290" s="114" t="str">
        <f>_xlfn.IFNA(VLOOKUP($AI290,Programma!$F$3:$H$1101,3,0),"")</f>
        <v>5w</v>
      </c>
      <c r="AL290" s="114" t="str">
        <f>_xlfn.IFNA(VLOOKUP($AI290,Programma!$F$3:$I$1101,4,0),"")</f>
        <v>_</v>
      </c>
      <c r="AM290" s="114" t="str">
        <f>_xlfn.IFNA(VLOOKUP($AI290,Programma!$F$3:$J$1101,5,0),"")</f>
        <v>_</v>
      </c>
      <c r="AN290" s="114" t="str">
        <f>_xlfn.IFNA(VLOOKUP($AI290,Programma!$F$3:$K$1101,6,0),"")</f>
        <v>_</v>
      </c>
      <c r="AO290" s="114" t="str">
        <f>_xlfn.IFNA(VLOOKUP($AI290,Programma!$F$3:$L$1101,7,0),"")</f>
        <v>_</v>
      </c>
      <c r="AP290" s="114" t="str">
        <f>_xlfn.IFNA(VLOOKUP($AI290,Programma!$F$3:$M$1101,8,0),"")</f>
        <v>_</v>
      </c>
      <c r="AQ290" s="114" t="str">
        <f>_xlfn.IFNA(VLOOKUP($AI290,Programma!$F$3:$N$1101,9,0),"")</f>
        <v>_</v>
      </c>
      <c r="AR290" s="114" t="str">
        <f>_xlfn.IFNA(VLOOKUP($AI290,Programma!$F$3:$O$1101,10,0),"")</f>
        <v>5w</v>
      </c>
      <c r="AS290" s="114" t="str">
        <f>_xlfn.IFNA(VLOOKUP($AI290,Programma!$F$3:$P$1101,11,0),"")</f>
        <v>5w</v>
      </c>
      <c r="AT290" s="114" t="str">
        <f>_xlfn.IFNA(VLOOKUP($AI290,Programma!$F$3:$Q$1101,12,0),"")</f>
        <v>1w</v>
      </c>
      <c r="AU290" s="114" t="str">
        <f>_xlfn.IFNA(VLOOKUP($AI290,Programma!$F$3:$R$1101,13,0),"")</f>
        <v>1w</v>
      </c>
      <c r="AV290" s="114" t="str">
        <f>_xlfn.IFNA(VLOOKUP($AI290,Programma!$F$3:$S$1101,14,0),"")</f>
        <v>1m</v>
      </c>
      <c r="AW290" s="114" t="str">
        <f>_xlfn.IFNA(VLOOKUP($AI290,Programma!$F$3:$T$1101,15,0),"")</f>
        <v>2j</v>
      </c>
      <c r="AX290" s="114" t="str">
        <f>_xlfn.IFNA(VLOOKUP($AI290,Programma!$F$3:$U$1101,16,0),"")</f>
        <v>1j</v>
      </c>
      <c r="AY290" s="114" t="str">
        <f>_xlfn.IFNA(VLOOKUP($AI290,Programma!$F$3:$V$1101,17,0),"")</f>
        <v>_</v>
      </c>
      <c r="AZ290" s="114" t="str">
        <f>_xlfn.IFNA(VLOOKUP($AI290,Programma!$F$3:$W$1101,18,0),"")</f>
        <v>_</v>
      </c>
      <c r="BA290" s="114" t="str">
        <f>_xlfn.IFNA(VLOOKUP($AI290,Programma!$F$3:$X$1101,19,0),"")</f>
        <v>_</v>
      </c>
      <c r="BB290" s="114" t="str">
        <f>_xlfn.IFNA(VLOOKUP($AI290,Programma!$F$3:$Y$1101,20,0),"")</f>
        <v>_</v>
      </c>
      <c r="BC290" s="111"/>
      <c r="BD290" s="110" t="str">
        <f>IF(Ruimtestaat[[#This Row],[Frequentie weekend]]="","",_xlfn.CONCAT(Ruimtestaat[[#This Row],[Ruimte code]],"-",Ruimtestaat[[#This Row],[Frequentie weekend]]," ",Ruimtestaat[[#This Row],[Vloer code]]))</f>
        <v/>
      </c>
      <c r="BE290" s="114" t="str">
        <f>_xlfn.IFNA(VLOOKUP($BD290,Programma!$F$3:$G$1101,2,0),"")</f>
        <v/>
      </c>
      <c r="BF290" s="114" t="str">
        <f>_xlfn.IFNA(VLOOKUP($BD290,Programma!$F$3:$H$1101,3,0),"")</f>
        <v/>
      </c>
      <c r="BG290" s="114" t="str">
        <f>_xlfn.IFNA(VLOOKUP($BD290,Programma!$F$3:$I$1101,4,0),"")</f>
        <v/>
      </c>
      <c r="BH290" s="114" t="str">
        <f>_xlfn.IFNA(VLOOKUP($BD290,Programma!$F$3:$J$1101,5,0),"")</f>
        <v/>
      </c>
      <c r="BI290" s="114" t="str">
        <f>_xlfn.IFNA(VLOOKUP($BD290,Programma!$F$3:$K$1101,6,0),"")</f>
        <v/>
      </c>
      <c r="BJ290" s="114" t="str">
        <f>_xlfn.IFNA(VLOOKUP($BD290,Programma!$F$3:$L$1101,7,0),"")</f>
        <v/>
      </c>
      <c r="BK290" s="114" t="str">
        <f>_xlfn.IFNA(VLOOKUP($BD290,Programma!$F$3:$M$1101,8,0),"")</f>
        <v/>
      </c>
      <c r="BL290" s="114" t="str">
        <f>_xlfn.IFNA(VLOOKUP($BD290,Programma!$F$3:$N$1101,9,0),"")</f>
        <v/>
      </c>
      <c r="BM290" s="114" t="str">
        <f>_xlfn.IFNA(VLOOKUP($BD290,Programma!$F$3:$O$1101,10,0),"")</f>
        <v/>
      </c>
      <c r="BN290" s="114" t="str">
        <f>_xlfn.IFNA(VLOOKUP($BD290,Programma!$F$3:$P$1101,11,0),"")</f>
        <v/>
      </c>
      <c r="BO290" s="114" t="str">
        <f>_xlfn.IFNA(VLOOKUP($BD290,Programma!$F$3:$Q$1101,12,0),"")</f>
        <v/>
      </c>
      <c r="BP290" s="114" t="str">
        <f>_xlfn.IFNA(VLOOKUP($BD290,Programma!$F$3:$R$1101,13,0),"")</f>
        <v/>
      </c>
      <c r="BQ290" s="114" t="str">
        <f>_xlfn.IFNA(VLOOKUP($BD290,Programma!$F$3:$S$1101,14,0),"")</f>
        <v/>
      </c>
      <c r="BR290" s="114" t="str">
        <f>_xlfn.IFNA(VLOOKUP($BD290,Programma!$F$3:$T$1101,15,0),"")</f>
        <v/>
      </c>
      <c r="BS290" s="114" t="str">
        <f>_xlfn.IFNA(VLOOKUP($BD290,Programma!$F$3:$U$1101,16,0),"")</f>
        <v/>
      </c>
      <c r="BT290" s="114" t="str">
        <f>_xlfn.IFNA(VLOOKUP($BD290,Programma!$F$3:$V$1101,17,0),"")</f>
        <v/>
      </c>
      <c r="BU290" s="114" t="str">
        <f>_xlfn.IFNA(VLOOKUP($BD290,Programma!$F$3:$W$1101,18,0),"")</f>
        <v/>
      </c>
      <c r="BV290" s="114" t="str">
        <f>_xlfn.IFNA(VLOOKUP($BD290,Programma!$F$3:$X$1101,19,0),"")</f>
        <v/>
      </c>
      <c r="BW290" s="114" t="str">
        <f>_xlfn.IFNA(VLOOKUP($BD290,Programma!$F$3:$Y$1101,20,0),"")</f>
        <v/>
      </c>
      <c r="BX290" s="28"/>
      <c r="BY290" s="28"/>
      <c r="BZ290" s="28"/>
      <c r="CA290" s="28"/>
      <c r="CB290" s="28"/>
      <c r="CC290" s="28"/>
      <c r="CD290" s="28"/>
      <c r="CE290" s="28"/>
      <c r="CF290" s="28"/>
      <c r="CG290" s="28"/>
      <c r="CH290" s="28"/>
      <c r="CI290" s="28"/>
      <c r="CJ290" s="28"/>
      <c r="CK290" s="28"/>
      <c r="CL290" s="28"/>
      <c r="CM290" s="28"/>
      <c r="CN290" s="28"/>
      <c r="CO290" s="28"/>
      <c r="CP290" s="28"/>
      <c r="CQ290" s="28"/>
      <c r="CR290" s="28"/>
      <c r="CS290" s="28"/>
      <c r="CT290" s="28"/>
      <c r="CU290" s="28"/>
      <c r="CV290" s="28"/>
      <c r="CW290" s="28"/>
      <c r="CX290" s="28"/>
      <c r="CY290" s="28"/>
      <c r="CZ290" s="28"/>
      <c r="DA290" s="28"/>
      <c r="DB290" s="28"/>
      <c r="DC290" s="28"/>
      <c r="DD290" s="28"/>
      <c r="DE290" s="28"/>
      <c r="DF290" s="28"/>
      <c r="DG290" s="28"/>
      <c r="DH290" s="28"/>
      <c r="DI290" s="28"/>
      <c r="DJ290" s="28"/>
      <c r="DK290" s="28"/>
      <c r="DL290" s="28"/>
      <c r="DM290" s="28"/>
      <c r="DN290" s="28"/>
      <c r="DO290" s="28"/>
      <c r="DP290" s="28"/>
      <c r="DQ290" s="28"/>
      <c r="DR290" s="28"/>
      <c r="DS290" s="28"/>
      <c r="DT290" s="28"/>
      <c r="DU290" s="28"/>
      <c r="DV290" s="28"/>
      <c r="DW290" s="28"/>
      <c r="DX290" s="28"/>
      <c r="DY290" s="28"/>
      <c r="DZ290" s="28"/>
      <c r="EA290" s="28"/>
      <c r="EB290" s="28"/>
      <c r="EC290" s="28"/>
      <c r="ED290" s="28"/>
      <c r="EE290" s="28"/>
      <c r="EF290" s="28"/>
      <c r="EG290" s="28"/>
      <c r="EH290" s="28"/>
      <c r="EI290" s="28"/>
      <c r="EJ290" s="28"/>
      <c r="EK290" s="28"/>
      <c r="EL290" s="28"/>
      <c r="EM290" s="28"/>
      <c r="EN290" s="28"/>
      <c r="EO290" s="28"/>
      <c r="EP290" s="28"/>
      <c r="EQ290" s="28"/>
      <c r="ER290" s="28"/>
      <c r="ES290" s="28"/>
      <c r="ET290" s="28"/>
      <c r="EU290" s="28"/>
      <c r="EV290" s="28"/>
      <c r="EW290" s="28"/>
      <c r="EX290" s="28"/>
      <c r="EY290" s="28"/>
      <c r="EZ290" s="28"/>
      <c r="FA290" s="28"/>
      <c r="FB290" s="28"/>
      <c r="FC290" s="28"/>
      <c r="FD290" s="28"/>
      <c r="FE290" s="28"/>
      <c r="FF290" s="28"/>
      <c r="FG290" s="28"/>
      <c r="FH290" s="28"/>
      <c r="FI290" s="28"/>
      <c r="FJ290" s="28"/>
      <c r="FK290" s="28"/>
      <c r="FL290" s="28"/>
      <c r="FM290" s="28"/>
      <c r="FN290" s="28"/>
      <c r="FO290" s="28"/>
      <c r="FP290" s="28"/>
      <c r="FQ290" s="28"/>
      <c r="FR290" s="28"/>
      <c r="FS290" s="28"/>
      <c r="FT290" s="28"/>
      <c r="FU290" s="28"/>
      <c r="FV290" s="28"/>
      <c r="FW290" s="28"/>
      <c r="FX290" s="28"/>
      <c r="FY290" s="28"/>
      <c r="FZ290" s="28"/>
      <c r="GA290" s="28"/>
      <c r="GB290" s="28"/>
      <c r="GC290" s="28"/>
      <c r="GD290" s="28"/>
      <c r="GE290" s="28"/>
      <c r="GF290" s="28"/>
      <c r="GG290" s="28"/>
      <c r="GH290" s="28"/>
      <c r="GI290" s="28"/>
      <c r="GJ290" s="28"/>
      <c r="GK290" s="28"/>
      <c r="GL290" s="28"/>
      <c r="GM290" s="28"/>
      <c r="GN290" s="28"/>
      <c r="GO290" s="28"/>
      <c r="GP290" s="28"/>
      <c r="GQ290" s="28"/>
      <c r="GR290" s="28"/>
      <c r="GS290" s="28"/>
      <c r="GT290" s="28"/>
      <c r="GU290" s="28"/>
      <c r="GV290" s="28"/>
      <c r="GW290" s="28"/>
      <c r="GX290" s="28"/>
      <c r="GY290" s="28"/>
      <c r="GZ290" s="28"/>
      <c r="HA290" s="28"/>
      <c r="HB290" s="28"/>
      <c r="HC290" s="28"/>
      <c r="HD290" s="28"/>
      <c r="HE290" s="28"/>
      <c r="HF290" s="28"/>
      <c r="HG290" s="28"/>
      <c r="HH290" s="28"/>
      <c r="HI290" s="28"/>
      <c r="HJ290" s="28"/>
      <c r="HK290" s="28"/>
      <c r="HL290" s="28"/>
    </row>
    <row r="291" spans="1:220" ht="15" customHeight="1">
      <c r="A291" s="31">
        <v>6</v>
      </c>
      <c r="B291" s="105" t="str">
        <f>VLOOKUP(Ruimtestaat[[#This Row],[Code]],Locaties[[Code]:[Locatie]],2,FALSE)</f>
        <v>IKC Joannes</v>
      </c>
      <c r="C291" s="105" t="str">
        <f>VLOOKUP(Ruimtestaat[[#This Row],[Code]],Locaties[[#All],[Code]:[Adres]],4,FALSE)</f>
        <v>Kerkakkers 4</v>
      </c>
      <c r="D291" s="105" t="str">
        <f>VLOOKUP(Ruimtestaat[[#This Row],[Code]],Locaties[[#All],[Code]:[Postcode]],5,FALSE)</f>
        <v>6923 BZ</v>
      </c>
      <c r="E291" s="105" t="str">
        <f>VLOOKUP(Ruimtestaat[[#This Row],[Code]],Locaties[#All],6,FALSE)</f>
        <v>Groessen</v>
      </c>
      <c r="F291" s="113" t="s">
        <v>1824</v>
      </c>
      <c r="G291" s="31" t="s">
        <v>1645</v>
      </c>
      <c r="H291" s="31" t="s">
        <v>1928</v>
      </c>
      <c r="I291" s="113" t="s">
        <v>1738</v>
      </c>
      <c r="J291" s="31">
        <v>6</v>
      </c>
      <c r="K291" s="113" t="str">
        <f>VLOOKUP(Ruimtestaat[[#This Row],[Ruimte code]],Ruimtegroepen[[#All],[Code]:[Ruimte omschrijving]],2,FALSE)</f>
        <v>Gangen/hallen</v>
      </c>
      <c r="L291" s="31" t="s">
        <v>100</v>
      </c>
      <c r="M291" s="31" t="s">
        <v>1975</v>
      </c>
      <c r="N291" s="106">
        <v>2.5</v>
      </c>
      <c r="O291" s="112"/>
      <c r="P291" s="112"/>
      <c r="Q291" s="107" t="str">
        <f>VLOOKUP(Ruimtestaat[[#This Row],[Ruimte code]],Ruimtegroepen[],4,FALSE)</f>
        <v>Ve</v>
      </c>
      <c r="R291" s="73">
        <v>40</v>
      </c>
      <c r="S291" s="73" t="s">
        <v>2</v>
      </c>
      <c r="T291" s="73">
        <f>IF(R291&gt;0,IF(RIGHT(Ruimtestaat[[#This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1" s="73">
        <f>IF(T291&gt;0,VLOOKUP($J291,Ruimtegroepen[],3,FALSE)*VLOOKUP($L291,Vloersoorten[],3,FALSE)*VLOOKUP($S291,Frequenties[],3,FALSE)*VLOOKUP($A291,Locaties[],3,FALSE),0)</f>
        <v>0</v>
      </c>
      <c r="V291" s="73">
        <f>Ruimtestaat[[#This Row],[Uitvoeringen werkdagen]]*Ruimtestaat[[#This Row],[Oppervlak (netto)]]</f>
        <v>500</v>
      </c>
      <c r="W291" s="108">
        <f>IF(U291&gt;0,Ruimtestaat[[#This Row],[Prest. (m2 /jaar) werkdagen]]/Ruimtestaat[[#This Row],[Norm (m2/uur) werkdagen]],0)</f>
        <v>0</v>
      </c>
      <c r="X291" s="109">
        <f>Ruimtestaat[[#This Row],[uren / jaar werkdagen]]*Tariefsopbouw!$E$35</f>
        <v>0</v>
      </c>
      <c r="Y291" s="73"/>
      <c r="Z291" s="73">
        <f>IF(Ruimtestaat[[#This Row],[Frequentie weekend]]&gt;0,VALUE(LEFT(Y291,1))*R291,0)</f>
        <v>0</v>
      </c>
      <c r="AA291" s="72">
        <f>IF($Z291&gt;0,VLOOKUP($J291,Ruimtegroepen[],3,FALSE)*VLOOKUP($L291,Vloersoorten[],3,FALSE)*VLOOKUP($Y291,Frequenties[],3,FALSE)*VLOOKUP(Ruimtestaat[[#This Row],[Code]],Locaties[],3,FALSE),0)</f>
        <v>0</v>
      </c>
      <c r="AB291" s="72">
        <f>Ruimtestaat[[#This Row],[Uitvoeringen weekend]]*Ruimtestaat[[#This Row],[Oppervlak (netto)]]</f>
        <v>0</v>
      </c>
      <c r="AC291" s="72">
        <f>IF(AA291&gt;0,Ruimtestaat[[#This Row],[Prest. (m2 /jaar) weekend]]/Ruimtestaat[[#This Row],[Norm (m2/uur) weekend]],0)</f>
        <v>0</v>
      </c>
      <c r="AD291" s="109">
        <f>Ruimtestaat[[#This Row],[uren / jaar weekend]]*Tariefsopbouw!$D$40</f>
        <v>0</v>
      </c>
      <c r="AE291" s="108">
        <f>Ruimtestaat[[#This Row],[Prest. (m2 /jaar) weekend]]+Ruimtestaat[[#This Row],[Prest. (m2 /jaar) werkdagen]]</f>
        <v>500</v>
      </c>
      <c r="AF291" s="108">
        <f>Ruimtestaat[[#This Row],[uren / jaar weekend]]+Ruimtestaat[[#This Row],[uren / jaar werkdagen]]</f>
        <v>0</v>
      </c>
      <c r="AG291" s="103">
        <f>Ruimtestaat[[#This Row],[kosten / jaar weekend]]+Ruimtestaat[[#This Row],[kosten / jaar werkdagen]]</f>
        <v>0</v>
      </c>
      <c r="AH291" s="103"/>
      <c r="AI291" s="110" t="str">
        <f>IF(Ruimtestaat[[#This Row],[Frequentie werkdagen]]="","",_xlfn.CONCAT(Ruimtestaat[[#This Row],[Ruimte code]],"-",Ruimtestaat[[#This Row],[Frequentie werkdagen]]," ",Ruimtestaat[[#This Row],[Vloer code]]))</f>
        <v>6-5w L</v>
      </c>
      <c r="AJ291" s="114" t="str">
        <f>_xlfn.IFNA(VLOOKUP($AI291,Programma!$F$3:$G$1101,2,0),"")</f>
        <v>_</v>
      </c>
      <c r="AK291" s="114" t="str">
        <f>_xlfn.IFNA(VLOOKUP($AI291,Programma!$F$3:$H$1101,3,0),"")</f>
        <v>_</v>
      </c>
      <c r="AL291" s="114" t="str">
        <f>_xlfn.IFNA(VLOOKUP($AI291,Programma!$F$3:$I$1101,4,0),"")</f>
        <v>_</v>
      </c>
      <c r="AM291" s="114" t="str">
        <f>_xlfn.IFNA(VLOOKUP($AI291,Programma!$F$3:$J$1101,5,0),"")</f>
        <v>5w</v>
      </c>
      <c r="AN291" s="114" t="str">
        <f>_xlfn.IFNA(VLOOKUP($AI291,Programma!$F$3:$K$1101,6,0),"")</f>
        <v>_</v>
      </c>
      <c r="AO291" s="114" t="str">
        <f>_xlfn.IFNA(VLOOKUP($AI291,Programma!$F$3:$L$1101,7,0),"")</f>
        <v>_</v>
      </c>
      <c r="AP291" s="114" t="str">
        <f>_xlfn.IFNA(VLOOKUP($AI291,Programma!$F$3:$M$1101,8,0),"")</f>
        <v>_</v>
      </c>
      <c r="AQ291" s="114" t="str">
        <f>_xlfn.IFNA(VLOOKUP($AI291,Programma!$F$3:$N$1101,9,0),"")</f>
        <v>_</v>
      </c>
      <c r="AR291" s="114" t="str">
        <f>_xlfn.IFNA(VLOOKUP($AI291,Programma!$F$3:$O$1101,10,0),"")</f>
        <v>5w</v>
      </c>
      <c r="AS291" s="114" t="str">
        <f>_xlfn.IFNA(VLOOKUP($AI291,Programma!$F$3:$P$1101,11,0),"")</f>
        <v>5w</v>
      </c>
      <c r="AT291" s="114" t="str">
        <f>_xlfn.IFNA(VLOOKUP($AI291,Programma!$F$3:$Q$1101,12,0),"")</f>
        <v>1w</v>
      </c>
      <c r="AU291" s="114" t="str">
        <f>_xlfn.IFNA(VLOOKUP($AI291,Programma!$F$3:$R$1101,13,0),"")</f>
        <v>1w</v>
      </c>
      <c r="AV291" s="114" t="str">
        <f>_xlfn.IFNA(VLOOKUP($AI291,Programma!$F$3:$S$1101,14,0),"")</f>
        <v>1m</v>
      </c>
      <c r="AW291" s="114" t="str">
        <f>_xlfn.IFNA(VLOOKUP($AI291,Programma!$F$3:$T$1101,15,0),"")</f>
        <v>2j</v>
      </c>
      <c r="AX291" s="114" t="str">
        <f>_xlfn.IFNA(VLOOKUP($AI291,Programma!$F$3:$U$1101,16,0),"")</f>
        <v>1j</v>
      </c>
      <c r="AY291" s="114" t="str">
        <f>_xlfn.IFNA(VLOOKUP($AI291,Programma!$F$3:$V$1101,17,0),"")</f>
        <v>_</v>
      </c>
      <c r="AZ291" s="114" t="str">
        <f>_xlfn.IFNA(VLOOKUP($AI291,Programma!$F$3:$W$1101,18,0),"")</f>
        <v>_</v>
      </c>
      <c r="BA291" s="114" t="str">
        <f>_xlfn.IFNA(VLOOKUP($AI291,Programma!$F$3:$X$1101,19,0),"")</f>
        <v>_</v>
      </c>
      <c r="BB291" s="114" t="str">
        <f>_xlfn.IFNA(VLOOKUP($AI291,Programma!$F$3:$Y$1101,20,0),"")</f>
        <v>_</v>
      </c>
      <c r="BC291" s="111"/>
      <c r="BD291" s="110" t="str">
        <f>IF(Ruimtestaat[[#This Row],[Frequentie weekend]]="","",_xlfn.CONCAT(Ruimtestaat[[#This Row],[Ruimte code]],"-",Ruimtestaat[[#This Row],[Frequentie weekend]]," ",Ruimtestaat[[#This Row],[Vloer code]]))</f>
        <v/>
      </c>
      <c r="BE291" s="114" t="str">
        <f>_xlfn.IFNA(VLOOKUP($BD291,Programma!$F$3:$G$1101,2,0),"")</f>
        <v/>
      </c>
      <c r="BF291" s="114" t="str">
        <f>_xlfn.IFNA(VLOOKUP($BD291,Programma!$F$3:$H$1101,3,0),"")</f>
        <v/>
      </c>
      <c r="BG291" s="114" t="str">
        <f>_xlfn.IFNA(VLOOKUP($BD291,Programma!$F$3:$I$1101,4,0),"")</f>
        <v/>
      </c>
      <c r="BH291" s="114" t="str">
        <f>_xlfn.IFNA(VLOOKUP($BD291,Programma!$F$3:$J$1101,5,0),"")</f>
        <v/>
      </c>
      <c r="BI291" s="114" t="str">
        <f>_xlfn.IFNA(VLOOKUP($BD291,Programma!$F$3:$K$1101,6,0),"")</f>
        <v/>
      </c>
      <c r="BJ291" s="114" t="str">
        <f>_xlfn.IFNA(VLOOKUP($BD291,Programma!$F$3:$L$1101,7,0),"")</f>
        <v/>
      </c>
      <c r="BK291" s="114" t="str">
        <f>_xlfn.IFNA(VLOOKUP($BD291,Programma!$F$3:$M$1101,8,0),"")</f>
        <v/>
      </c>
      <c r="BL291" s="114" t="str">
        <f>_xlfn.IFNA(VLOOKUP($BD291,Programma!$F$3:$N$1101,9,0),"")</f>
        <v/>
      </c>
      <c r="BM291" s="114" t="str">
        <f>_xlfn.IFNA(VLOOKUP($BD291,Programma!$F$3:$O$1101,10,0),"")</f>
        <v/>
      </c>
      <c r="BN291" s="114" t="str">
        <f>_xlfn.IFNA(VLOOKUP($BD291,Programma!$F$3:$P$1101,11,0),"")</f>
        <v/>
      </c>
      <c r="BO291" s="114" t="str">
        <f>_xlfn.IFNA(VLOOKUP($BD291,Programma!$F$3:$Q$1101,12,0),"")</f>
        <v/>
      </c>
      <c r="BP291" s="114" t="str">
        <f>_xlfn.IFNA(VLOOKUP($BD291,Programma!$F$3:$R$1101,13,0),"")</f>
        <v/>
      </c>
      <c r="BQ291" s="114" t="str">
        <f>_xlfn.IFNA(VLOOKUP($BD291,Programma!$F$3:$S$1101,14,0),"")</f>
        <v/>
      </c>
      <c r="BR291" s="114" t="str">
        <f>_xlfn.IFNA(VLOOKUP($BD291,Programma!$F$3:$T$1101,15,0),"")</f>
        <v/>
      </c>
      <c r="BS291" s="114" t="str">
        <f>_xlfn.IFNA(VLOOKUP($BD291,Programma!$F$3:$U$1101,16,0),"")</f>
        <v/>
      </c>
      <c r="BT291" s="114" t="str">
        <f>_xlfn.IFNA(VLOOKUP($BD291,Programma!$F$3:$V$1101,17,0),"")</f>
        <v/>
      </c>
      <c r="BU291" s="114" t="str">
        <f>_xlfn.IFNA(VLOOKUP($BD291,Programma!$F$3:$W$1101,18,0),"")</f>
        <v/>
      </c>
      <c r="BV291" s="114" t="str">
        <f>_xlfn.IFNA(VLOOKUP($BD291,Programma!$F$3:$X$1101,19,0),"")</f>
        <v/>
      </c>
      <c r="BW291" s="114" t="str">
        <f>_xlfn.IFNA(VLOOKUP($BD291,Programma!$F$3:$Y$1101,20,0),"")</f>
        <v/>
      </c>
      <c r="BX291" s="28"/>
      <c r="BY291" s="28"/>
      <c r="BZ291" s="28"/>
      <c r="CA291" s="28"/>
      <c r="CB291" s="28"/>
      <c r="CC291" s="28"/>
      <c r="CD291" s="28"/>
      <c r="CE291" s="28"/>
      <c r="CF291" s="28"/>
      <c r="CG291" s="28"/>
      <c r="CH291" s="28"/>
      <c r="CI291" s="28"/>
      <c r="CJ291" s="28"/>
      <c r="CK291" s="28"/>
      <c r="CL291" s="28"/>
      <c r="CM291" s="28"/>
      <c r="CN291" s="28"/>
      <c r="CO291" s="28"/>
      <c r="CP291" s="28"/>
      <c r="CQ291" s="28"/>
      <c r="CR291" s="28"/>
      <c r="CS291" s="28"/>
      <c r="CT291" s="28"/>
      <c r="CU291" s="28"/>
      <c r="CV291" s="28"/>
      <c r="CW291" s="28"/>
      <c r="CX291" s="28"/>
      <c r="CY291" s="28"/>
      <c r="CZ291" s="28"/>
      <c r="DA291" s="28"/>
      <c r="DB291" s="28"/>
      <c r="DC291" s="28"/>
      <c r="DD291" s="28"/>
      <c r="DE291" s="28"/>
      <c r="DF291" s="28"/>
      <c r="DG291" s="28"/>
      <c r="DH291" s="28"/>
      <c r="DI291" s="28"/>
      <c r="DJ291" s="28"/>
      <c r="DK291" s="28"/>
      <c r="DL291" s="28"/>
      <c r="DM291" s="28"/>
      <c r="DN291" s="28"/>
      <c r="DO291" s="28"/>
      <c r="DP291" s="28"/>
      <c r="DQ291" s="28"/>
      <c r="DR291" s="28"/>
      <c r="DS291" s="28"/>
      <c r="DT291" s="28"/>
      <c r="DU291" s="28"/>
      <c r="DV291" s="28"/>
      <c r="DW291" s="28"/>
      <c r="DX291" s="28"/>
      <c r="DY291" s="28"/>
      <c r="DZ291" s="28"/>
      <c r="EA291" s="28"/>
      <c r="EB291" s="28"/>
      <c r="EC291" s="28"/>
      <c r="ED291" s="28"/>
      <c r="EE291" s="28"/>
      <c r="EF291" s="28"/>
      <c r="EG291" s="28"/>
      <c r="EH291" s="28"/>
      <c r="EI291" s="28"/>
      <c r="EJ291" s="28"/>
      <c r="EK291" s="28"/>
      <c r="EL291" s="28"/>
      <c r="EM291" s="28"/>
      <c r="EN291" s="28"/>
      <c r="EO291" s="28"/>
      <c r="EP291" s="28"/>
      <c r="EQ291" s="28"/>
      <c r="ER291" s="28"/>
      <c r="ES291" s="28"/>
      <c r="ET291" s="28"/>
      <c r="EU291" s="28"/>
      <c r="EV291" s="28"/>
      <c r="EW291" s="28"/>
      <c r="EX291" s="28"/>
      <c r="EY291" s="28"/>
      <c r="EZ291" s="28"/>
      <c r="FA291" s="28"/>
      <c r="FB291" s="28"/>
      <c r="FC291" s="28"/>
      <c r="FD291" s="28"/>
      <c r="FE291" s="28"/>
      <c r="FF291" s="28"/>
      <c r="FG291" s="28"/>
      <c r="FH291" s="28"/>
      <c r="FI291" s="28"/>
      <c r="FJ291" s="28"/>
      <c r="FK291" s="28"/>
      <c r="FL291" s="28"/>
      <c r="FM291" s="28"/>
      <c r="FN291" s="28"/>
      <c r="FO291" s="28"/>
      <c r="FP291" s="28"/>
      <c r="FQ291" s="28"/>
      <c r="FR291" s="28"/>
      <c r="FS291" s="28"/>
      <c r="FT291" s="28"/>
      <c r="FU291" s="28"/>
      <c r="FV291" s="28"/>
      <c r="FW291" s="28"/>
      <c r="FX291" s="28"/>
      <c r="FY291" s="28"/>
      <c r="FZ291" s="28"/>
      <c r="GA291" s="28"/>
      <c r="GB291" s="28"/>
      <c r="GC291" s="28"/>
      <c r="GD291" s="28"/>
      <c r="GE291" s="28"/>
      <c r="GF291" s="28"/>
      <c r="GG291" s="28"/>
      <c r="GH291" s="28"/>
      <c r="GI291" s="28"/>
      <c r="GJ291" s="28"/>
      <c r="GK291" s="28"/>
      <c r="GL291" s="28"/>
      <c r="GM291" s="28"/>
      <c r="GN291" s="28"/>
      <c r="GO291" s="28"/>
      <c r="GP291" s="28"/>
      <c r="GQ291" s="28"/>
      <c r="GR291" s="28"/>
      <c r="GS291" s="28"/>
      <c r="GT291" s="28"/>
      <c r="GU291" s="28"/>
      <c r="GV291" s="28"/>
      <c r="GW291" s="28"/>
      <c r="GX291" s="28"/>
      <c r="GY291" s="28"/>
      <c r="GZ291" s="28"/>
      <c r="HA291" s="28"/>
      <c r="HB291" s="28"/>
      <c r="HC291" s="28"/>
      <c r="HD291" s="28"/>
      <c r="HE291" s="28"/>
      <c r="HF291" s="28"/>
      <c r="HG291" s="28"/>
      <c r="HH291" s="28"/>
      <c r="HI291" s="28"/>
      <c r="HJ291" s="28"/>
      <c r="HK291" s="28"/>
      <c r="HL291" s="28"/>
    </row>
    <row r="292" spans="1:220" ht="15" customHeight="1">
      <c r="A292" s="31">
        <v>6</v>
      </c>
      <c r="B292" s="105" t="str">
        <f>VLOOKUP(Ruimtestaat[[#This Row],[Code]],Locaties[[Code]:[Locatie]],2,FALSE)</f>
        <v>IKC Joannes</v>
      </c>
      <c r="C292" s="105" t="str">
        <f>VLOOKUP(Ruimtestaat[[#This Row],[Code]],Locaties[[#All],[Code]:[Adres]],4,FALSE)</f>
        <v>Kerkakkers 4</v>
      </c>
      <c r="D292" s="105" t="str">
        <f>VLOOKUP(Ruimtestaat[[#This Row],[Code]],Locaties[[#All],[Code]:[Postcode]],5,FALSE)</f>
        <v>6923 BZ</v>
      </c>
      <c r="E292" s="105" t="str">
        <f>VLOOKUP(Ruimtestaat[[#This Row],[Code]],Locaties[#All],6,FALSE)</f>
        <v>Groessen</v>
      </c>
      <c r="F292" s="113" t="s">
        <v>1824</v>
      </c>
      <c r="G292" s="31" t="s">
        <v>1645</v>
      </c>
      <c r="H292" s="31" t="s">
        <v>1929</v>
      </c>
      <c r="I292" s="113" t="s">
        <v>1901</v>
      </c>
      <c r="J292" s="31">
        <v>8</v>
      </c>
      <c r="K292" s="113" t="str">
        <f>VLOOKUP(Ruimtestaat[[#This Row],[Ruimte code]],Ruimtegroepen[[#All],[Code]:[Ruimte omschrijving]],2,FALSE)</f>
        <v>Kinderopvang</v>
      </c>
      <c r="L292" s="31" t="s">
        <v>99</v>
      </c>
      <c r="M292" s="31" t="s">
        <v>36</v>
      </c>
      <c r="N292" s="106">
        <v>62.86</v>
      </c>
      <c r="O292" s="112"/>
      <c r="P292" s="112"/>
      <c r="Q292" s="107" t="str">
        <f>VLOOKUP(Ruimtestaat[[#This Row],[Ruimte code]],Ruimtegroepen[],4,FALSE)</f>
        <v>Le</v>
      </c>
      <c r="R292" s="73">
        <v>40</v>
      </c>
      <c r="S292" s="73" t="s">
        <v>2</v>
      </c>
      <c r="T292" s="73">
        <f>IF(R292&gt;0,IF(RIGHT(Ruimtestaat[[#This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2" s="73">
        <f>IF(T292&gt;0,VLOOKUP($J292,Ruimtegroepen[],3,FALSE)*VLOOKUP($L292,Vloersoorten[],3,FALSE)*VLOOKUP($S292,Frequenties[],3,FALSE)*VLOOKUP($A292,Locaties[],3,FALSE),0)</f>
        <v>0</v>
      </c>
      <c r="V292" s="73">
        <f>Ruimtestaat[[#This Row],[Uitvoeringen werkdagen]]*Ruimtestaat[[#This Row],[Oppervlak (netto)]]</f>
        <v>12572</v>
      </c>
      <c r="W292" s="108">
        <f>IF(U292&gt;0,Ruimtestaat[[#This Row],[Prest. (m2 /jaar) werkdagen]]/Ruimtestaat[[#This Row],[Norm (m2/uur) werkdagen]],0)</f>
        <v>0</v>
      </c>
      <c r="X292" s="109">
        <f>Ruimtestaat[[#This Row],[uren / jaar werkdagen]]*Tariefsopbouw!$E$35</f>
        <v>0</v>
      </c>
      <c r="Y292" s="73"/>
      <c r="Z292" s="73">
        <f>IF(Ruimtestaat[[#This Row],[Frequentie weekend]]&gt;0,VALUE(LEFT(Y292,1))*R292,0)</f>
        <v>0</v>
      </c>
      <c r="AA292" s="72">
        <f>IF($Z292&gt;0,VLOOKUP($J292,Ruimtegroepen[],3,FALSE)*VLOOKUP($L292,Vloersoorten[],3,FALSE)*VLOOKUP($Y292,Frequenties[],3,FALSE)*VLOOKUP(Ruimtestaat[[#This Row],[Code]],Locaties[],3,FALSE),0)</f>
        <v>0</v>
      </c>
      <c r="AB292" s="72">
        <f>Ruimtestaat[[#This Row],[Uitvoeringen weekend]]*Ruimtestaat[[#This Row],[Oppervlak (netto)]]</f>
        <v>0</v>
      </c>
      <c r="AC292" s="72">
        <f>IF(AA292&gt;0,Ruimtestaat[[#This Row],[Prest. (m2 /jaar) weekend]]/Ruimtestaat[[#This Row],[Norm (m2/uur) weekend]],0)</f>
        <v>0</v>
      </c>
      <c r="AD292" s="109">
        <f>Ruimtestaat[[#This Row],[uren / jaar weekend]]*Tariefsopbouw!$D$40</f>
        <v>0</v>
      </c>
      <c r="AE292" s="108">
        <f>Ruimtestaat[[#This Row],[Prest. (m2 /jaar) weekend]]+Ruimtestaat[[#This Row],[Prest. (m2 /jaar) werkdagen]]</f>
        <v>12572</v>
      </c>
      <c r="AF292" s="108">
        <f>Ruimtestaat[[#This Row],[uren / jaar weekend]]+Ruimtestaat[[#This Row],[uren / jaar werkdagen]]</f>
        <v>0</v>
      </c>
      <c r="AG292" s="103">
        <f>Ruimtestaat[[#This Row],[kosten / jaar weekend]]+Ruimtestaat[[#This Row],[kosten / jaar werkdagen]]</f>
        <v>0</v>
      </c>
      <c r="AH292" s="103"/>
      <c r="AI292" s="110" t="str">
        <f>IF(Ruimtestaat[[#This Row],[Frequentie werkdagen]]="","",_xlfn.CONCAT(Ruimtestaat[[#This Row],[Ruimte code]],"-",Ruimtestaat[[#This Row],[Frequentie werkdagen]]," ",Ruimtestaat[[#This Row],[Vloer code]]))</f>
        <v>8-5w T</v>
      </c>
      <c r="AJ292" s="114" t="str">
        <f>_xlfn.IFNA(VLOOKUP($AI292,Programma!$F$3:$G$1101,2,0),"")</f>
        <v>_</v>
      </c>
      <c r="AK292" s="114" t="str">
        <f>_xlfn.IFNA(VLOOKUP($AI292,Programma!$F$3:$H$1101,3,0),"")</f>
        <v>5w</v>
      </c>
      <c r="AL292" s="114" t="str">
        <f>_xlfn.IFNA(VLOOKUP($AI292,Programma!$F$3:$I$1101,4,0),"")</f>
        <v>_</v>
      </c>
      <c r="AM292" s="114" t="str">
        <f>_xlfn.IFNA(VLOOKUP($AI292,Programma!$F$3:$J$1101,5,0),"")</f>
        <v>_</v>
      </c>
      <c r="AN292" s="114" t="str">
        <f>_xlfn.IFNA(VLOOKUP($AI292,Programma!$F$3:$K$1101,6,0),"")</f>
        <v>_</v>
      </c>
      <c r="AO292" s="114" t="str">
        <f>_xlfn.IFNA(VLOOKUP($AI292,Programma!$F$3:$L$1101,7,0),"")</f>
        <v>_</v>
      </c>
      <c r="AP292" s="114" t="str">
        <f>_xlfn.IFNA(VLOOKUP($AI292,Programma!$F$3:$M$1101,8,0),"")</f>
        <v>_</v>
      </c>
      <c r="AQ292" s="114" t="str">
        <f>_xlfn.IFNA(VLOOKUP($AI292,Programma!$F$3:$N$1101,9,0),"")</f>
        <v>_</v>
      </c>
      <c r="AR292" s="114" t="str">
        <f>_xlfn.IFNA(VLOOKUP($AI292,Programma!$F$3:$O$1101,10,0),"")</f>
        <v>5w</v>
      </c>
      <c r="AS292" s="114" t="str">
        <f>_xlfn.IFNA(VLOOKUP($AI292,Programma!$F$3:$P$1101,11,0),"")</f>
        <v>5w</v>
      </c>
      <c r="AT292" s="114" t="str">
        <f>_xlfn.IFNA(VLOOKUP($AI292,Programma!$F$3:$Q$1101,12,0),"")</f>
        <v>1w</v>
      </c>
      <c r="AU292" s="114" t="str">
        <f>_xlfn.IFNA(VLOOKUP($AI292,Programma!$F$3:$R$1101,13,0),"")</f>
        <v>1w</v>
      </c>
      <c r="AV292" s="114" t="str">
        <f>_xlfn.IFNA(VLOOKUP($AI292,Programma!$F$3:$S$1101,14,0),"")</f>
        <v>1m</v>
      </c>
      <c r="AW292" s="114" t="str">
        <f>_xlfn.IFNA(VLOOKUP($AI292,Programma!$F$3:$T$1101,15,0),"")</f>
        <v>2j</v>
      </c>
      <c r="AX292" s="114" t="str">
        <f>_xlfn.IFNA(VLOOKUP($AI292,Programma!$F$3:$U$1101,16,0),"")</f>
        <v>1j</v>
      </c>
      <c r="AY292" s="114" t="str">
        <f>_xlfn.IFNA(VLOOKUP($AI292,Programma!$F$3:$V$1101,17,0),"")</f>
        <v>_</v>
      </c>
      <c r="AZ292" s="114" t="str">
        <f>_xlfn.IFNA(VLOOKUP($AI292,Programma!$F$3:$W$1101,18,0),"")</f>
        <v>_</v>
      </c>
      <c r="BA292" s="114" t="str">
        <f>_xlfn.IFNA(VLOOKUP($AI292,Programma!$F$3:$X$1101,19,0),"")</f>
        <v>_</v>
      </c>
      <c r="BB292" s="114" t="str">
        <f>_xlfn.IFNA(VLOOKUP($AI292,Programma!$F$3:$Y$1101,20,0),"")</f>
        <v>_</v>
      </c>
      <c r="BC292" s="111"/>
      <c r="BD292" s="110" t="str">
        <f>IF(Ruimtestaat[[#This Row],[Frequentie weekend]]="","",_xlfn.CONCAT(Ruimtestaat[[#This Row],[Ruimte code]],"-",Ruimtestaat[[#This Row],[Frequentie weekend]]," ",Ruimtestaat[[#This Row],[Vloer code]]))</f>
        <v/>
      </c>
      <c r="BE292" s="114" t="str">
        <f>_xlfn.IFNA(VLOOKUP($BD292,Programma!$F$3:$G$1101,2,0),"")</f>
        <v/>
      </c>
      <c r="BF292" s="114" t="str">
        <f>_xlfn.IFNA(VLOOKUP($BD292,Programma!$F$3:$H$1101,3,0),"")</f>
        <v/>
      </c>
      <c r="BG292" s="114" t="str">
        <f>_xlfn.IFNA(VLOOKUP($BD292,Programma!$F$3:$I$1101,4,0),"")</f>
        <v/>
      </c>
      <c r="BH292" s="114" t="str">
        <f>_xlfn.IFNA(VLOOKUP($BD292,Programma!$F$3:$J$1101,5,0),"")</f>
        <v/>
      </c>
      <c r="BI292" s="114" t="str">
        <f>_xlfn.IFNA(VLOOKUP($BD292,Programma!$F$3:$K$1101,6,0),"")</f>
        <v/>
      </c>
      <c r="BJ292" s="114" t="str">
        <f>_xlfn.IFNA(VLOOKUP($BD292,Programma!$F$3:$L$1101,7,0),"")</f>
        <v/>
      </c>
      <c r="BK292" s="114" t="str">
        <f>_xlfn.IFNA(VLOOKUP($BD292,Programma!$F$3:$M$1101,8,0),"")</f>
        <v/>
      </c>
      <c r="BL292" s="114" t="str">
        <f>_xlfn.IFNA(VLOOKUP($BD292,Programma!$F$3:$N$1101,9,0),"")</f>
        <v/>
      </c>
      <c r="BM292" s="114" t="str">
        <f>_xlfn.IFNA(VLOOKUP($BD292,Programma!$F$3:$O$1101,10,0),"")</f>
        <v/>
      </c>
      <c r="BN292" s="114" t="str">
        <f>_xlfn.IFNA(VLOOKUP($BD292,Programma!$F$3:$P$1101,11,0),"")</f>
        <v/>
      </c>
      <c r="BO292" s="114" t="str">
        <f>_xlfn.IFNA(VLOOKUP($BD292,Programma!$F$3:$Q$1101,12,0),"")</f>
        <v/>
      </c>
      <c r="BP292" s="114" t="str">
        <f>_xlfn.IFNA(VLOOKUP($BD292,Programma!$F$3:$R$1101,13,0),"")</f>
        <v/>
      </c>
      <c r="BQ292" s="114" t="str">
        <f>_xlfn.IFNA(VLOOKUP($BD292,Programma!$F$3:$S$1101,14,0),"")</f>
        <v/>
      </c>
      <c r="BR292" s="114" t="str">
        <f>_xlfn.IFNA(VLOOKUP($BD292,Programma!$F$3:$T$1101,15,0),"")</f>
        <v/>
      </c>
      <c r="BS292" s="114" t="str">
        <f>_xlfn.IFNA(VLOOKUP($BD292,Programma!$F$3:$U$1101,16,0),"")</f>
        <v/>
      </c>
      <c r="BT292" s="114" t="str">
        <f>_xlfn.IFNA(VLOOKUP($BD292,Programma!$F$3:$V$1101,17,0),"")</f>
        <v/>
      </c>
      <c r="BU292" s="114" t="str">
        <f>_xlfn.IFNA(VLOOKUP($BD292,Programma!$F$3:$W$1101,18,0),"")</f>
        <v/>
      </c>
      <c r="BV292" s="114" t="str">
        <f>_xlfn.IFNA(VLOOKUP($BD292,Programma!$F$3:$X$1101,19,0),"")</f>
        <v/>
      </c>
      <c r="BW292" s="114" t="str">
        <f>_xlfn.IFNA(VLOOKUP($BD292,Programma!$F$3:$Y$1101,20,0),"")</f>
        <v/>
      </c>
      <c r="BX292" s="28"/>
      <c r="BY292" s="28"/>
      <c r="BZ292" s="28"/>
      <c r="CA292" s="28"/>
      <c r="CB292" s="28"/>
      <c r="CC292" s="28"/>
      <c r="CD292" s="28"/>
      <c r="CE292" s="28"/>
      <c r="CF292" s="28"/>
      <c r="CG292" s="28"/>
      <c r="CH292" s="28"/>
      <c r="CI292" s="28"/>
      <c r="CJ292" s="28"/>
      <c r="CK292" s="28"/>
      <c r="CL292" s="28"/>
      <c r="CM292" s="28"/>
      <c r="CN292" s="28"/>
      <c r="CO292" s="28"/>
      <c r="CP292" s="28"/>
      <c r="CQ292" s="28"/>
      <c r="CR292" s="28"/>
      <c r="CS292" s="28"/>
      <c r="CT292" s="28"/>
      <c r="CU292" s="28"/>
      <c r="CV292" s="28"/>
      <c r="CW292" s="28"/>
      <c r="CX292" s="28"/>
      <c r="CY292" s="28"/>
      <c r="CZ292" s="28"/>
      <c r="DA292" s="28"/>
      <c r="DB292" s="28"/>
      <c r="DC292" s="28"/>
      <c r="DD292" s="28"/>
      <c r="DE292" s="28"/>
      <c r="DF292" s="28"/>
      <c r="DG292" s="28"/>
      <c r="DH292" s="28"/>
      <c r="DI292" s="28"/>
      <c r="DJ292" s="28"/>
      <c r="DK292" s="28"/>
      <c r="DL292" s="28"/>
      <c r="DM292" s="28"/>
      <c r="DN292" s="28"/>
      <c r="DO292" s="28"/>
      <c r="DP292" s="28"/>
      <c r="DQ292" s="28"/>
      <c r="DR292" s="28"/>
      <c r="DS292" s="28"/>
      <c r="DT292" s="28"/>
      <c r="DU292" s="28"/>
      <c r="DV292" s="28"/>
      <c r="DW292" s="28"/>
      <c r="DX292" s="28"/>
      <c r="DY292" s="28"/>
      <c r="DZ292" s="28"/>
      <c r="EA292" s="28"/>
      <c r="EB292" s="28"/>
      <c r="EC292" s="28"/>
      <c r="ED292" s="28"/>
      <c r="EE292" s="28"/>
      <c r="EF292" s="28"/>
      <c r="EG292" s="28"/>
      <c r="EH292" s="28"/>
      <c r="EI292" s="28"/>
      <c r="EJ292" s="28"/>
      <c r="EK292" s="28"/>
      <c r="EL292" s="28"/>
      <c r="EM292" s="28"/>
      <c r="EN292" s="28"/>
      <c r="EO292" s="28"/>
      <c r="EP292" s="28"/>
      <c r="EQ292" s="28"/>
      <c r="ER292" s="28"/>
      <c r="ES292" s="28"/>
      <c r="ET292" s="28"/>
      <c r="EU292" s="28"/>
      <c r="EV292" s="28"/>
      <c r="EW292" s="28"/>
      <c r="EX292" s="28"/>
      <c r="EY292" s="28"/>
      <c r="EZ292" s="28"/>
      <c r="FA292" s="28"/>
      <c r="FB292" s="28"/>
      <c r="FC292" s="28"/>
      <c r="FD292" s="28"/>
      <c r="FE292" s="28"/>
      <c r="FF292" s="28"/>
      <c r="FG292" s="28"/>
      <c r="FH292" s="28"/>
      <c r="FI292" s="28"/>
      <c r="FJ292" s="28"/>
      <c r="FK292" s="28"/>
      <c r="FL292" s="28"/>
      <c r="FM292" s="28"/>
      <c r="FN292" s="28"/>
      <c r="FO292" s="28"/>
      <c r="FP292" s="28"/>
      <c r="FQ292" s="28"/>
      <c r="FR292" s="28"/>
      <c r="FS292" s="28"/>
      <c r="FT292" s="28"/>
      <c r="FU292" s="28"/>
      <c r="FV292" s="28"/>
      <c r="FW292" s="28"/>
      <c r="FX292" s="28"/>
      <c r="FY292" s="28"/>
      <c r="FZ292" s="28"/>
      <c r="GA292" s="28"/>
      <c r="GB292" s="28"/>
      <c r="GC292" s="28"/>
      <c r="GD292" s="28"/>
      <c r="GE292" s="28"/>
      <c r="GF292" s="28"/>
      <c r="GG292" s="28"/>
      <c r="GH292" s="28"/>
      <c r="GI292" s="28"/>
      <c r="GJ292" s="28"/>
      <c r="GK292" s="28"/>
      <c r="GL292" s="28"/>
      <c r="GM292" s="28"/>
      <c r="GN292" s="28"/>
      <c r="GO292" s="28"/>
      <c r="GP292" s="28"/>
      <c r="GQ292" s="28"/>
      <c r="GR292" s="28"/>
      <c r="GS292" s="28"/>
      <c r="GT292" s="28"/>
      <c r="GU292" s="28"/>
      <c r="GV292" s="28"/>
      <c r="GW292" s="28"/>
      <c r="GX292" s="28"/>
      <c r="GY292" s="28"/>
      <c r="GZ292" s="28"/>
      <c r="HA292" s="28"/>
      <c r="HB292" s="28"/>
      <c r="HC292" s="28"/>
      <c r="HD292" s="28"/>
      <c r="HE292" s="28"/>
      <c r="HF292" s="28"/>
      <c r="HG292" s="28"/>
      <c r="HH292" s="28"/>
      <c r="HI292" s="28"/>
      <c r="HJ292" s="28"/>
      <c r="HK292" s="28"/>
      <c r="HL292" s="28"/>
    </row>
    <row r="293" spans="1:220" ht="15" customHeight="1">
      <c r="A293" s="31">
        <v>6</v>
      </c>
      <c r="B293" s="105" t="str">
        <f>VLOOKUP(Ruimtestaat[[#This Row],[Code]],Locaties[[Code]:[Locatie]],2,FALSE)</f>
        <v>IKC Joannes</v>
      </c>
      <c r="C293" s="105" t="str">
        <f>VLOOKUP(Ruimtestaat[[#This Row],[Code]],Locaties[[#All],[Code]:[Adres]],4,FALSE)</f>
        <v>Kerkakkers 4</v>
      </c>
      <c r="D293" s="105" t="str">
        <f>VLOOKUP(Ruimtestaat[[#This Row],[Code]],Locaties[[#All],[Code]:[Postcode]],5,FALSE)</f>
        <v>6923 BZ</v>
      </c>
      <c r="E293" s="105" t="str">
        <f>VLOOKUP(Ruimtestaat[[#This Row],[Code]],Locaties[#All],6,FALSE)</f>
        <v>Groessen</v>
      </c>
      <c r="F293" s="113" t="s">
        <v>1824</v>
      </c>
      <c r="G293" s="31" t="s">
        <v>1645</v>
      </c>
      <c r="H293" s="31" t="s">
        <v>1930</v>
      </c>
      <c r="I293" s="113" t="s">
        <v>1902</v>
      </c>
      <c r="J293" s="31">
        <v>6</v>
      </c>
      <c r="K293" s="113" t="str">
        <f>VLOOKUP(Ruimtestaat[[#This Row],[Ruimte code]],Ruimtegroepen[[#All],[Code]:[Ruimte omschrijving]],2,FALSE)</f>
        <v>Gangen/hallen</v>
      </c>
      <c r="L293" s="31" t="s">
        <v>100</v>
      </c>
      <c r="M293" s="31" t="s">
        <v>1975</v>
      </c>
      <c r="N293" s="106">
        <v>15</v>
      </c>
      <c r="O293" s="112"/>
      <c r="P293" s="112"/>
      <c r="Q293" s="107" t="str">
        <f>VLOOKUP(Ruimtestaat[[#This Row],[Ruimte code]],Ruimtegroepen[],4,FALSE)</f>
        <v>Ve</v>
      </c>
      <c r="R293" s="73">
        <v>40</v>
      </c>
      <c r="S293" s="73" t="s">
        <v>2</v>
      </c>
      <c r="T293" s="73">
        <f>IF(R293&gt;0,IF(RIGHT(Ruimtestaat[[#This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3" s="73">
        <f>IF(T293&gt;0,VLOOKUP($J293,Ruimtegroepen[],3,FALSE)*VLOOKUP($L293,Vloersoorten[],3,FALSE)*VLOOKUP($S293,Frequenties[],3,FALSE)*VLOOKUP($A293,Locaties[],3,FALSE),0)</f>
        <v>0</v>
      </c>
      <c r="V293" s="73">
        <f>Ruimtestaat[[#This Row],[Uitvoeringen werkdagen]]*Ruimtestaat[[#This Row],[Oppervlak (netto)]]</f>
        <v>3000</v>
      </c>
      <c r="W293" s="108">
        <f>IF(U293&gt;0,Ruimtestaat[[#This Row],[Prest. (m2 /jaar) werkdagen]]/Ruimtestaat[[#This Row],[Norm (m2/uur) werkdagen]],0)</f>
        <v>0</v>
      </c>
      <c r="X293" s="109">
        <f>Ruimtestaat[[#This Row],[uren / jaar werkdagen]]*Tariefsopbouw!$E$35</f>
        <v>0</v>
      </c>
      <c r="Y293" s="73"/>
      <c r="Z293" s="73">
        <f>IF(Ruimtestaat[[#This Row],[Frequentie weekend]]&gt;0,VALUE(LEFT(Y293,1))*R293,0)</f>
        <v>0</v>
      </c>
      <c r="AA293" s="72">
        <f>IF($Z293&gt;0,VLOOKUP($J293,Ruimtegroepen[],3,FALSE)*VLOOKUP($L293,Vloersoorten[],3,FALSE)*VLOOKUP($Y293,Frequenties[],3,FALSE)*VLOOKUP(Ruimtestaat[[#This Row],[Code]],Locaties[],3,FALSE),0)</f>
        <v>0</v>
      </c>
      <c r="AB293" s="72">
        <f>Ruimtestaat[[#This Row],[Uitvoeringen weekend]]*Ruimtestaat[[#This Row],[Oppervlak (netto)]]</f>
        <v>0</v>
      </c>
      <c r="AC293" s="72">
        <f>IF(AA293&gt;0,Ruimtestaat[[#This Row],[Prest. (m2 /jaar) weekend]]/Ruimtestaat[[#This Row],[Norm (m2/uur) weekend]],0)</f>
        <v>0</v>
      </c>
      <c r="AD293" s="109">
        <f>Ruimtestaat[[#This Row],[uren / jaar weekend]]*Tariefsopbouw!$D$40</f>
        <v>0</v>
      </c>
      <c r="AE293" s="108">
        <f>Ruimtestaat[[#This Row],[Prest. (m2 /jaar) weekend]]+Ruimtestaat[[#This Row],[Prest. (m2 /jaar) werkdagen]]</f>
        <v>3000</v>
      </c>
      <c r="AF293" s="108">
        <f>Ruimtestaat[[#This Row],[uren / jaar weekend]]+Ruimtestaat[[#This Row],[uren / jaar werkdagen]]</f>
        <v>0</v>
      </c>
      <c r="AG293" s="103">
        <f>Ruimtestaat[[#This Row],[kosten / jaar weekend]]+Ruimtestaat[[#This Row],[kosten / jaar werkdagen]]</f>
        <v>0</v>
      </c>
      <c r="AH293" s="103"/>
      <c r="AI293" s="110" t="str">
        <f>IF(Ruimtestaat[[#This Row],[Frequentie werkdagen]]="","",_xlfn.CONCAT(Ruimtestaat[[#This Row],[Ruimte code]],"-",Ruimtestaat[[#This Row],[Frequentie werkdagen]]," ",Ruimtestaat[[#This Row],[Vloer code]]))</f>
        <v>6-5w L</v>
      </c>
      <c r="AJ293" s="114" t="str">
        <f>_xlfn.IFNA(VLOOKUP($AI293,Programma!$F$3:$G$1101,2,0),"")</f>
        <v>_</v>
      </c>
      <c r="AK293" s="114" t="str">
        <f>_xlfn.IFNA(VLOOKUP($AI293,Programma!$F$3:$H$1101,3,0),"")</f>
        <v>_</v>
      </c>
      <c r="AL293" s="114" t="str">
        <f>_xlfn.IFNA(VLOOKUP($AI293,Programma!$F$3:$I$1101,4,0),"")</f>
        <v>_</v>
      </c>
      <c r="AM293" s="114" t="str">
        <f>_xlfn.IFNA(VLOOKUP($AI293,Programma!$F$3:$J$1101,5,0),"")</f>
        <v>5w</v>
      </c>
      <c r="AN293" s="114" t="str">
        <f>_xlfn.IFNA(VLOOKUP($AI293,Programma!$F$3:$K$1101,6,0),"")</f>
        <v>_</v>
      </c>
      <c r="AO293" s="114" t="str">
        <f>_xlfn.IFNA(VLOOKUP($AI293,Programma!$F$3:$L$1101,7,0),"")</f>
        <v>_</v>
      </c>
      <c r="AP293" s="114" t="str">
        <f>_xlfn.IFNA(VLOOKUP($AI293,Programma!$F$3:$M$1101,8,0),"")</f>
        <v>_</v>
      </c>
      <c r="AQ293" s="114" t="str">
        <f>_xlfn.IFNA(VLOOKUP($AI293,Programma!$F$3:$N$1101,9,0),"")</f>
        <v>_</v>
      </c>
      <c r="AR293" s="114" t="str">
        <f>_xlfn.IFNA(VLOOKUP($AI293,Programma!$F$3:$O$1101,10,0),"")</f>
        <v>5w</v>
      </c>
      <c r="AS293" s="114" t="str">
        <f>_xlfn.IFNA(VLOOKUP($AI293,Programma!$F$3:$P$1101,11,0),"")</f>
        <v>5w</v>
      </c>
      <c r="AT293" s="114" t="str">
        <f>_xlfn.IFNA(VLOOKUP($AI293,Programma!$F$3:$Q$1101,12,0),"")</f>
        <v>1w</v>
      </c>
      <c r="AU293" s="114" t="str">
        <f>_xlfn.IFNA(VLOOKUP($AI293,Programma!$F$3:$R$1101,13,0),"")</f>
        <v>1w</v>
      </c>
      <c r="AV293" s="114" t="str">
        <f>_xlfn.IFNA(VLOOKUP($AI293,Programma!$F$3:$S$1101,14,0),"")</f>
        <v>1m</v>
      </c>
      <c r="AW293" s="114" t="str">
        <f>_xlfn.IFNA(VLOOKUP($AI293,Programma!$F$3:$T$1101,15,0),"")</f>
        <v>2j</v>
      </c>
      <c r="AX293" s="114" t="str">
        <f>_xlfn.IFNA(VLOOKUP($AI293,Programma!$F$3:$U$1101,16,0),"")</f>
        <v>1j</v>
      </c>
      <c r="AY293" s="114" t="str">
        <f>_xlfn.IFNA(VLOOKUP($AI293,Programma!$F$3:$V$1101,17,0),"")</f>
        <v>_</v>
      </c>
      <c r="AZ293" s="114" t="str">
        <f>_xlfn.IFNA(VLOOKUP($AI293,Programma!$F$3:$W$1101,18,0),"")</f>
        <v>_</v>
      </c>
      <c r="BA293" s="114" t="str">
        <f>_xlfn.IFNA(VLOOKUP($AI293,Programma!$F$3:$X$1101,19,0),"")</f>
        <v>_</v>
      </c>
      <c r="BB293" s="114" t="str">
        <f>_xlfn.IFNA(VLOOKUP($AI293,Programma!$F$3:$Y$1101,20,0),"")</f>
        <v>_</v>
      </c>
      <c r="BC293" s="111"/>
      <c r="BD293" s="110" t="str">
        <f>IF(Ruimtestaat[[#This Row],[Frequentie weekend]]="","",_xlfn.CONCAT(Ruimtestaat[[#This Row],[Ruimte code]],"-",Ruimtestaat[[#This Row],[Frequentie weekend]]," ",Ruimtestaat[[#This Row],[Vloer code]]))</f>
        <v/>
      </c>
      <c r="BE293" s="114" t="str">
        <f>_xlfn.IFNA(VLOOKUP($BD293,Programma!$F$3:$G$1101,2,0),"")</f>
        <v/>
      </c>
      <c r="BF293" s="114" t="str">
        <f>_xlfn.IFNA(VLOOKUP($BD293,Programma!$F$3:$H$1101,3,0),"")</f>
        <v/>
      </c>
      <c r="BG293" s="114" t="str">
        <f>_xlfn.IFNA(VLOOKUP($BD293,Programma!$F$3:$I$1101,4,0),"")</f>
        <v/>
      </c>
      <c r="BH293" s="114" t="str">
        <f>_xlfn.IFNA(VLOOKUP($BD293,Programma!$F$3:$J$1101,5,0),"")</f>
        <v/>
      </c>
      <c r="BI293" s="114" t="str">
        <f>_xlfn.IFNA(VLOOKUP($BD293,Programma!$F$3:$K$1101,6,0),"")</f>
        <v/>
      </c>
      <c r="BJ293" s="114" t="str">
        <f>_xlfn.IFNA(VLOOKUP($BD293,Programma!$F$3:$L$1101,7,0),"")</f>
        <v/>
      </c>
      <c r="BK293" s="114" t="str">
        <f>_xlfn.IFNA(VLOOKUP($BD293,Programma!$F$3:$M$1101,8,0),"")</f>
        <v/>
      </c>
      <c r="BL293" s="114" t="str">
        <f>_xlfn.IFNA(VLOOKUP($BD293,Programma!$F$3:$N$1101,9,0),"")</f>
        <v/>
      </c>
      <c r="BM293" s="114" t="str">
        <f>_xlfn.IFNA(VLOOKUP($BD293,Programma!$F$3:$O$1101,10,0),"")</f>
        <v/>
      </c>
      <c r="BN293" s="114" t="str">
        <f>_xlfn.IFNA(VLOOKUP($BD293,Programma!$F$3:$P$1101,11,0),"")</f>
        <v/>
      </c>
      <c r="BO293" s="114" t="str">
        <f>_xlfn.IFNA(VLOOKUP($BD293,Programma!$F$3:$Q$1101,12,0),"")</f>
        <v/>
      </c>
      <c r="BP293" s="114" t="str">
        <f>_xlfn.IFNA(VLOOKUP($BD293,Programma!$F$3:$R$1101,13,0),"")</f>
        <v/>
      </c>
      <c r="BQ293" s="114" t="str">
        <f>_xlfn.IFNA(VLOOKUP($BD293,Programma!$F$3:$S$1101,14,0),"")</f>
        <v/>
      </c>
      <c r="BR293" s="114" t="str">
        <f>_xlfn.IFNA(VLOOKUP($BD293,Programma!$F$3:$T$1101,15,0),"")</f>
        <v/>
      </c>
      <c r="BS293" s="114" t="str">
        <f>_xlfn.IFNA(VLOOKUP($BD293,Programma!$F$3:$U$1101,16,0),"")</f>
        <v/>
      </c>
      <c r="BT293" s="114" t="str">
        <f>_xlfn.IFNA(VLOOKUP($BD293,Programma!$F$3:$V$1101,17,0),"")</f>
        <v/>
      </c>
      <c r="BU293" s="114" t="str">
        <f>_xlfn.IFNA(VLOOKUP($BD293,Programma!$F$3:$W$1101,18,0),"")</f>
        <v/>
      </c>
      <c r="BV293" s="114" t="str">
        <f>_xlfn.IFNA(VLOOKUP($BD293,Programma!$F$3:$X$1101,19,0),"")</f>
        <v/>
      </c>
      <c r="BW293" s="114" t="str">
        <f>_xlfn.IFNA(VLOOKUP($BD293,Programma!$F$3:$Y$1101,20,0),"")</f>
        <v/>
      </c>
      <c r="BX293" s="28"/>
      <c r="BY293" s="28"/>
      <c r="BZ293" s="28"/>
      <c r="CA293" s="28"/>
      <c r="CB293" s="28"/>
      <c r="CC293" s="28"/>
      <c r="CD293" s="28"/>
      <c r="CE293" s="28"/>
      <c r="CF293" s="28"/>
      <c r="CG293" s="28"/>
      <c r="CH293" s="28"/>
      <c r="CI293" s="28"/>
      <c r="CJ293" s="28"/>
      <c r="CK293" s="28"/>
      <c r="CL293" s="28"/>
      <c r="CM293" s="28"/>
      <c r="CN293" s="28"/>
      <c r="CO293" s="28"/>
      <c r="CP293" s="28"/>
      <c r="CQ293" s="28"/>
      <c r="CR293" s="28"/>
      <c r="CS293" s="28"/>
      <c r="CT293" s="28"/>
      <c r="CU293" s="28"/>
      <c r="CV293" s="28"/>
      <c r="CW293" s="28"/>
      <c r="CX293" s="28"/>
      <c r="CY293" s="28"/>
      <c r="CZ293" s="28"/>
      <c r="DA293" s="28"/>
      <c r="DB293" s="28"/>
      <c r="DC293" s="28"/>
      <c r="DD293" s="28"/>
      <c r="DE293" s="28"/>
      <c r="DF293" s="28"/>
      <c r="DG293" s="28"/>
      <c r="DH293" s="28"/>
      <c r="DI293" s="28"/>
      <c r="DJ293" s="28"/>
      <c r="DK293" s="28"/>
      <c r="DL293" s="28"/>
      <c r="DM293" s="28"/>
      <c r="DN293" s="28"/>
      <c r="DO293" s="28"/>
      <c r="DP293" s="28"/>
      <c r="DQ293" s="28"/>
      <c r="DR293" s="28"/>
      <c r="DS293" s="28"/>
      <c r="DT293" s="28"/>
      <c r="DU293" s="28"/>
      <c r="DV293" s="28"/>
      <c r="DW293" s="28"/>
      <c r="DX293" s="28"/>
      <c r="DY293" s="28"/>
      <c r="DZ293" s="28"/>
      <c r="EA293" s="28"/>
      <c r="EB293" s="28"/>
      <c r="EC293" s="28"/>
      <c r="ED293" s="28"/>
      <c r="EE293" s="28"/>
      <c r="EF293" s="28"/>
      <c r="EG293" s="28"/>
      <c r="EH293" s="28"/>
      <c r="EI293" s="28"/>
      <c r="EJ293" s="28"/>
      <c r="EK293" s="28"/>
      <c r="EL293" s="28"/>
      <c r="EM293" s="28"/>
      <c r="EN293" s="28"/>
      <c r="EO293" s="28"/>
      <c r="EP293" s="28"/>
      <c r="EQ293" s="28"/>
      <c r="ER293" s="28"/>
      <c r="ES293" s="28"/>
      <c r="ET293" s="28"/>
      <c r="EU293" s="28"/>
      <c r="EV293" s="28"/>
      <c r="EW293" s="28"/>
      <c r="EX293" s="28"/>
      <c r="EY293" s="28"/>
      <c r="EZ293" s="28"/>
      <c r="FA293" s="28"/>
      <c r="FB293" s="28"/>
      <c r="FC293" s="28"/>
      <c r="FD293" s="28"/>
      <c r="FE293" s="28"/>
      <c r="FF293" s="28"/>
      <c r="FG293" s="28"/>
      <c r="FH293" s="28"/>
      <c r="FI293" s="28"/>
      <c r="FJ293" s="28"/>
      <c r="FK293" s="28"/>
      <c r="FL293" s="28"/>
      <c r="FM293" s="28"/>
      <c r="FN293" s="28"/>
      <c r="FO293" s="28"/>
      <c r="FP293" s="28"/>
      <c r="FQ293" s="28"/>
      <c r="FR293" s="28"/>
      <c r="FS293" s="28"/>
      <c r="FT293" s="28"/>
      <c r="FU293" s="28"/>
      <c r="FV293" s="28"/>
      <c r="FW293" s="28"/>
      <c r="FX293" s="28"/>
      <c r="FY293" s="28"/>
      <c r="FZ293" s="28"/>
      <c r="GA293" s="28"/>
      <c r="GB293" s="28"/>
      <c r="GC293" s="28"/>
      <c r="GD293" s="28"/>
      <c r="GE293" s="28"/>
      <c r="GF293" s="28"/>
      <c r="GG293" s="28"/>
      <c r="GH293" s="28"/>
      <c r="GI293" s="28"/>
      <c r="GJ293" s="28"/>
      <c r="GK293" s="28"/>
      <c r="GL293" s="28"/>
      <c r="GM293" s="28"/>
      <c r="GN293" s="28"/>
      <c r="GO293" s="28"/>
      <c r="GP293" s="28"/>
      <c r="GQ293" s="28"/>
      <c r="GR293" s="28"/>
      <c r="GS293" s="28"/>
      <c r="GT293" s="28"/>
      <c r="GU293" s="28"/>
      <c r="GV293" s="28"/>
      <c r="GW293" s="28"/>
      <c r="GX293" s="28"/>
      <c r="GY293" s="28"/>
      <c r="GZ293" s="28"/>
      <c r="HA293" s="28"/>
      <c r="HB293" s="28"/>
      <c r="HC293" s="28"/>
      <c r="HD293" s="28"/>
      <c r="HE293" s="28"/>
      <c r="HF293" s="28"/>
      <c r="HG293" s="28"/>
      <c r="HH293" s="28"/>
      <c r="HI293" s="28"/>
      <c r="HJ293" s="28"/>
      <c r="HK293" s="28"/>
      <c r="HL293" s="28"/>
    </row>
    <row r="294" spans="1:220" ht="15" customHeight="1">
      <c r="A294" s="31">
        <v>6</v>
      </c>
      <c r="B294" s="105" t="str">
        <f>VLOOKUP(Ruimtestaat[[#This Row],[Code]],Locaties[[Code]:[Locatie]],2,FALSE)</f>
        <v>IKC Joannes</v>
      </c>
      <c r="C294" s="105" t="str">
        <f>VLOOKUP(Ruimtestaat[[#This Row],[Code]],Locaties[[#All],[Code]:[Adres]],4,FALSE)</f>
        <v>Kerkakkers 4</v>
      </c>
      <c r="D294" s="105" t="str">
        <f>VLOOKUP(Ruimtestaat[[#This Row],[Code]],Locaties[[#All],[Code]:[Postcode]],5,FALSE)</f>
        <v>6923 BZ</v>
      </c>
      <c r="E294" s="105" t="str">
        <f>VLOOKUP(Ruimtestaat[[#This Row],[Code]],Locaties[#All],6,FALSE)</f>
        <v>Groessen</v>
      </c>
      <c r="F294" s="113" t="s">
        <v>1824</v>
      </c>
      <c r="G294" s="31" t="s">
        <v>1645</v>
      </c>
      <c r="H294" s="31" t="s">
        <v>1940</v>
      </c>
      <c r="I294" s="113" t="s">
        <v>1743</v>
      </c>
      <c r="J294" s="31">
        <v>5</v>
      </c>
      <c r="K294" s="113" t="str">
        <f>VLOOKUP(Ruimtestaat[[#This Row],[Ruimte code]],Ruimtegroepen[[#All],[Code]:[Ruimte omschrijving]],2,FALSE)</f>
        <v>Sanitair</v>
      </c>
      <c r="L294" s="31" t="s">
        <v>100</v>
      </c>
      <c r="M294" s="31" t="s">
        <v>1975</v>
      </c>
      <c r="N294" s="106">
        <v>4.8400000000000007</v>
      </c>
      <c r="O294" s="112"/>
      <c r="P294" s="112"/>
      <c r="Q294" s="107" t="str">
        <f>VLOOKUP(Ruimtestaat[[#This Row],[Ruimte code]],Ruimtegroepen[],4,FALSE)</f>
        <v>Sa</v>
      </c>
      <c r="R294" s="73">
        <v>40</v>
      </c>
      <c r="S294" s="73" t="s">
        <v>2</v>
      </c>
      <c r="T294" s="73">
        <f>IF(R294&gt;0,IF(RIGHT(Ruimtestaat[[#This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4" s="73">
        <f>IF(T294&gt;0,VLOOKUP($J294,Ruimtegroepen[],3,FALSE)*VLOOKUP($L294,Vloersoorten[],3,FALSE)*VLOOKUP($S294,Frequenties[],3,FALSE)*VLOOKUP($A294,Locaties[],3,FALSE),0)</f>
        <v>0</v>
      </c>
      <c r="V294" s="73">
        <f>Ruimtestaat[[#This Row],[Uitvoeringen werkdagen]]*Ruimtestaat[[#This Row],[Oppervlak (netto)]]</f>
        <v>968.00000000000011</v>
      </c>
      <c r="W294" s="108">
        <f>IF(U294&gt;0,Ruimtestaat[[#This Row],[Prest. (m2 /jaar) werkdagen]]/Ruimtestaat[[#This Row],[Norm (m2/uur) werkdagen]],0)</f>
        <v>0</v>
      </c>
      <c r="X294" s="109">
        <f>Ruimtestaat[[#This Row],[uren / jaar werkdagen]]*Tariefsopbouw!$E$35</f>
        <v>0</v>
      </c>
      <c r="Y294" s="73"/>
      <c r="Z294" s="73">
        <f>IF(Ruimtestaat[[#This Row],[Frequentie weekend]]&gt;0,VALUE(LEFT(Y294,1))*R294,0)</f>
        <v>0</v>
      </c>
      <c r="AA294" s="72">
        <f>IF($Z294&gt;0,VLOOKUP($J294,Ruimtegroepen[],3,FALSE)*VLOOKUP($L294,Vloersoorten[],3,FALSE)*VLOOKUP($Y294,Frequenties[],3,FALSE)*VLOOKUP(Ruimtestaat[[#This Row],[Code]],Locaties[],3,FALSE),0)</f>
        <v>0</v>
      </c>
      <c r="AB294" s="72">
        <f>Ruimtestaat[[#This Row],[Uitvoeringen weekend]]*Ruimtestaat[[#This Row],[Oppervlak (netto)]]</f>
        <v>0</v>
      </c>
      <c r="AC294" s="72">
        <f>IF(AA294&gt;0,Ruimtestaat[[#This Row],[Prest. (m2 /jaar) weekend]]/Ruimtestaat[[#This Row],[Norm (m2/uur) weekend]],0)</f>
        <v>0</v>
      </c>
      <c r="AD294" s="109">
        <f>Ruimtestaat[[#This Row],[uren / jaar weekend]]*Tariefsopbouw!$D$40</f>
        <v>0</v>
      </c>
      <c r="AE294" s="108">
        <f>Ruimtestaat[[#This Row],[Prest. (m2 /jaar) weekend]]+Ruimtestaat[[#This Row],[Prest. (m2 /jaar) werkdagen]]</f>
        <v>968.00000000000011</v>
      </c>
      <c r="AF294" s="108">
        <f>Ruimtestaat[[#This Row],[uren / jaar weekend]]+Ruimtestaat[[#This Row],[uren / jaar werkdagen]]</f>
        <v>0</v>
      </c>
      <c r="AG294" s="103">
        <f>Ruimtestaat[[#This Row],[kosten / jaar weekend]]+Ruimtestaat[[#This Row],[kosten / jaar werkdagen]]</f>
        <v>0</v>
      </c>
      <c r="AH294" s="103"/>
      <c r="AI294" s="110" t="str">
        <f>IF(Ruimtestaat[[#This Row],[Frequentie werkdagen]]="","",_xlfn.CONCAT(Ruimtestaat[[#This Row],[Ruimte code]],"-",Ruimtestaat[[#This Row],[Frequentie werkdagen]]," ",Ruimtestaat[[#This Row],[Vloer code]]))</f>
        <v>5-5w L</v>
      </c>
      <c r="AJ294" s="114" t="str">
        <f>_xlfn.IFNA(VLOOKUP($AI294,Programma!$F$3:$G$1101,2,0),"")</f>
        <v>_</v>
      </c>
      <c r="AK294" s="114" t="str">
        <f>_xlfn.IFNA(VLOOKUP($AI294,Programma!$F$3:$H$1101,3,0),"")</f>
        <v>_</v>
      </c>
      <c r="AL294" s="114" t="str">
        <f>_xlfn.IFNA(VLOOKUP($AI294,Programma!$F$3:$I$1101,4,0),"")</f>
        <v>_</v>
      </c>
      <c r="AM294" s="114" t="str">
        <f>_xlfn.IFNA(VLOOKUP($AI294,Programma!$F$3:$J$1101,5,0),"")</f>
        <v>4w</v>
      </c>
      <c r="AN294" s="114" t="str">
        <f>_xlfn.IFNA(VLOOKUP($AI294,Programma!$F$3:$K$1101,6,0),"")</f>
        <v>1w</v>
      </c>
      <c r="AO294" s="114" t="str">
        <f>_xlfn.IFNA(VLOOKUP($AI294,Programma!$F$3:$L$1101,7,0),"")</f>
        <v>_</v>
      </c>
      <c r="AP294" s="114" t="str">
        <f>_xlfn.IFNA(VLOOKUP($AI294,Programma!$F$3:$M$1101,8,0),"")</f>
        <v>_</v>
      </c>
      <c r="AQ294" s="114" t="str">
        <f>_xlfn.IFNA(VLOOKUP($AI294,Programma!$F$3:$N$1101,9,0),"")</f>
        <v>_</v>
      </c>
      <c r="AR294" s="114" t="str">
        <f>_xlfn.IFNA(VLOOKUP($AI294,Programma!$F$3:$O$1101,10,0),"")</f>
        <v>_</v>
      </c>
      <c r="AS294" s="114" t="str">
        <f>_xlfn.IFNA(VLOOKUP($AI294,Programma!$F$3:$P$1101,11,0),"")</f>
        <v>_</v>
      </c>
      <c r="AT294" s="114" t="str">
        <f>_xlfn.IFNA(VLOOKUP($AI294,Programma!$F$3:$Q$1101,12,0),"")</f>
        <v>_</v>
      </c>
      <c r="AU294" s="114" t="str">
        <f>_xlfn.IFNA(VLOOKUP($AI294,Programma!$F$3:$R$1101,13,0),"")</f>
        <v>_</v>
      </c>
      <c r="AV294" s="114" t="str">
        <f>_xlfn.IFNA(VLOOKUP($AI294,Programma!$F$3:$S$1101,14,0),"")</f>
        <v>_</v>
      </c>
      <c r="AW294" s="114" t="str">
        <f>_xlfn.IFNA(VLOOKUP($AI294,Programma!$F$3:$T$1101,15,0),"")</f>
        <v>_</v>
      </c>
      <c r="AX294" s="114" t="str">
        <f>_xlfn.IFNA(VLOOKUP($AI294,Programma!$F$3:$U$1101,16,0),"")</f>
        <v>_</v>
      </c>
      <c r="AY294" s="114" t="str">
        <f>_xlfn.IFNA(VLOOKUP($AI294,Programma!$F$3:$V$1101,17,0),"")</f>
        <v>_</v>
      </c>
      <c r="AZ294" s="114" t="str">
        <f>_xlfn.IFNA(VLOOKUP($AI294,Programma!$F$3:$W$1101,18,0),"")</f>
        <v>4w</v>
      </c>
      <c r="BA294" s="114" t="str">
        <f>_xlfn.IFNA(VLOOKUP($AI294,Programma!$F$3:$X$1101,19,0),"")</f>
        <v>1w</v>
      </c>
      <c r="BB294" s="114" t="str">
        <f>_xlfn.IFNA(VLOOKUP($AI294,Programma!$F$3:$Y$1101,20,0),"")</f>
        <v>_</v>
      </c>
      <c r="BC294" s="111"/>
      <c r="BD294" s="110" t="str">
        <f>IF(Ruimtestaat[[#This Row],[Frequentie weekend]]="","",_xlfn.CONCAT(Ruimtestaat[[#This Row],[Ruimte code]],"-",Ruimtestaat[[#This Row],[Frequentie weekend]]," ",Ruimtestaat[[#This Row],[Vloer code]]))</f>
        <v/>
      </c>
      <c r="BE294" s="114" t="str">
        <f>_xlfn.IFNA(VLOOKUP($BD294,Programma!$F$3:$G$1101,2,0),"")</f>
        <v/>
      </c>
      <c r="BF294" s="114" t="str">
        <f>_xlfn.IFNA(VLOOKUP($BD294,Programma!$F$3:$H$1101,3,0),"")</f>
        <v/>
      </c>
      <c r="BG294" s="114" t="str">
        <f>_xlfn.IFNA(VLOOKUP($BD294,Programma!$F$3:$I$1101,4,0),"")</f>
        <v/>
      </c>
      <c r="BH294" s="114" t="str">
        <f>_xlfn.IFNA(VLOOKUP($BD294,Programma!$F$3:$J$1101,5,0),"")</f>
        <v/>
      </c>
      <c r="BI294" s="114" t="str">
        <f>_xlfn.IFNA(VLOOKUP($BD294,Programma!$F$3:$K$1101,6,0),"")</f>
        <v/>
      </c>
      <c r="BJ294" s="114" t="str">
        <f>_xlfn.IFNA(VLOOKUP($BD294,Programma!$F$3:$L$1101,7,0),"")</f>
        <v/>
      </c>
      <c r="BK294" s="114" t="str">
        <f>_xlfn.IFNA(VLOOKUP($BD294,Programma!$F$3:$M$1101,8,0),"")</f>
        <v/>
      </c>
      <c r="BL294" s="114" t="str">
        <f>_xlfn.IFNA(VLOOKUP($BD294,Programma!$F$3:$N$1101,9,0),"")</f>
        <v/>
      </c>
      <c r="BM294" s="114" t="str">
        <f>_xlfn.IFNA(VLOOKUP($BD294,Programma!$F$3:$O$1101,10,0),"")</f>
        <v/>
      </c>
      <c r="BN294" s="114" t="str">
        <f>_xlfn.IFNA(VLOOKUP($BD294,Programma!$F$3:$P$1101,11,0),"")</f>
        <v/>
      </c>
      <c r="BO294" s="114" t="str">
        <f>_xlfn.IFNA(VLOOKUP($BD294,Programma!$F$3:$Q$1101,12,0),"")</f>
        <v/>
      </c>
      <c r="BP294" s="114" t="str">
        <f>_xlfn.IFNA(VLOOKUP($BD294,Programma!$F$3:$R$1101,13,0),"")</f>
        <v/>
      </c>
      <c r="BQ294" s="114" t="str">
        <f>_xlfn.IFNA(VLOOKUP($BD294,Programma!$F$3:$S$1101,14,0),"")</f>
        <v/>
      </c>
      <c r="BR294" s="114" t="str">
        <f>_xlfn.IFNA(VLOOKUP($BD294,Programma!$F$3:$T$1101,15,0),"")</f>
        <v/>
      </c>
      <c r="BS294" s="114" t="str">
        <f>_xlfn.IFNA(VLOOKUP($BD294,Programma!$F$3:$U$1101,16,0),"")</f>
        <v/>
      </c>
      <c r="BT294" s="114" t="str">
        <f>_xlfn.IFNA(VLOOKUP($BD294,Programma!$F$3:$V$1101,17,0),"")</f>
        <v/>
      </c>
      <c r="BU294" s="114" t="str">
        <f>_xlfn.IFNA(VLOOKUP($BD294,Programma!$F$3:$W$1101,18,0),"")</f>
        <v/>
      </c>
      <c r="BV294" s="114" t="str">
        <f>_xlfn.IFNA(VLOOKUP($BD294,Programma!$F$3:$X$1101,19,0),"")</f>
        <v/>
      </c>
      <c r="BW294" s="114" t="str">
        <f>_xlfn.IFNA(VLOOKUP($BD294,Programma!$F$3:$Y$1101,20,0),"")</f>
        <v/>
      </c>
      <c r="BX294" s="28"/>
      <c r="BY294" s="28"/>
      <c r="BZ294" s="28"/>
      <c r="CA294" s="28"/>
      <c r="CB294" s="28"/>
      <c r="CC294" s="28"/>
      <c r="CD294" s="28"/>
      <c r="CE294" s="28"/>
      <c r="CF294" s="28"/>
      <c r="CG294" s="28"/>
      <c r="CH294" s="28"/>
      <c r="CI294" s="28"/>
      <c r="CJ294" s="28"/>
      <c r="CK294" s="28"/>
      <c r="CL294" s="28"/>
      <c r="CM294" s="28"/>
      <c r="CN294" s="28"/>
      <c r="CO294" s="28"/>
      <c r="CP294" s="28"/>
      <c r="CQ294" s="28"/>
      <c r="CR294" s="28"/>
      <c r="CS294" s="28"/>
      <c r="CT294" s="28"/>
      <c r="CU294" s="28"/>
      <c r="CV294" s="28"/>
      <c r="CW294" s="28"/>
      <c r="CX294" s="28"/>
      <c r="CY294" s="28"/>
      <c r="CZ294" s="28"/>
      <c r="DA294" s="28"/>
      <c r="DB294" s="28"/>
      <c r="DC294" s="28"/>
      <c r="DD294" s="28"/>
      <c r="DE294" s="28"/>
      <c r="DF294" s="28"/>
      <c r="DG294" s="28"/>
      <c r="DH294" s="28"/>
      <c r="DI294" s="28"/>
      <c r="DJ294" s="28"/>
      <c r="DK294" s="28"/>
      <c r="DL294" s="28"/>
      <c r="DM294" s="28"/>
      <c r="DN294" s="28"/>
      <c r="DO294" s="28"/>
      <c r="DP294" s="28"/>
      <c r="DQ294" s="28"/>
      <c r="DR294" s="28"/>
      <c r="DS294" s="28"/>
      <c r="DT294" s="28"/>
      <c r="DU294" s="28"/>
      <c r="DV294" s="28"/>
      <c r="DW294" s="28"/>
      <c r="DX294" s="28"/>
      <c r="DY294" s="28"/>
      <c r="DZ294" s="28"/>
      <c r="EA294" s="28"/>
      <c r="EB294" s="28"/>
      <c r="EC294" s="28"/>
      <c r="ED294" s="28"/>
      <c r="EE294" s="28"/>
      <c r="EF294" s="28"/>
      <c r="EG294" s="28"/>
      <c r="EH294" s="28"/>
      <c r="EI294" s="28"/>
      <c r="EJ294" s="28"/>
      <c r="EK294" s="28"/>
      <c r="EL294" s="28"/>
      <c r="EM294" s="28"/>
      <c r="EN294" s="28"/>
      <c r="EO294" s="28"/>
      <c r="EP294" s="28"/>
      <c r="EQ294" s="28"/>
      <c r="ER294" s="28"/>
      <c r="ES294" s="28"/>
      <c r="ET294" s="28"/>
      <c r="EU294" s="28"/>
      <c r="EV294" s="28"/>
      <c r="EW294" s="28"/>
      <c r="EX294" s="28"/>
      <c r="EY294" s="28"/>
      <c r="EZ294" s="28"/>
      <c r="FA294" s="28"/>
      <c r="FB294" s="28"/>
      <c r="FC294" s="28"/>
      <c r="FD294" s="28"/>
      <c r="FE294" s="28"/>
      <c r="FF294" s="28"/>
      <c r="FG294" s="28"/>
      <c r="FH294" s="28"/>
      <c r="FI294" s="28"/>
      <c r="FJ294" s="28"/>
      <c r="FK294" s="28"/>
      <c r="FL294" s="28"/>
      <c r="FM294" s="28"/>
      <c r="FN294" s="28"/>
      <c r="FO294" s="28"/>
      <c r="FP294" s="28"/>
      <c r="FQ294" s="28"/>
      <c r="FR294" s="28"/>
      <c r="FS294" s="28"/>
      <c r="FT294" s="28"/>
      <c r="FU294" s="28"/>
      <c r="FV294" s="28"/>
      <c r="FW294" s="28"/>
      <c r="FX294" s="28"/>
      <c r="FY294" s="28"/>
      <c r="FZ294" s="28"/>
      <c r="GA294" s="28"/>
      <c r="GB294" s="28"/>
      <c r="GC294" s="28"/>
      <c r="GD294" s="28"/>
      <c r="GE294" s="28"/>
      <c r="GF294" s="28"/>
      <c r="GG294" s="28"/>
      <c r="GH294" s="28"/>
      <c r="GI294" s="28"/>
      <c r="GJ294" s="28"/>
      <c r="GK294" s="28"/>
      <c r="GL294" s="28"/>
      <c r="GM294" s="28"/>
      <c r="GN294" s="28"/>
      <c r="GO294" s="28"/>
      <c r="GP294" s="28"/>
      <c r="GQ294" s="28"/>
      <c r="GR294" s="28"/>
      <c r="GS294" s="28"/>
      <c r="GT294" s="28"/>
      <c r="GU294" s="28"/>
      <c r="GV294" s="28"/>
      <c r="GW294" s="28"/>
      <c r="GX294" s="28"/>
      <c r="GY294" s="28"/>
      <c r="GZ294" s="28"/>
      <c r="HA294" s="28"/>
      <c r="HB294" s="28"/>
      <c r="HC294" s="28"/>
      <c r="HD294" s="28"/>
      <c r="HE294" s="28"/>
      <c r="HF294" s="28"/>
      <c r="HG294" s="28"/>
      <c r="HH294" s="28"/>
      <c r="HI294" s="28"/>
      <c r="HJ294" s="28"/>
      <c r="HK294" s="28"/>
      <c r="HL294" s="28"/>
    </row>
    <row r="295" spans="1:220" ht="15" customHeight="1">
      <c r="A295" s="31">
        <v>6</v>
      </c>
      <c r="B295" s="105" t="str">
        <f>VLOOKUP(Ruimtestaat[[#This Row],[Code]],Locaties[[Code]:[Locatie]],2,FALSE)</f>
        <v>IKC Joannes</v>
      </c>
      <c r="C295" s="105" t="str">
        <f>VLOOKUP(Ruimtestaat[[#This Row],[Code]],Locaties[[#All],[Code]:[Adres]],4,FALSE)</f>
        <v>Kerkakkers 4</v>
      </c>
      <c r="D295" s="105" t="str">
        <f>VLOOKUP(Ruimtestaat[[#This Row],[Code]],Locaties[[#All],[Code]:[Postcode]],5,FALSE)</f>
        <v>6923 BZ</v>
      </c>
      <c r="E295" s="105" t="str">
        <f>VLOOKUP(Ruimtestaat[[#This Row],[Code]],Locaties[#All],6,FALSE)</f>
        <v>Groessen</v>
      </c>
      <c r="F295" s="113"/>
      <c r="G295" s="31" t="s">
        <v>1645</v>
      </c>
      <c r="H295" s="31" t="s">
        <v>1754</v>
      </c>
      <c r="I295" s="113" t="s">
        <v>1676</v>
      </c>
      <c r="J295" s="31">
        <v>16</v>
      </c>
      <c r="K295" s="113" t="str">
        <f>VLOOKUP(Ruimtestaat[[#This Row],[Ruimte code]],Ruimtegroepen[[#All],[Code]:[Ruimte omschrijving]],2,FALSE)</f>
        <v>Leslokalen</v>
      </c>
      <c r="L295" s="31" t="s">
        <v>99</v>
      </c>
      <c r="M295" s="31" t="s">
        <v>36</v>
      </c>
      <c r="N295" s="106">
        <v>58.08</v>
      </c>
      <c r="O295" s="112"/>
      <c r="P295" s="112"/>
      <c r="Q295" s="107" t="str">
        <f>VLOOKUP(Ruimtestaat[[#This Row],[Ruimte code]],Ruimtegroepen[],4,FALSE)</f>
        <v>Le</v>
      </c>
      <c r="R295" s="73">
        <v>40</v>
      </c>
      <c r="S295" s="73" t="s">
        <v>2</v>
      </c>
      <c r="T295" s="73">
        <f>IF(R295&gt;0,IF(RIGHT(Ruimtestaat[[#This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5" s="73">
        <f>IF(T295&gt;0,VLOOKUP($J295,Ruimtegroepen[],3,FALSE)*VLOOKUP($L295,Vloersoorten[],3,FALSE)*VLOOKUP($S295,Frequenties[],3,FALSE)*VLOOKUP($A295,Locaties[],3,FALSE),0)</f>
        <v>0</v>
      </c>
      <c r="V295" s="73">
        <f>Ruimtestaat[[#This Row],[Uitvoeringen werkdagen]]*Ruimtestaat[[#This Row],[Oppervlak (netto)]]</f>
        <v>11616</v>
      </c>
      <c r="W295" s="108">
        <f>IF(U295&gt;0,Ruimtestaat[[#This Row],[Prest. (m2 /jaar) werkdagen]]/Ruimtestaat[[#This Row],[Norm (m2/uur) werkdagen]],0)</f>
        <v>0</v>
      </c>
      <c r="X295" s="109">
        <f>Ruimtestaat[[#This Row],[uren / jaar werkdagen]]*Tariefsopbouw!$E$35</f>
        <v>0</v>
      </c>
      <c r="Y295" s="73"/>
      <c r="Z295" s="73">
        <f>IF(Ruimtestaat[[#This Row],[Frequentie weekend]]&gt;0,VALUE(LEFT(Y295,1))*R295,0)</f>
        <v>0</v>
      </c>
      <c r="AA295" s="72">
        <f>IF($Z295&gt;0,VLOOKUP($J295,Ruimtegroepen[],3,FALSE)*VLOOKUP($L295,Vloersoorten[],3,FALSE)*VLOOKUP($Y295,Frequenties[],3,FALSE)*VLOOKUP(Ruimtestaat[[#This Row],[Code]],Locaties[],3,FALSE),0)</f>
        <v>0</v>
      </c>
      <c r="AB295" s="72">
        <f>Ruimtestaat[[#This Row],[Uitvoeringen weekend]]*Ruimtestaat[[#This Row],[Oppervlak (netto)]]</f>
        <v>0</v>
      </c>
      <c r="AC295" s="72">
        <f>IF(AA295&gt;0,Ruimtestaat[[#This Row],[Prest. (m2 /jaar) weekend]]/Ruimtestaat[[#This Row],[Norm (m2/uur) weekend]],0)</f>
        <v>0</v>
      </c>
      <c r="AD295" s="109">
        <f>Ruimtestaat[[#This Row],[uren / jaar weekend]]*Tariefsopbouw!$D$40</f>
        <v>0</v>
      </c>
      <c r="AE295" s="108">
        <f>Ruimtestaat[[#This Row],[Prest. (m2 /jaar) weekend]]+Ruimtestaat[[#This Row],[Prest. (m2 /jaar) werkdagen]]</f>
        <v>11616</v>
      </c>
      <c r="AF295" s="108">
        <f>Ruimtestaat[[#This Row],[uren / jaar weekend]]+Ruimtestaat[[#This Row],[uren / jaar werkdagen]]</f>
        <v>0</v>
      </c>
      <c r="AG295" s="103">
        <f>Ruimtestaat[[#This Row],[kosten / jaar weekend]]+Ruimtestaat[[#This Row],[kosten / jaar werkdagen]]</f>
        <v>0</v>
      </c>
      <c r="AH295" s="103"/>
      <c r="AI295" s="110" t="str">
        <f>IF(Ruimtestaat[[#This Row],[Frequentie werkdagen]]="","",_xlfn.CONCAT(Ruimtestaat[[#This Row],[Ruimte code]],"-",Ruimtestaat[[#This Row],[Frequentie werkdagen]]," ",Ruimtestaat[[#This Row],[Vloer code]]))</f>
        <v>16-5w T</v>
      </c>
      <c r="AJ295" s="114" t="str">
        <f>_xlfn.IFNA(VLOOKUP($AI295,Programma!$F$3:$G$1101,2,0),"")</f>
        <v>3w</v>
      </c>
      <c r="AK295" s="114" t="str">
        <f>_xlfn.IFNA(VLOOKUP($AI295,Programma!$F$3:$H$1101,3,0),"")</f>
        <v>2w</v>
      </c>
      <c r="AL295" s="114" t="str">
        <f>_xlfn.IFNA(VLOOKUP($AI295,Programma!$F$3:$I$1101,4,0),"")</f>
        <v>_</v>
      </c>
      <c r="AM295" s="114" t="str">
        <f>_xlfn.IFNA(VLOOKUP($AI295,Programma!$F$3:$J$1101,5,0),"")</f>
        <v>_</v>
      </c>
      <c r="AN295" s="114" t="str">
        <f>_xlfn.IFNA(VLOOKUP($AI295,Programma!$F$3:$K$1101,6,0),"")</f>
        <v>_</v>
      </c>
      <c r="AO295" s="114" t="str">
        <f>_xlfn.IFNA(VLOOKUP($AI295,Programma!$F$3:$L$1101,7,0),"")</f>
        <v>_</v>
      </c>
      <c r="AP295" s="114" t="str">
        <f>_xlfn.IFNA(VLOOKUP($AI295,Programma!$F$3:$M$1101,8,0),"")</f>
        <v>_</v>
      </c>
      <c r="AQ295" s="114" t="str">
        <f>_xlfn.IFNA(VLOOKUP($AI295,Programma!$F$3:$N$1101,9,0),"")</f>
        <v>_</v>
      </c>
      <c r="AR295" s="114" t="str">
        <f>_xlfn.IFNA(VLOOKUP($AI295,Programma!$F$3:$O$1101,10,0),"")</f>
        <v>5w</v>
      </c>
      <c r="AS295" s="114" t="str">
        <f>_xlfn.IFNA(VLOOKUP($AI295,Programma!$F$3:$P$1101,11,0),"")</f>
        <v>5w</v>
      </c>
      <c r="AT295" s="114" t="str">
        <f>_xlfn.IFNA(VLOOKUP($AI295,Programma!$F$3:$Q$1101,12,0),"")</f>
        <v>1w</v>
      </c>
      <c r="AU295" s="114" t="str">
        <f>_xlfn.IFNA(VLOOKUP($AI295,Programma!$F$3:$R$1101,13,0),"")</f>
        <v>1w</v>
      </c>
      <c r="AV295" s="114" t="str">
        <f>_xlfn.IFNA(VLOOKUP($AI295,Programma!$F$3:$S$1101,14,0),"")</f>
        <v>1m</v>
      </c>
      <c r="AW295" s="114" t="str">
        <f>_xlfn.IFNA(VLOOKUP($AI295,Programma!$F$3:$T$1101,15,0),"")</f>
        <v>2j</v>
      </c>
      <c r="AX295" s="114" t="str">
        <f>_xlfn.IFNA(VLOOKUP($AI295,Programma!$F$3:$U$1101,16,0),"")</f>
        <v>1j</v>
      </c>
      <c r="AY295" s="114" t="str">
        <f>_xlfn.IFNA(VLOOKUP($AI295,Programma!$F$3:$V$1101,17,0),"")</f>
        <v>_</v>
      </c>
      <c r="AZ295" s="114" t="str">
        <f>_xlfn.IFNA(VLOOKUP($AI295,Programma!$F$3:$W$1101,18,0),"")</f>
        <v>_</v>
      </c>
      <c r="BA295" s="114" t="str">
        <f>_xlfn.IFNA(VLOOKUP($AI295,Programma!$F$3:$X$1101,19,0),"")</f>
        <v>_</v>
      </c>
      <c r="BB295" s="114" t="str">
        <f>_xlfn.IFNA(VLOOKUP($AI295,Programma!$F$3:$Y$1101,20,0),"")</f>
        <v>_</v>
      </c>
      <c r="BC295" s="111"/>
      <c r="BD295" s="110" t="str">
        <f>IF(Ruimtestaat[[#This Row],[Frequentie weekend]]="","",_xlfn.CONCAT(Ruimtestaat[[#This Row],[Ruimte code]],"-",Ruimtestaat[[#This Row],[Frequentie weekend]]," ",Ruimtestaat[[#This Row],[Vloer code]]))</f>
        <v/>
      </c>
      <c r="BE295" s="114" t="str">
        <f>_xlfn.IFNA(VLOOKUP($BD295,Programma!$F$3:$G$1101,2,0),"")</f>
        <v/>
      </c>
      <c r="BF295" s="114" t="str">
        <f>_xlfn.IFNA(VLOOKUP($BD295,Programma!$F$3:$H$1101,3,0),"")</f>
        <v/>
      </c>
      <c r="BG295" s="114" t="str">
        <f>_xlfn.IFNA(VLOOKUP($BD295,Programma!$F$3:$I$1101,4,0),"")</f>
        <v/>
      </c>
      <c r="BH295" s="114" t="str">
        <f>_xlfn.IFNA(VLOOKUP($BD295,Programma!$F$3:$J$1101,5,0),"")</f>
        <v/>
      </c>
      <c r="BI295" s="114" t="str">
        <f>_xlfn.IFNA(VLOOKUP($BD295,Programma!$F$3:$K$1101,6,0),"")</f>
        <v/>
      </c>
      <c r="BJ295" s="114" t="str">
        <f>_xlfn.IFNA(VLOOKUP($BD295,Programma!$F$3:$L$1101,7,0),"")</f>
        <v/>
      </c>
      <c r="BK295" s="114" t="str">
        <f>_xlfn.IFNA(VLOOKUP($BD295,Programma!$F$3:$M$1101,8,0),"")</f>
        <v/>
      </c>
      <c r="BL295" s="114" t="str">
        <f>_xlfn.IFNA(VLOOKUP($BD295,Programma!$F$3:$N$1101,9,0),"")</f>
        <v/>
      </c>
      <c r="BM295" s="114" t="str">
        <f>_xlfn.IFNA(VLOOKUP($BD295,Programma!$F$3:$O$1101,10,0),"")</f>
        <v/>
      </c>
      <c r="BN295" s="114" t="str">
        <f>_xlfn.IFNA(VLOOKUP($BD295,Programma!$F$3:$P$1101,11,0),"")</f>
        <v/>
      </c>
      <c r="BO295" s="114" t="str">
        <f>_xlfn.IFNA(VLOOKUP($BD295,Programma!$F$3:$Q$1101,12,0),"")</f>
        <v/>
      </c>
      <c r="BP295" s="114" t="str">
        <f>_xlfn.IFNA(VLOOKUP($BD295,Programma!$F$3:$R$1101,13,0),"")</f>
        <v/>
      </c>
      <c r="BQ295" s="114" t="str">
        <f>_xlfn.IFNA(VLOOKUP($BD295,Programma!$F$3:$S$1101,14,0),"")</f>
        <v/>
      </c>
      <c r="BR295" s="114" t="str">
        <f>_xlfn.IFNA(VLOOKUP($BD295,Programma!$F$3:$T$1101,15,0),"")</f>
        <v/>
      </c>
      <c r="BS295" s="114" t="str">
        <f>_xlfn.IFNA(VLOOKUP($BD295,Programma!$F$3:$U$1101,16,0),"")</f>
        <v/>
      </c>
      <c r="BT295" s="114" t="str">
        <f>_xlfn.IFNA(VLOOKUP($BD295,Programma!$F$3:$V$1101,17,0),"")</f>
        <v/>
      </c>
      <c r="BU295" s="114" t="str">
        <f>_xlfn.IFNA(VLOOKUP($BD295,Programma!$F$3:$W$1101,18,0),"")</f>
        <v/>
      </c>
      <c r="BV295" s="114" t="str">
        <f>_xlfn.IFNA(VLOOKUP($BD295,Programma!$F$3:$X$1101,19,0),"")</f>
        <v/>
      </c>
      <c r="BW295" s="114" t="str">
        <f>_xlfn.IFNA(VLOOKUP($BD295,Programma!$F$3:$Y$1101,20,0),"")</f>
        <v/>
      </c>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row>
    <row r="296" spans="1:220" ht="15" customHeight="1">
      <c r="A296" s="31">
        <v>6</v>
      </c>
      <c r="B296" s="105" t="str">
        <f>VLOOKUP(Ruimtestaat[[#This Row],[Code]],Locaties[[Code]:[Locatie]],2,FALSE)</f>
        <v>IKC Joannes</v>
      </c>
      <c r="C296" s="105" t="str">
        <f>VLOOKUP(Ruimtestaat[[#This Row],[Code]],Locaties[[#All],[Code]:[Adres]],4,FALSE)</f>
        <v>Kerkakkers 4</v>
      </c>
      <c r="D296" s="105" t="str">
        <f>VLOOKUP(Ruimtestaat[[#This Row],[Code]],Locaties[[#All],[Code]:[Postcode]],5,FALSE)</f>
        <v>6923 BZ</v>
      </c>
      <c r="E296" s="105" t="str">
        <f>VLOOKUP(Ruimtestaat[[#This Row],[Code]],Locaties[#All],6,FALSE)</f>
        <v>Groessen</v>
      </c>
      <c r="F296" s="113"/>
      <c r="G296" s="31" t="s">
        <v>1645</v>
      </c>
      <c r="H296" s="31" t="s">
        <v>1755</v>
      </c>
      <c r="I296" s="113" t="s">
        <v>1903</v>
      </c>
      <c r="J296" s="31">
        <v>6</v>
      </c>
      <c r="K296" s="113" t="str">
        <f>VLOOKUP(Ruimtestaat[[#This Row],[Ruimte code]],Ruimtegroepen[[#All],[Code]:[Ruimte omschrijving]],2,FALSE)</f>
        <v>Gangen/hallen</v>
      </c>
      <c r="L296" s="31" t="s">
        <v>100</v>
      </c>
      <c r="M296" s="31" t="s">
        <v>1975</v>
      </c>
      <c r="N296" s="106">
        <v>41.599999999999994</v>
      </c>
      <c r="O296" s="112"/>
      <c r="P296" s="112"/>
      <c r="Q296" s="107" t="str">
        <f>VLOOKUP(Ruimtestaat[[#This Row],[Ruimte code]],Ruimtegroepen[],4,FALSE)</f>
        <v>Ve</v>
      </c>
      <c r="R296" s="73">
        <v>40</v>
      </c>
      <c r="S296" s="73" t="s">
        <v>2</v>
      </c>
      <c r="T296" s="73">
        <f>IF(R296&gt;0,IF(RIGHT(Ruimtestaat[[#This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6" s="73">
        <f>IF(T296&gt;0,VLOOKUP($J296,Ruimtegroepen[],3,FALSE)*VLOOKUP($L296,Vloersoorten[],3,FALSE)*VLOOKUP($S296,Frequenties[],3,FALSE)*VLOOKUP($A296,Locaties[],3,FALSE),0)</f>
        <v>0</v>
      </c>
      <c r="V296" s="73">
        <f>Ruimtestaat[[#This Row],[Uitvoeringen werkdagen]]*Ruimtestaat[[#This Row],[Oppervlak (netto)]]</f>
        <v>8319.9999999999982</v>
      </c>
      <c r="W296" s="108">
        <f>IF(U296&gt;0,Ruimtestaat[[#This Row],[Prest. (m2 /jaar) werkdagen]]/Ruimtestaat[[#This Row],[Norm (m2/uur) werkdagen]],0)</f>
        <v>0</v>
      </c>
      <c r="X296" s="109">
        <f>Ruimtestaat[[#This Row],[uren / jaar werkdagen]]*Tariefsopbouw!$E$35</f>
        <v>0</v>
      </c>
      <c r="Y296" s="73"/>
      <c r="Z296" s="73">
        <f>IF(Ruimtestaat[[#This Row],[Frequentie weekend]]&gt;0,VALUE(LEFT(Y296,1))*R296,0)</f>
        <v>0</v>
      </c>
      <c r="AA296" s="72">
        <f>IF($Z296&gt;0,VLOOKUP($J296,Ruimtegroepen[],3,FALSE)*VLOOKUP($L296,Vloersoorten[],3,FALSE)*VLOOKUP($Y296,Frequenties[],3,FALSE)*VLOOKUP(Ruimtestaat[[#This Row],[Code]],Locaties[],3,FALSE),0)</f>
        <v>0</v>
      </c>
      <c r="AB296" s="72">
        <f>Ruimtestaat[[#This Row],[Uitvoeringen weekend]]*Ruimtestaat[[#This Row],[Oppervlak (netto)]]</f>
        <v>0</v>
      </c>
      <c r="AC296" s="72">
        <f>IF(AA296&gt;0,Ruimtestaat[[#This Row],[Prest. (m2 /jaar) weekend]]/Ruimtestaat[[#This Row],[Norm (m2/uur) weekend]],0)</f>
        <v>0</v>
      </c>
      <c r="AD296" s="109">
        <f>Ruimtestaat[[#This Row],[uren / jaar weekend]]*Tariefsopbouw!$D$40</f>
        <v>0</v>
      </c>
      <c r="AE296" s="108">
        <f>Ruimtestaat[[#This Row],[Prest. (m2 /jaar) weekend]]+Ruimtestaat[[#This Row],[Prest. (m2 /jaar) werkdagen]]</f>
        <v>8319.9999999999982</v>
      </c>
      <c r="AF296" s="108">
        <f>Ruimtestaat[[#This Row],[uren / jaar weekend]]+Ruimtestaat[[#This Row],[uren / jaar werkdagen]]</f>
        <v>0</v>
      </c>
      <c r="AG296" s="103">
        <f>Ruimtestaat[[#This Row],[kosten / jaar weekend]]+Ruimtestaat[[#This Row],[kosten / jaar werkdagen]]</f>
        <v>0</v>
      </c>
      <c r="AH296" s="103"/>
      <c r="AI296" s="110" t="str">
        <f>IF(Ruimtestaat[[#This Row],[Frequentie werkdagen]]="","",_xlfn.CONCAT(Ruimtestaat[[#This Row],[Ruimte code]],"-",Ruimtestaat[[#This Row],[Frequentie werkdagen]]," ",Ruimtestaat[[#This Row],[Vloer code]]))</f>
        <v>6-5w L</v>
      </c>
      <c r="AJ296" s="114" t="str">
        <f>_xlfn.IFNA(VLOOKUP($AI296,Programma!$F$3:$G$1101,2,0),"")</f>
        <v>_</v>
      </c>
      <c r="AK296" s="114" t="str">
        <f>_xlfn.IFNA(VLOOKUP($AI296,Programma!$F$3:$H$1101,3,0),"")</f>
        <v>_</v>
      </c>
      <c r="AL296" s="114" t="str">
        <f>_xlfn.IFNA(VLOOKUP($AI296,Programma!$F$3:$I$1101,4,0),"")</f>
        <v>_</v>
      </c>
      <c r="AM296" s="114" t="str">
        <f>_xlfn.IFNA(VLOOKUP($AI296,Programma!$F$3:$J$1101,5,0),"")</f>
        <v>5w</v>
      </c>
      <c r="AN296" s="114" t="str">
        <f>_xlfn.IFNA(VLOOKUP($AI296,Programma!$F$3:$K$1101,6,0),"")</f>
        <v>_</v>
      </c>
      <c r="AO296" s="114" t="str">
        <f>_xlfn.IFNA(VLOOKUP($AI296,Programma!$F$3:$L$1101,7,0),"")</f>
        <v>_</v>
      </c>
      <c r="AP296" s="114" t="str">
        <f>_xlfn.IFNA(VLOOKUP($AI296,Programma!$F$3:$M$1101,8,0),"")</f>
        <v>_</v>
      </c>
      <c r="AQ296" s="114" t="str">
        <f>_xlfn.IFNA(VLOOKUP($AI296,Programma!$F$3:$N$1101,9,0),"")</f>
        <v>_</v>
      </c>
      <c r="AR296" s="114" t="str">
        <f>_xlfn.IFNA(VLOOKUP($AI296,Programma!$F$3:$O$1101,10,0),"")</f>
        <v>5w</v>
      </c>
      <c r="AS296" s="114" t="str">
        <f>_xlfn.IFNA(VLOOKUP($AI296,Programma!$F$3:$P$1101,11,0),"")</f>
        <v>5w</v>
      </c>
      <c r="AT296" s="114" t="str">
        <f>_xlfn.IFNA(VLOOKUP($AI296,Programma!$F$3:$Q$1101,12,0),"")</f>
        <v>1w</v>
      </c>
      <c r="AU296" s="114" t="str">
        <f>_xlfn.IFNA(VLOOKUP($AI296,Programma!$F$3:$R$1101,13,0),"")</f>
        <v>1w</v>
      </c>
      <c r="AV296" s="114" t="str">
        <f>_xlfn.IFNA(VLOOKUP($AI296,Programma!$F$3:$S$1101,14,0),"")</f>
        <v>1m</v>
      </c>
      <c r="AW296" s="114" t="str">
        <f>_xlfn.IFNA(VLOOKUP($AI296,Programma!$F$3:$T$1101,15,0),"")</f>
        <v>2j</v>
      </c>
      <c r="AX296" s="114" t="str">
        <f>_xlfn.IFNA(VLOOKUP($AI296,Programma!$F$3:$U$1101,16,0),"")</f>
        <v>1j</v>
      </c>
      <c r="AY296" s="114" t="str">
        <f>_xlfn.IFNA(VLOOKUP($AI296,Programma!$F$3:$V$1101,17,0),"")</f>
        <v>_</v>
      </c>
      <c r="AZ296" s="114" t="str">
        <f>_xlfn.IFNA(VLOOKUP($AI296,Programma!$F$3:$W$1101,18,0),"")</f>
        <v>_</v>
      </c>
      <c r="BA296" s="114" t="str">
        <f>_xlfn.IFNA(VLOOKUP($AI296,Programma!$F$3:$X$1101,19,0),"")</f>
        <v>_</v>
      </c>
      <c r="BB296" s="114" t="str">
        <f>_xlfn.IFNA(VLOOKUP($AI296,Programma!$F$3:$Y$1101,20,0),"")</f>
        <v>_</v>
      </c>
      <c r="BC296" s="111"/>
      <c r="BD296" s="110" t="str">
        <f>IF(Ruimtestaat[[#This Row],[Frequentie weekend]]="","",_xlfn.CONCAT(Ruimtestaat[[#This Row],[Ruimte code]],"-",Ruimtestaat[[#This Row],[Frequentie weekend]]," ",Ruimtestaat[[#This Row],[Vloer code]]))</f>
        <v/>
      </c>
      <c r="BE296" s="114" t="str">
        <f>_xlfn.IFNA(VLOOKUP($BD296,Programma!$F$3:$G$1101,2,0),"")</f>
        <v/>
      </c>
      <c r="BF296" s="114" t="str">
        <f>_xlfn.IFNA(VLOOKUP($BD296,Programma!$F$3:$H$1101,3,0),"")</f>
        <v/>
      </c>
      <c r="BG296" s="114" t="str">
        <f>_xlfn.IFNA(VLOOKUP($BD296,Programma!$F$3:$I$1101,4,0),"")</f>
        <v/>
      </c>
      <c r="BH296" s="114" t="str">
        <f>_xlfn.IFNA(VLOOKUP($BD296,Programma!$F$3:$J$1101,5,0),"")</f>
        <v/>
      </c>
      <c r="BI296" s="114" t="str">
        <f>_xlfn.IFNA(VLOOKUP($BD296,Programma!$F$3:$K$1101,6,0),"")</f>
        <v/>
      </c>
      <c r="BJ296" s="114" t="str">
        <f>_xlfn.IFNA(VLOOKUP($BD296,Programma!$F$3:$L$1101,7,0),"")</f>
        <v/>
      </c>
      <c r="BK296" s="114" t="str">
        <f>_xlfn.IFNA(VLOOKUP($BD296,Programma!$F$3:$M$1101,8,0),"")</f>
        <v/>
      </c>
      <c r="BL296" s="114" t="str">
        <f>_xlfn.IFNA(VLOOKUP($BD296,Programma!$F$3:$N$1101,9,0),"")</f>
        <v/>
      </c>
      <c r="BM296" s="114" t="str">
        <f>_xlfn.IFNA(VLOOKUP($BD296,Programma!$F$3:$O$1101,10,0),"")</f>
        <v/>
      </c>
      <c r="BN296" s="114" t="str">
        <f>_xlfn.IFNA(VLOOKUP($BD296,Programma!$F$3:$P$1101,11,0),"")</f>
        <v/>
      </c>
      <c r="BO296" s="114" t="str">
        <f>_xlfn.IFNA(VLOOKUP($BD296,Programma!$F$3:$Q$1101,12,0),"")</f>
        <v/>
      </c>
      <c r="BP296" s="114" t="str">
        <f>_xlfn.IFNA(VLOOKUP($BD296,Programma!$F$3:$R$1101,13,0),"")</f>
        <v/>
      </c>
      <c r="BQ296" s="114" t="str">
        <f>_xlfn.IFNA(VLOOKUP($BD296,Programma!$F$3:$S$1101,14,0),"")</f>
        <v/>
      </c>
      <c r="BR296" s="114" t="str">
        <f>_xlfn.IFNA(VLOOKUP($BD296,Programma!$F$3:$T$1101,15,0),"")</f>
        <v/>
      </c>
      <c r="BS296" s="114" t="str">
        <f>_xlfn.IFNA(VLOOKUP($BD296,Programma!$F$3:$U$1101,16,0),"")</f>
        <v/>
      </c>
      <c r="BT296" s="114" t="str">
        <f>_xlfn.IFNA(VLOOKUP($BD296,Programma!$F$3:$V$1101,17,0),"")</f>
        <v/>
      </c>
      <c r="BU296" s="114" t="str">
        <f>_xlfn.IFNA(VLOOKUP($BD296,Programma!$F$3:$W$1101,18,0),"")</f>
        <v/>
      </c>
      <c r="BV296" s="114" t="str">
        <f>_xlfn.IFNA(VLOOKUP($BD296,Programma!$F$3:$X$1101,19,0),"")</f>
        <v/>
      </c>
      <c r="BW296" s="114" t="str">
        <f>_xlfn.IFNA(VLOOKUP($BD296,Programma!$F$3:$Y$1101,20,0),"")</f>
        <v/>
      </c>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row>
    <row r="297" spans="1:220" ht="15" customHeight="1">
      <c r="A297" s="31">
        <v>6</v>
      </c>
      <c r="B297" s="105" t="str">
        <f>VLOOKUP(Ruimtestaat[[#This Row],[Code]],Locaties[[Code]:[Locatie]],2,FALSE)</f>
        <v>IKC Joannes</v>
      </c>
      <c r="C297" s="105" t="str">
        <f>VLOOKUP(Ruimtestaat[[#This Row],[Code]],Locaties[[#All],[Code]:[Adres]],4,FALSE)</f>
        <v>Kerkakkers 4</v>
      </c>
      <c r="D297" s="105" t="str">
        <f>VLOOKUP(Ruimtestaat[[#This Row],[Code]],Locaties[[#All],[Code]:[Postcode]],5,FALSE)</f>
        <v>6923 BZ</v>
      </c>
      <c r="E297" s="105" t="str">
        <f>VLOOKUP(Ruimtestaat[[#This Row],[Code]],Locaties[#All],6,FALSE)</f>
        <v>Groessen</v>
      </c>
      <c r="F297" s="113"/>
      <c r="G297" s="31" t="s">
        <v>1645</v>
      </c>
      <c r="H297" s="31" t="s">
        <v>1756</v>
      </c>
      <c r="I297" s="113" t="s">
        <v>1671</v>
      </c>
      <c r="J297" s="31">
        <v>2</v>
      </c>
      <c r="K297" s="113" t="str">
        <f>VLOOKUP(Ruimtestaat[[#This Row],[Ruimte code]],Ruimtegroepen[[#All],[Code]:[Ruimte omschrijving]],2,FALSE)</f>
        <v>Kantoren</v>
      </c>
      <c r="L297" s="31" t="s">
        <v>100</v>
      </c>
      <c r="M297" s="31" t="s">
        <v>1975</v>
      </c>
      <c r="N297" s="106">
        <v>10.08</v>
      </c>
      <c r="O297" s="112"/>
      <c r="P297" s="112"/>
      <c r="Q297" s="107" t="str">
        <f>VLOOKUP(Ruimtestaat[[#This Row],[Ruimte code]],Ruimtegroepen[],4,FALSE)</f>
        <v>Bu</v>
      </c>
      <c r="R297" s="73">
        <v>40</v>
      </c>
      <c r="S297" s="73" t="s">
        <v>15</v>
      </c>
      <c r="T297" s="73">
        <f>IF(R297&gt;0,IF(RIGHT(Ruimtestaat[[#This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97" s="73">
        <f>IF(T297&gt;0,VLOOKUP($J297,Ruimtegroepen[],3,FALSE)*VLOOKUP($L297,Vloersoorten[],3,FALSE)*VLOOKUP($S297,Frequenties[],3,FALSE)*VLOOKUP($A297,Locaties[],3,FALSE),0)</f>
        <v>0</v>
      </c>
      <c r="V297" s="73">
        <f>Ruimtestaat[[#This Row],[Uitvoeringen werkdagen]]*Ruimtestaat[[#This Row],[Oppervlak (netto)]]</f>
        <v>403.2</v>
      </c>
      <c r="W297" s="108">
        <f>IF(U297&gt;0,Ruimtestaat[[#This Row],[Prest. (m2 /jaar) werkdagen]]/Ruimtestaat[[#This Row],[Norm (m2/uur) werkdagen]],0)</f>
        <v>0</v>
      </c>
      <c r="X297" s="109">
        <f>Ruimtestaat[[#This Row],[uren / jaar werkdagen]]*Tariefsopbouw!$E$35</f>
        <v>0</v>
      </c>
      <c r="Y297" s="73"/>
      <c r="Z297" s="73">
        <f>IF(Ruimtestaat[[#This Row],[Frequentie weekend]]&gt;0,VALUE(LEFT(Y297,1))*R297,0)</f>
        <v>0</v>
      </c>
      <c r="AA297" s="72">
        <f>IF($Z297&gt;0,VLOOKUP($J297,Ruimtegroepen[],3,FALSE)*VLOOKUP($L297,Vloersoorten[],3,FALSE)*VLOOKUP($Y297,Frequenties[],3,FALSE)*VLOOKUP(Ruimtestaat[[#This Row],[Code]],Locaties[],3,FALSE),0)</f>
        <v>0</v>
      </c>
      <c r="AB297" s="72">
        <f>Ruimtestaat[[#This Row],[Uitvoeringen weekend]]*Ruimtestaat[[#This Row],[Oppervlak (netto)]]</f>
        <v>0</v>
      </c>
      <c r="AC297" s="72">
        <f>IF(AA297&gt;0,Ruimtestaat[[#This Row],[Prest. (m2 /jaar) weekend]]/Ruimtestaat[[#This Row],[Norm (m2/uur) weekend]],0)</f>
        <v>0</v>
      </c>
      <c r="AD297" s="109">
        <f>Ruimtestaat[[#This Row],[uren / jaar weekend]]*Tariefsopbouw!$D$40</f>
        <v>0</v>
      </c>
      <c r="AE297" s="108">
        <f>Ruimtestaat[[#This Row],[Prest. (m2 /jaar) weekend]]+Ruimtestaat[[#This Row],[Prest. (m2 /jaar) werkdagen]]</f>
        <v>403.2</v>
      </c>
      <c r="AF297" s="108">
        <f>Ruimtestaat[[#This Row],[uren / jaar weekend]]+Ruimtestaat[[#This Row],[uren / jaar werkdagen]]</f>
        <v>0</v>
      </c>
      <c r="AG297" s="103">
        <f>Ruimtestaat[[#This Row],[kosten / jaar weekend]]+Ruimtestaat[[#This Row],[kosten / jaar werkdagen]]</f>
        <v>0</v>
      </c>
      <c r="AH297" s="103"/>
      <c r="AI297" s="110" t="str">
        <f>IF(Ruimtestaat[[#This Row],[Frequentie werkdagen]]="","",_xlfn.CONCAT(Ruimtestaat[[#This Row],[Ruimte code]],"-",Ruimtestaat[[#This Row],[Frequentie werkdagen]]," ",Ruimtestaat[[#This Row],[Vloer code]]))</f>
        <v>2-1w L</v>
      </c>
      <c r="AJ297" s="114" t="str">
        <f>_xlfn.IFNA(VLOOKUP($AI297,Programma!$F$3:$G$1101,2,0),"")</f>
        <v>_</v>
      </c>
      <c r="AK297" s="114" t="str">
        <f>_xlfn.IFNA(VLOOKUP($AI297,Programma!$F$3:$H$1101,3,0),"")</f>
        <v>_</v>
      </c>
      <c r="AL297" s="114" t="str">
        <f>_xlfn.IFNA(VLOOKUP($AI297,Programma!$F$3:$I$1101,4,0),"")</f>
        <v>_</v>
      </c>
      <c r="AM297" s="114" t="str">
        <f>_xlfn.IFNA(VLOOKUP($AI297,Programma!$F$3:$J$1101,5,0),"")</f>
        <v>1w</v>
      </c>
      <c r="AN297" s="114" t="str">
        <f>_xlfn.IFNA(VLOOKUP($AI297,Programma!$F$3:$K$1101,6,0),"")</f>
        <v>_</v>
      </c>
      <c r="AO297" s="114" t="str">
        <f>_xlfn.IFNA(VLOOKUP($AI297,Programma!$F$3:$L$1101,7,0),"")</f>
        <v>_</v>
      </c>
      <c r="AP297" s="114" t="str">
        <f>_xlfn.IFNA(VLOOKUP($AI297,Programma!$F$3:$M$1101,8,0),"")</f>
        <v>_</v>
      </c>
      <c r="AQ297" s="114" t="str">
        <f>_xlfn.IFNA(VLOOKUP($AI297,Programma!$F$3:$N$1101,9,0),"")</f>
        <v>_</v>
      </c>
      <c r="AR297" s="114" t="str">
        <f>_xlfn.IFNA(VLOOKUP($AI297,Programma!$F$3:$O$1101,10,0),"")</f>
        <v>1w</v>
      </c>
      <c r="AS297" s="114" t="str">
        <f>_xlfn.IFNA(VLOOKUP($AI297,Programma!$F$3:$P$1101,11,0),"")</f>
        <v>1w</v>
      </c>
      <c r="AT297" s="114" t="str">
        <f>_xlfn.IFNA(VLOOKUP($AI297,Programma!$F$3:$Q$1101,12,0),"")</f>
        <v>1w</v>
      </c>
      <c r="AU297" s="114" t="str">
        <f>_xlfn.IFNA(VLOOKUP($AI297,Programma!$F$3:$R$1101,13,0),"")</f>
        <v>1w</v>
      </c>
      <c r="AV297" s="114" t="str">
        <f>_xlfn.IFNA(VLOOKUP($AI297,Programma!$F$3:$S$1101,14,0),"")</f>
        <v>1m</v>
      </c>
      <c r="AW297" s="114" t="str">
        <f>_xlfn.IFNA(VLOOKUP($AI297,Programma!$F$3:$T$1101,15,0),"")</f>
        <v>2j</v>
      </c>
      <c r="AX297" s="114" t="str">
        <f>_xlfn.IFNA(VLOOKUP($AI297,Programma!$F$3:$U$1101,16,0),"")</f>
        <v>1j</v>
      </c>
      <c r="AY297" s="114" t="str">
        <f>_xlfn.IFNA(VLOOKUP($AI297,Programma!$F$3:$V$1101,17,0),"")</f>
        <v>_</v>
      </c>
      <c r="AZ297" s="114" t="str">
        <f>_xlfn.IFNA(VLOOKUP($AI297,Programma!$F$3:$W$1101,18,0),"")</f>
        <v>_</v>
      </c>
      <c r="BA297" s="114" t="str">
        <f>_xlfn.IFNA(VLOOKUP($AI297,Programma!$F$3:$X$1101,19,0),"")</f>
        <v>_</v>
      </c>
      <c r="BB297" s="114" t="str">
        <f>_xlfn.IFNA(VLOOKUP($AI297,Programma!$F$3:$Y$1101,20,0),"")</f>
        <v>_</v>
      </c>
      <c r="BC297" s="111"/>
      <c r="BD297" s="110" t="str">
        <f>IF(Ruimtestaat[[#This Row],[Frequentie weekend]]="","",_xlfn.CONCAT(Ruimtestaat[[#This Row],[Ruimte code]],"-",Ruimtestaat[[#This Row],[Frequentie weekend]]," ",Ruimtestaat[[#This Row],[Vloer code]]))</f>
        <v/>
      </c>
      <c r="BE297" s="114" t="str">
        <f>_xlfn.IFNA(VLOOKUP($BD297,Programma!$F$3:$G$1101,2,0),"")</f>
        <v/>
      </c>
      <c r="BF297" s="114" t="str">
        <f>_xlfn.IFNA(VLOOKUP($BD297,Programma!$F$3:$H$1101,3,0),"")</f>
        <v/>
      </c>
      <c r="BG297" s="114" t="str">
        <f>_xlfn.IFNA(VLOOKUP($BD297,Programma!$F$3:$I$1101,4,0),"")</f>
        <v/>
      </c>
      <c r="BH297" s="114" t="str">
        <f>_xlfn.IFNA(VLOOKUP($BD297,Programma!$F$3:$J$1101,5,0),"")</f>
        <v/>
      </c>
      <c r="BI297" s="114" t="str">
        <f>_xlfn.IFNA(VLOOKUP($BD297,Programma!$F$3:$K$1101,6,0),"")</f>
        <v/>
      </c>
      <c r="BJ297" s="114" t="str">
        <f>_xlfn.IFNA(VLOOKUP($BD297,Programma!$F$3:$L$1101,7,0),"")</f>
        <v/>
      </c>
      <c r="BK297" s="114" t="str">
        <f>_xlfn.IFNA(VLOOKUP($BD297,Programma!$F$3:$M$1101,8,0),"")</f>
        <v/>
      </c>
      <c r="BL297" s="114" t="str">
        <f>_xlfn.IFNA(VLOOKUP($BD297,Programma!$F$3:$N$1101,9,0),"")</f>
        <v/>
      </c>
      <c r="BM297" s="114" t="str">
        <f>_xlfn.IFNA(VLOOKUP($BD297,Programma!$F$3:$O$1101,10,0),"")</f>
        <v/>
      </c>
      <c r="BN297" s="114" t="str">
        <f>_xlfn.IFNA(VLOOKUP($BD297,Programma!$F$3:$P$1101,11,0),"")</f>
        <v/>
      </c>
      <c r="BO297" s="114" t="str">
        <f>_xlfn.IFNA(VLOOKUP($BD297,Programma!$F$3:$Q$1101,12,0),"")</f>
        <v/>
      </c>
      <c r="BP297" s="114" t="str">
        <f>_xlfn.IFNA(VLOOKUP($BD297,Programma!$F$3:$R$1101,13,0),"")</f>
        <v/>
      </c>
      <c r="BQ297" s="114" t="str">
        <f>_xlfn.IFNA(VLOOKUP($BD297,Programma!$F$3:$S$1101,14,0),"")</f>
        <v/>
      </c>
      <c r="BR297" s="114" t="str">
        <f>_xlfn.IFNA(VLOOKUP($BD297,Programma!$F$3:$T$1101,15,0),"")</f>
        <v/>
      </c>
      <c r="BS297" s="114" t="str">
        <f>_xlfn.IFNA(VLOOKUP($BD297,Programma!$F$3:$U$1101,16,0),"")</f>
        <v/>
      </c>
      <c r="BT297" s="114" t="str">
        <f>_xlfn.IFNA(VLOOKUP($BD297,Programma!$F$3:$V$1101,17,0),"")</f>
        <v/>
      </c>
      <c r="BU297" s="114" t="str">
        <f>_xlfn.IFNA(VLOOKUP($BD297,Programma!$F$3:$W$1101,18,0),"")</f>
        <v/>
      </c>
      <c r="BV297" s="114" t="str">
        <f>_xlfn.IFNA(VLOOKUP($BD297,Programma!$F$3:$X$1101,19,0),"")</f>
        <v/>
      </c>
      <c r="BW297" s="114" t="str">
        <f>_xlfn.IFNA(VLOOKUP($BD297,Programma!$F$3:$Y$1101,20,0),"")</f>
        <v/>
      </c>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row>
    <row r="298" spans="1:220" ht="15" customHeight="1">
      <c r="A298" s="31">
        <v>6</v>
      </c>
      <c r="B298" s="105" t="str">
        <f>VLOOKUP(Ruimtestaat[[#This Row],[Code]],Locaties[[Code]:[Locatie]],2,FALSE)</f>
        <v>IKC Joannes</v>
      </c>
      <c r="C298" s="105" t="str">
        <f>VLOOKUP(Ruimtestaat[[#This Row],[Code]],Locaties[[#All],[Code]:[Adres]],4,FALSE)</f>
        <v>Kerkakkers 4</v>
      </c>
      <c r="D298" s="105" t="str">
        <f>VLOOKUP(Ruimtestaat[[#This Row],[Code]],Locaties[[#All],[Code]:[Postcode]],5,FALSE)</f>
        <v>6923 BZ</v>
      </c>
      <c r="E298" s="105" t="str">
        <f>VLOOKUP(Ruimtestaat[[#This Row],[Code]],Locaties[#All],6,FALSE)</f>
        <v>Groessen</v>
      </c>
      <c r="F298" s="113"/>
      <c r="G298" s="31" t="s">
        <v>1645</v>
      </c>
      <c r="H298" s="31" t="s">
        <v>1757</v>
      </c>
      <c r="I298" s="113" t="s">
        <v>1790</v>
      </c>
      <c r="J298" s="31">
        <v>5</v>
      </c>
      <c r="K298" s="113" t="str">
        <f>VLOOKUP(Ruimtestaat[[#This Row],[Ruimte code]],Ruimtegroepen[[#All],[Code]:[Ruimte omschrijving]],2,FALSE)</f>
        <v>Sanitair</v>
      </c>
      <c r="L298" s="31" t="s">
        <v>100</v>
      </c>
      <c r="M298" s="31" t="s">
        <v>1975</v>
      </c>
      <c r="N298" s="106">
        <v>4</v>
      </c>
      <c r="O298" s="112"/>
      <c r="P298" s="112"/>
      <c r="Q298" s="107" t="str">
        <f>VLOOKUP(Ruimtestaat[[#This Row],[Ruimte code]],Ruimtegroepen[],4,FALSE)</f>
        <v>Sa</v>
      </c>
      <c r="R298" s="73">
        <v>40</v>
      </c>
      <c r="S298" s="73" t="s">
        <v>2</v>
      </c>
      <c r="T298" s="73">
        <f>IF(R298&gt;0,IF(RIGHT(Ruimtestaat[[#This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8" s="73">
        <f>IF(T298&gt;0,VLOOKUP($J298,Ruimtegroepen[],3,FALSE)*VLOOKUP($L298,Vloersoorten[],3,FALSE)*VLOOKUP($S298,Frequenties[],3,FALSE)*VLOOKUP($A298,Locaties[],3,FALSE),0)</f>
        <v>0</v>
      </c>
      <c r="V298" s="73">
        <f>Ruimtestaat[[#This Row],[Uitvoeringen werkdagen]]*Ruimtestaat[[#This Row],[Oppervlak (netto)]]</f>
        <v>800</v>
      </c>
      <c r="W298" s="108">
        <f>IF(U298&gt;0,Ruimtestaat[[#This Row],[Prest. (m2 /jaar) werkdagen]]/Ruimtestaat[[#This Row],[Norm (m2/uur) werkdagen]],0)</f>
        <v>0</v>
      </c>
      <c r="X298" s="109">
        <f>Ruimtestaat[[#This Row],[uren / jaar werkdagen]]*Tariefsopbouw!$E$35</f>
        <v>0</v>
      </c>
      <c r="Y298" s="73"/>
      <c r="Z298" s="73">
        <f>IF(Ruimtestaat[[#This Row],[Frequentie weekend]]&gt;0,VALUE(LEFT(Y298,1))*R298,0)</f>
        <v>0</v>
      </c>
      <c r="AA298" s="72">
        <f>IF($Z298&gt;0,VLOOKUP($J298,Ruimtegroepen[],3,FALSE)*VLOOKUP($L298,Vloersoorten[],3,FALSE)*VLOOKUP($Y298,Frequenties[],3,FALSE)*VLOOKUP(Ruimtestaat[[#This Row],[Code]],Locaties[],3,FALSE),0)</f>
        <v>0</v>
      </c>
      <c r="AB298" s="72">
        <f>Ruimtestaat[[#This Row],[Uitvoeringen weekend]]*Ruimtestaat[[#This Row],[Oppervlak (netto)]]</f>
        <v>0</v>
      </c>
      <c r="AC298" s="72">
        <f>IF(AA298&gt;0,Ruimtestaat[[#This Row],[Prest. (m2 /jaar) weekend]]/Ruimtestaat[[#This Row],[Norm (m2/uur) weekend]],0)</f>
        <v>0</v>
      </c>
      <c r="AD298" s="109">
        <f>Ruimtestaat[[#This Row],[uren / jaar weekend]]*Tariefsopbouw!$D$40</f>
        <v>0</v>
      </c>
      <c r="AE298" s="108">
        <f>Ruimtestaat[[#This Row],[Prest. (m2 /jaar) weekend]]+Ruimtestaat[[#This Row],[Prest. (m2 /jaar) werkdagen]]</f>
        <v>800</v>
      </c>
      <c r="AF298" s="108">
        <f>Ruimtestaat[[#This Row],[uren / jaar weekend]]+Ruimtestaat[[#This Row],[uren / jaar werkdagen]]</f>
        <v>0</v>
      </c>
      <c r="AG298" s="103">
        <f>Ruimtestaat[[#This Row],[kosten / jaar weekend]]+Ruimtestaat[[#This Row],[kosten / jaar werkdagen]]</f>
        <v>0</v>
      </c>
      <c r="AH298" s="103"/>
      <c r="AI298" s="110" t="str">
        <f>IF(Ruimtestaat[[#This Row],[Frequentie werkdagen]]="","",_xlfn.CONCAT(Ruimtestaat[[#This Row],[Ruimte code]],"-",Ruimtestaat[[#This Row],[Frequentie werkdagen]]," ",Ruimtestaat[[#This Row],[Vloer code]]))</f>
        <v>5-5w L</v>
      </c>
      <c r="AJ298" s="114" t="str">
        <f>_xlfn.IFNA(VLOOKUP($AI298,Programma!$F$3:$G$1101,2,0),"")</f>
        <v>_</v>
      </c>
      <c r="AK298" s="114" t="str">
        <f>_xlfn.IFNA(VLOOKUP($AI298,Programma!$F$3:$H$1101,3,0),"")</f>
        <v>_</v>
      </c>
      <c r="AL298" s="114" t="str">
        <f>_xlfn.IFNA(VLOOKUP($AI298,Programma!$F$3:$I$1101,4,0),"")</f>
        <v>_</v>
      </c>
      <c r="AM298" s="114" t="str">
        <f>_xlfn.IFNA(VLOOKUP($AI298,Programma!$F$3:$J$1101,5,0),"")</f>
        <v>4w</v>
      </c>
      <c r="AN298" s="114" t="str">
        <f>_xlfn.IFNA(VLOOKUP($AI298,Programma!$F$3:$K$1101,6,0),"")</f>
        <v>1w</v>
      </c>
      <c r="AO298" s="114" t="str">
        <f>_xlfn.IFNA(VLOOKUP($AI298,Programma!$F$3:$L$1101,7,0),"")</f>
        <v>_</v>
      </c>
      <c r="AP298" s="114" t="str">
        <f>_xlfn.IFNA(VLOOKUP($AI298,Programma!$F$3:$M$1101,8,0),"")</f>
        <v>_</v>
      </c>
      <c r="AQ298" s="114" t="str">
        <f>_xlfn.IFNA(VLOOKUP($AI298,Programma!$F$3:$N$1101,9,0),"")</f>
        <v>_</v>
      </c>
      <c r="AR298" s="114" t="str">
        <f>_xlfn.IFNA(VLOOKUP($AI298,Programma!$F$3:$O$1101,10,0),"")</f>
        <v>_</v>
      </c>
      <c r="AS298" s="114" t="str">
        <f>_xlfn.IFNA(VLOOKUP($AI298,Programma!$F$3:$P$1101,11,0),"")</f>
        <v>_</v>
      </c>
      <c r="AT298" s="114" t="str">
        <f>_xlfn.IFNA(VLOOKUP($AI298,Programma!$F$3:$Q$1101,12,0),"")</f>
        <v>_</v>
      </c>
      <c r="AU298" s="114" t="str">
        <f>_xlfn.IFNA(VLOOKUP($AI298,Programma!$F$3:$R$1101,13,0),"")</f>
        <v>_</v>
      </c>
      <c r="AV298" s="114" t="str">
        <f>_xlfn.IFNA(VLOOKUP($AI298,Programma!$F$3:$S$1101,14,0),"")</f>
        <v>_</v>
      </c>
      <c r="AW298" s="114" t="str">
        <f>_xlfn.IFNA(VLOOKUP($AI298,Programma!$F$3:$T$1101,15,0),"")</f>
        <v>_</v>
      </c>
      <c r="AX298" s="114" t="str">
        <f>_xlfn.IFNA(VLOOKUP($AI298,Programma!$F$3:$U$1101,16,0),"")</f>
        <v>_</v>
      </c>
      <c r="AY298" s="114" t="str">
        <f>_xlfn.IFNA(VLOOKUP($AI298,Programma!$F$3:$V$1101,17,0),"")</f>
        <v>_</v>
      </c>
      <c r="AZ298" s="114" t="str">
        <f>_xlfn.IFNA(VLOOKUP($AI298,Programma!$F$3:$W$1101,18,0),"")</f>
        <v>4w</v>
      </c>
      <c r="BA298" s="114" t="str">
        <f>_xlfn.IFNA(VLOOKUP($AI298,Programma!$F$3:$X$1101,19,0),"")</f>
        <v>1w</v>
      </c>
      <c r="BB298" s="114" t="str">
        <f>_xlfn.IFNA(VLOOKUP($AI298,Programma!$F$3:$Y$1101,20,0),"")</f>
        <v>_</v>
      </c>
      <c r="BC298" s="111"/>
      <c r="BD298" s="110" t="str">
        <f>IF(Ruimtestaat[[#This Row],[Frequentie weekend]]="","",_xlfn.CONCAT(Ruimtestaat[[#This Row],[Ruimte code]],"-",Ruimtestaat[[#This Row],[Frequentie weekend]]," ",Ruimtestaat[[#This Row],[Vloer code]]))</f>
        <v/>
      </c>
      <c r="BE298" s="114" t="str">
        <f>_xlfn.IFNA(VLOOKUP($BD298,Programma!$F$3:$G$1101,2,0),"")</f>
        <v/>
      </c>
      <c r="BF298" s="114" t="str">
        <f>_xlfn.IFNA(VLOOKUP($BD298,Programma!$F$3:$H$1101,3,0),"")</f>
        <v/>
      </c>
      <c r="BG298" s="114" t="str">
        <f>_xlfn.IFNA(VLOOKUP($BD298,Programma!$F$3:$I$1101,4,0),"")</f>
        <v/>
      </c>
      <c r="BH298" s="114" t="str">
        <f>_xlfn.IFNA(VLOOKUP($BD298,Programma!$F$3:$J$1101,5,0),"")</f>
        <v/>
      </c>
      <c r="BI298" s="114" t="str">
        <f>_xlfn.IFNA(VLOOKUP($BD298,Programma!$F$3:$K$1101,6,0),"")</f>
        <v/>
      </c>
      <c r="BJ298" s="114" t="str">
        <f>_xlfn.IFNA(VLOOKUP($BD298,Programma!$F$3:$L$1101,7,0),"")</f>
        <v/>
      </c>
      <c r="BK298" s="114" t="str">
        <f>_xlfn.IFNA(VLOOKUP($BD298,Programma!$F$3:$M$1101,8,0),"")</f>
        <v/>
      </c>
      <c r="BL298" s="114" t="str">
        <f>_xlfn.IFNA(VLOOKUP($BD298,Programma!$F$3:$N$1101,9,0),"")</f>
        <v/>
      </c>
      <c r="BM298" s="114" t="str">
        <f>_xlfn.IFNA(VLOOKUP($BD298,Programma!$F$3:$O$1101,10,0),"")</f>
        <v/>
      </c>
      <c r="BN298" s="114" t="str">
        <f>_xlfn.IFNA(VLOOKUP($BD298,Programma!$F$3:$P$1101,11,0),"")</f>
        <v/>
      </c>
      <c r="BO298" s="114" t="str">
        <f>_xlfn.IFNA(VLOOKUP($BD298,Programma!$F$3:$Q$1101,12,0),"")</f>
        <v/>
      </c>
      <c r="BP298" s="114" t="str">
        <f>_xlfn.IFNA(VLOOKUP($BD298,Programma!$F$3:$R$1101,13,0),"")</f>
        <v/>
      </c>
      <c r="BQ298" s="114" t="str">
        <f>_xlfn.IFNA(VLOOKUP($BD298,Programma!$F$3:$S$1101,14,0),"")</f>
        <v/>
      </c>
      <c r="BR298" s="114" t="str">
        <f>_xlfn.IFNA(VLOOKUP($BD298,Programma!$F$3:$T$1101,15,0),"")</f>
        <v/>
      </c>
      <c r="BS298" s="114" t="str">
        <f>_xlfn.IFNA(VLOOKUP($BD298,Programma!$F$3:$U$1101,16,0),"")</f>
        <v/>
      </c>
      <c r="BT298" s="114" t="str">
        <f>_xlfn.IFNA(VLOOKUP($BD298,Programma!$F$3:$V$1101,17,0),"")</f>
        <v/>
      </c>
      <c r="BU298" s="114" t="str">
        <f>_xlfn.IFNA(VLOOKUP($BD298,Programma!$F$3:$W$1101,18,0),"")</f>
        <v/>
      </c>
      <c r="BV298" s="114" t="str">
        <f>_xlfn.IFNA(VLOOKUP($BD298,Programma!$F$3:$X$1101,19,0),"")</f>
        <v/>
      </c>
      <c r="BW298" s="114" t="str">
        <f>_xlfn.IFNA(VLOOKUP($BD298,Programma!$F$3:$Y$1101,20,0),"")</f>
        <v/>
      </c>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c r="EV298" s="28"/>
      <c r="EW298" s="28"/>
      <c r="EX298" s="28"/>
      <c r="EY298" s="28"/>
      <c r="EZ298" s="28"/>
      <c r="FA298" s="28"/>
      <c r="FB298" s="28"/>
      <c r="FC298" s="28"/>
      <c r="FD298" s="28"/>
      <c r="FE298" s="28"/>
      <c r="FF298" s="28"/>
      <c r="FG298" s="28"/>
      <c r="FH298" s="28"/>
      <c r="FI298" s="28"/>
      <c r="FJ298" s="28"/>
      <c r="FK298" s="28"/>
      <c r="FL298" s="28"/>
      <c r="FM298" s="28"/>
      <c r="FN298" s="28"/>
      <c r="FO298" s="28"/>
      <c r="FP298" s="28"/>
      <c r="FQ298" s="28"/>
      <c r="FR298" s="28"/>
      <c r="FS298" s="28"/>
      <c r="FT298" s="28"/>
      <c r="FU298" s="28"/>
      <c r="FV298" s="28"/>
      <c r="FW298" s="28"/>
      <c r="FX298" s="28"/>
      <c r="FY298" s="28"/>
      <c r="FZ298" s="28"/>
      <c r="GA298" s="28"/>
      <c r="GB298" s="28"/>
      <c r="GC298" s="28"/>
      <c r="GD298" s="28"/>
      <c r="GE298" s="28"/>
      <c r="GF298" s="28"/>
      <c r="GG298" s="28"/>
      <c r="GH298" s="28"/>
      <c r="GI298" s="28"/>
      <c r="GJ298" s="28"/>
      <c r="GK298" s="28"/>
      <c r="GL298" s="28"/>
      <c r="GM298" s="28"/>
      <c r="GN298" s="28"/>
      <c r="GO298" s="28"/>
      <c r="GP298" s="28"/>
      <c r="GQ298" s="28"/>
      <c r="GR298" s="28"/>
      <c r="GS298" s="28"/>
      <c r="GT298" s="28"/>
      <c r="GU298" s="28"/>
      <c r="GV298" s="28"/>
      <c r="GW298" s="28"/>
      <c r="GX298" s="28"/>
      <c r="GY298" s="28"/>
      <c r="GZ298" s="28"/>
      <c r="HA298" s="28"/>
      <c r="HB298" s="28"/>
      <c r="HC298" s="28"/>
      <c r="HD298" s="28"/>
      <c r="HE298" s="28"/>
      <c r="HF298" s="28"/>
      <c r="HG298" s="28"/>
      <c r="HH298" s="28"/>
      <c r="HI298" s="28"/>
      <c r="HJ298" s="28"/>
      <c r="HK298" s="28"/>
      <c r="HL298" s="28"/>
    </row>
    <row r="299" spans="1:220" ht="15" customHeight="1">
      <c r="A299" s="31">
        <v>6</v>
      </c>
      <c r="B299" s="105" t="str">
        <f>VLOOKUP(Ruimtestaat[[#This Row],[Code]],Locaties[[Code]:[Locatie]],2,FALSE)</f>
        <v>IKC Joannes</v>
      </c>
      <c r="C299" s="105" t="str">
        <f>VLOOKUP(Ruimtestaat[[#This Row],[Code]],Locaties[[#All],[Code]:[Adres]],4,FALSE)</f>
        <v>Kerkakkers 4</v>
      </c>
      <c r="D299" s="105" t="str">
        <f>VLOOKUP(Ruimtestaat[[#This Row],[Code]],Locaties[[#All],[Code]:[Postcode]],5,FALSE)</f>
        <v>6923 BZ</v>
      </c>
      <c r="E299" s="105" t="str">
        <f>VLOOKUP(Ruimtestaat[[#This Row],[Code]],Locaties[#All],6,FALSE)</f>
        <v>Groessen</v>
      </c>
      <c r="F299" s="113"/>
      <c r="G299" s="31" t="s">
        <v>1645</v>
      </c>
      <c r="H299" s="31" t="s">
        <v>1758</v>
      </c>
      <c r="I299" s="113" t="s">
        <v>1670</v>
      </c>
      <c r="J299" s="31">
        <v>14</v>
      </c>
      <c r="K299" s="113" t="str">
        <f>VLOOKUP(Ruimtestaat[[#This Row],[Ruimte code]],Ruimtegroepen[[#All],[Code]:[Ruimte omschrijving]],2,FALSE)</f>
        <v>Praktijklokalen</v>
      </c>
      <c r="L299" s="31" t="s">
        <v>99</v>
      </c>
      <c r="M299" s="31" t="s">
        <v>36</v>
      </c>
      <c r="N299" s="106">
        <v>10.08</v>
      </c>
      <c r="O299" s="112"/>
      <c r="P299" s="112"/>
      <c r="Q299" s="107" t="str">
        <f>VLOOKUP(Ruimtestaat[[#This Row],[Ruimte code]],Ruimtegroepen[],4,FALSE)</f>
        <v>Le</v>
      </c>
      <c r="R299" s="73">
        <v>40</v>
      </c>
      <c r="S299" s="73" t="s">
        <v>2</v>
      </c>
      <c r="T299" s="73">
        <f>IF(R299&gt;0,IF(RIGHT(Ruimtestaat[[#This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9" s="73">
        <f>IF(T299&gt;0,VLOOKUP($J299,Ruimtegroepen[],3,FALSE)*VLOOKUP($L299,Vloersoorten[],3,FALSE)*VLOOKUP($S299,Frequenties[],3,FALSE)*VLOOKUP($A299,Locaties[],3,FALSE),0)</f>
        <v>0</v>
      </c>
      <c r="V299" s="73">
        <f>Ruimtestaat[[#This Row],[Uitvoeringen werkdagen]]*Ruimtestaat[[#This Row],[Oppervlak (netto)]]</f>
        <v>2016</v>
      </c>
      <c r="W299" s="108">
        <f>IF(U299&gt;0,Ruimtestaat[[#This Row],[Prest. (m2 /jaar) werkdagen]]/Ruimtestaat[[#This Row],[Norm (m2/uur) werkdagen]],0)</f>
        <v>0</v>
      </c>
      <c r="X299" s="109">
        <f>Ruimtestaat[[#This Row],[uren / jaar werkdagen]]*Tariefsopbouw!$E$35</f>
        <v>0</v>
      </c>
      <c r="Y299" s="73"/>
      <c r="Z299" s="73">
        <f>IF(Ruimtestaat[[#This Row],[Frequentie weekend]]&gt;0,VALUE(LEFT(Y299,1))*R299,0)</f>
        <v>0</v>
      </c>
      <c r="AA299" s="72">
        <f>IF($Z299&gt;0,VLOOKUP($J299,Ruimtegroepen[],3,FALSE)*VLOOKUP($L299,Vloersoorten[],3,FALSE)*VLOOKUP($Y299,Frequenties[],3,FALSE)*VLOOKUP(Ruimtestaat[[#This Row],[Code]],Locaties[],3,FALSE),0)</f>
        <v>0</v>
      </c>
      <c r="AB299" s="72">
        <f>Ruimtestaat[[#This Row],[Uitvoeringen weekend]]*Ruimtestaat[[#This Row],[Oppervlak (netto)]]</f>
        <v>0</v>
      </c>
      <c r="AC299" s="72">
        <f>IF(AA299&gt;0,Ruimtestaat[[#This Row],[Prest. (m2 /jaar) weekend]]/Ruimtestaat[[#This Row],[Norm (m2/uur) weekend]],0)</f>
        <v>0</v>
      </c>
      <c r="AD299" s="109">
        <f>Ruimtestaat[[#This Row],[uren / jaar weekend]]*Tariefsopbouw!$D$40</f>
        <v>0</v>
      </c>
      <c r="AE299" s="108">
        <f>Ruimtestaat[[#This Row],[Prest. (m2 /jaar) weekend]]+Ruimtestaat[[#This Row],[Prest. (m2 /jaar) werkdagen]]</f>
        <v>2016</v>
      </c>
      <c r="AF299" s="108">
        <f>Ruimtestaat[[#This Row],[uren / jaar weekend]]+Ruimtestaat[[#This Row],[uren / jaar werkdagen]]</f>
        <v>0</v>
      </c>
      <c r="AG299" s="103">
        <f>Ruimtestaat[[#This Row],[kosten / jaar weekend]]+Ruimtestaat[[#This Row],[kosten / jaar werkdagen]]</f>
        <v>0</v>
      </c>
      <c r="AH299" s="103"/>
      <c r="AI299" s="110" t="str">
        <f>IF(Ruimtestaat[[#This Row],[Frequentie werkdagen]]="","",_xlfn.CONCAT(Ruimtestaat[[#This Row],[Ruimte code]],"-",Ruimtestaat[[#This Row],[Frequentie werkdagen]]," ",Ruimtestaat[[#This Row],[Vloer code]]))</f>
        <v>14-5w T</v>
      </c>
      <c r="AJ299" s="114" t="str">
        <f>_xlfn.IFNA(VLOOKUP($AI299,Programma!$F$3:$G$1101,2,0),"")</f>
        <v>3w</v>
      </c>
      <c r="AK299" s="114" t="str">
        <f>_xlfn.IFNA(VLOOKUP($AI299,Programma!$F$3:$H$1101,3,0),"")</f>
        <v>2w</v>
      </c>
      <c r="AL299" s="114" t="str">
        <f>_xlfn.IFNA(VLOOKUP($AI299,Programma!$F$3:$I$1101,4,0),"")</f>
        <v>_</v>
      </c>
      <c r="AM299" s="114" t="str">
        <f>_xlfn.IFNA(VLOOKUP($AI299,Programma!$F$3:$J$1101,5,0),"")</f>
        <v>_</v>
      </c>
      <c r="AN299" s="114" t="str">
        <f>_xlfn.IFNA(VLOOKUP($AI299,Programma!$F$3:$K$1101,6,0),"")</f>
        <v>_</v>
      </c>
      <c r="AO299" s="114" t="str">
        <f>_xlfn.IFNA(VLOOKUP($AI299,Programma!$F$3:$L$1101,7,0),"")</f>
        <v>_</v>
      </c>
      <c r="AP299" s="114" t="str">
        <f>_xlfn.IFNA(VLOOKUP($AI299,Programma!$F$3:$M$1101,8,0),"")</f>
        <v>_</v>
      </c>
      <c r="AQ299" s="114" t="str">
        <f>_xlfn.IFNA(VLOOKUP($AI299,Programma!$F$3:$N$1101,9,0),"")</f>
        <v>_</v>
      </c>
      <c r="AR299" s="114" t="str">
        <f>_xlfn.IFNA(VLOOKUP($AI299,Programma!$F$3:$O$1101,10,0),"")</f>
        <v>5w</v>
      </c>
      <c r="AS299" s="114" t="str">
        <f>_xlfn.IFNA(VLOOKUP($AI299,Programma!$F$3:$P$1101,11,0),"")</f>
        <v>5w</v>
      </c>
      <c r="AT299" s="114" t="str">
        <f>_xlfn.IFNA(VLOOKUP($AI299,Programma!$F$3:$Q$1101,12,0),"")</f>
        <v>1w</v>
      </c>
      <c r="AU299" s="114" t="str">
        <f>_xlfn.IFNA(VLOOKUP($AI299,Programma!$F$3:$R$1101,13,0),"")</f>
        <v>1w</v>
      </c>
      <c r="AV299" s="114" t="str">
        <f>_xlfn.IFNA(VLOOKUP($AI299,Programma!$F$3:$S$1101,14,0),"")</f>
        <v>1m</v>
      </c>
      <c r="AW299" s="114" t="str">
        <f>_xlfn.IFNA(VLOOKUP($AI299,Programma!$F$3:$T$1101,15,0),"")</f>
        <v>2j</v>
      </c>
      <c r="AX299" s="114" t="str">
        <f>_xlfn.IFNA(VLOOKUP($AI299,Programma!$F$3:$U$1101,16,0),"")</f>
        <v>1j</v>
      </c>
      <c r="AY299" s="114" t="str">
        <f>_xlfn.IFNA(VLOOKUP($AI299,Programma!$F$3:$V$1101,17,0),"")</f>
        <v>_</v>
      </c>
      <c r="AZ299" s="114" t="str">
        <f>_xlfn.IFNA(VLOOKUP($AI299,Programma!$F$3:$W$1101,18,0),"")</f>
        <v>_</v>
      </c>
      <c r="BA299" s="114" t="str">
        <f>_xlfn.IFNA(VLOOKUP($AI299,Programma!$F$3:$X$1101,19,0),"")</f>
        <v>_</v>
      </c>
      <c r="BB299" s="114" t="str">
        <f>_xlfn.IFNA(VLOOKUP($AI299,Programma!$F$3:$Y$1101,20,0),"")</f>
        <v>_</v>
      </c>
      <c r="BC299" s="111"/>
      <c r="BD299" s="110" t="str">
        <f>IF(Ruimtestaat[[#This Row],[Frequentie weekend]]="","",_xlfn.CONCAT(Ruimtestaat[[#This Row],[Ruimte code]],"-",Ruimtestaat[[#This Row],[Frequentie weekend]]," ",Ruimtestaat[[#This Row],[Vloer code]]))</f>
        <v/>
      </c>
      <c r="BE299" s="114" t="str">
        <f>_xlfn.IFNA(VLOOKUP($BD299,Programma!$F$3:$G$1101,2,0),"")</f>
        <v/>
      </c>
      <c r="BF299" s="114" t="str">
        <f>_xlfn.IFNA(VLOOKUP($BD299,Programma!$F$3:$H$1101,3,0),"")</f>
        <v/>
      </c>
      <c r="BG299" s="114" t="str">
        <f>_xlfn.IFNA(VLOOKUP($BD299,Programma!$F$3:$I$1101,4,0),"")</f>
        <v/>
      </c>
      <c r="BH299" s="114" t="str">
        <f>_xlfn.IFNA(VLOOKUP($BD299,Programma!$F$3:$J$1101,5,0),"")</f>
        <v/>
      </c>
      <c r="BI299" s="114" t="str">
        <f>_xlfn.IFNA(VLOOKUP($BD299,Programma!$F$3:$K$1101,6,0),"")</f>
        <v/>
      </c>
      <c r="BJ299" s="114" t="str">
        <f>_xlfn.IFNA(VLOOKUP($BD299,Programma!$F$3:$L$1101,7,0),"")</f>
        <v/>
      </c>
      <c r="BK299" s="114" t="str">
        <f>_xlfn.IFNA(VLOOKUP($BD299,Programma!$F$3:$M$1101,8,0),"")</f>
        <v/>
      </c>
      <c r="BL299" s="114" t="str">
        <f>_xlfn.IFNA(VLOOKUP($BD299,Programma!$F$3:$N$1101,9,0),"")</f>
        <v/>
      </c>
      <c r="BM299" s="114" t="str">
        <f>_xlfn.IFNA(VLOOKUP($BD299,Programma!$F$3:$O$1101,10,0),"")</f>
        <v/>
      </c>
      <c r="BN299" s="114" t="str">
        <f>_xlfn.IFNA(VLOOKUP($BD299,Programma!$F$3:$P$1101,11,0),"")</f>
        <v/>
      </c>
      <c r="BO299" s="114" t="str">
        <f>_xlfn.IFNA(VLOOKUP($BD299,Programma!$F$3:$Q$1101,12,0),"")</f>
        <v/>
      </c>
      <c r="BP299" s="114" t="str">
        <f>_xlfn.IFNA(VLOOKUP($BD299,Programma!$F$3:$R$1101,13,0),"")</f>
        <v/>
      </c>
      <c r="BQ299" s="114" t="str">
        <f>_xlfn.IFNA(VLOOKUP($BD299,Programma!$F$3:$S$1101,14,0),"")</f>
        <v/>
      </c>
      <c r="BR299" s="114" t="str">
        <f>_xlfn.IFNA(VLOOKUP($BD299,Programma!$F$3:$T$1101,15,0),"")</f>
        <v/>
      </c>
      <c r="BS299" s="114" t="str">
        <f>_xlfn.IFNA(VLOOKUP($BD299,Programma!$F$3:$U$1101,16,0),"")</f>
        <v/>
      </c>
      <c r="BT299" s="114" t="str">
        <f>_xlfn.IFNA(VLOOKUP($BD299,Programma!$F$3:$V$1101,17,0),"")</f>
        <v/>
      </c>
      <c r="BU299" s="114" t="str">
        <f>_xlfn.IFNA(VLOOKUP($BD299,Programma!$F$3:$W$1101,18,0),"")</f>
        <v/>
      </c>
      <c r="BV299" s="114" t="str">
        <f>_xlfn.IFNA(VLOOKUP($BD299,Programma!$F$3:$X$1101,19,0),"")</f>
        <v/>
      </c>
      <c r="BW299" s="114" t="str">
        <f>_xlfn.IFNA(VLOOKUP($BD299,Programma!$F$3:$Y$1101,20,0),"")</f>
        <v/>
      </c>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c r="EV299" s="28"/>
      <c r="EW299" s="28"/>
      <c r="EX299" s="28"/>
      <c r="EY299" s="28"/>
      <c r="EZ299" s="28"/>
      <c r="FA299" s="28"/>
      <c r="FB299" s="28"/>
      <c r="FC299" s="28"/>
      <c r="FD299" s="28"/>
      <c r="FE299" s="28"/>
      <c r="FF299" s="28"/>
      <c r="FG299" s="28"/>
      <c r="FH299" s="28"/>
      <c r="FI299" s="28"/>
      <c r="FJ299" s="28"/>
      <c r="FK299" s="28"/>
      <c r="FL299" s="28"/>
      <c r="FM299" s="28"/>
      <c r="FN299" s="28"/>
      <c r="FO299" s="28"/>
      <c r="FP299" s="28"/>
      <c r="FQ299" s="28"/>
      <c r="FR299" s="28"/>
      <c r="FS299" s="28"/>
      <c r="FT299" s="28"/>
      <c r="FU299" s="28"/>
      <c r="FV299" s="28"/>
      <c r="FW299" s="28"/>
      <c r="FX299" s="28"/>
      <c r="FY299" s="28"/>
      <c r="FZ299" s="28"/>
      <c r="GA299" s="28"/>
      <c r="GB299" s="28"/>
      <c r="GC299" s="28"/>
      <c r="GD299" s="28"/>
      <c r="GE299" s="28"/>
      <c r="GF299" s="28"/>
      <c r="GG299" s="28"/>
      <c r="GH299" s="28"/>
      <c r="GI299" s="28"/>
      <c r="GJ299" s="28"/>
      <c r="GK299" s="28"/>
      <c r="GL299" s="28"/>
      <c r="GM299" s="28"/>
      <c r="GN299" s="28"/>
      <c r="GO299" s="28"/>
      <c r="GP299" s="28"/>
      <c r="GQ299" s="28"/>
      <c r="GR299" s="28"/>
      <c r="GS299" s="28"/>
      <c r="GT299" s="28"/>
      <c r="GU299" s="28"/>
      <c r="GV299" s="28"/>
      <c r="GW299" s="28"/>
      <c r="GX299" s="28"/>
      <c r="GY299" s="28"/>
      <c r="GZ299" s="28"/>
      <c r="HA299" s="28"/>
      <c r="HB299" s="28"/>
      <c r="HC299" s="28"/>
      <c r="HD299" s="28"/>
      <c r="HE299" s="28"/>
      <c r="HF299" s="28"/>
      <c r="HG299" s="28"/>
      <c r="HH299" s="28"/>
      <c r="HI299" s="28"/>
      <c r="HJ299" s="28"/>
      <c r="HK299" s="28"/>
      <c r="HL299" s="28"/>
    </row>
    <row r="300" spans="1:220" ht="15" customHeight="1">
      <c r="A300" s="31">
        <v>6</v>
      </c>
      <c r="B300" s="105" t="str">
        <f>VLOOKUP(Ruimtestaat[[#This Row],[Code]],Locaties[[Code]:[Locatie]],2,FALSE)</f>
        <v>IKC Joannes</v>
      </c>
      <c r="C300" s="105" t="str">
        <f>VLOOKUP(Ruimtestaat[[#This Row],[Code]],Locaties[[#All],[Code]:[Adres]],4,FALSE)</f>
        <v>Kerkakkers 4</v>
      </c>
      <c r="D300" s="105" t="str">
        <f>VLOOKUP(Ruimtestaat[[#This Row],[Code]],Locaties[[#All],[Code]:[Postcode]],5,FALSE)</f>
        <v>6923 BZ</v>
      </c>
      <c r="E300" s="105" t="str">
        <f>VLOOKUP(Ruimtestaat[[#This Row],[Code]],Locaties[#All],6,FALSE)</f>
        <v>Groessen</v>
      </c>
      <c r="F300" s="113"/>
      <c r="G300" s="31" t="s">
        <v>1645</v>
      </c>
      <c r="H300" s="31" t="s">
        <v>1759</v>
      </c>
      <c r="I300" s="113" t="s">
        <v>1781</v>
      </c>
      <c r="J300" s="31">
        <v>4</v>
      </c>
      <c r="K300" s="113" t="str">
        <f>VLOOKUP(Ruimtestaat[[#This Row],[Ruimte code]],Ruimtegroepen[[#All],[Code]:[Ruimte omschrijving]],2,FALSE)</f>
        <v>Vergader/spreekkamers</v>
      </c>
      <c r="L300" s="31" t="s">
        <v>100</v>
      </c>
      <c r="M300" s="31" t="s">
        <v>1975</v>
      </c>
      <c r="N300" s="106">
        <v>12.96</v>
      </c>
      <c r="O300" s="112"/>
      <c r="P300" s="112"/>
      <c r="Q300" s="107" t="str">
        <f>VLOOKUP(Ruimtestaat[[#This Row],[Ruimte code]],Ruimtegroepen[],4,FALSE)</f>
        <v>Bu</v>
      </c>
      <c r="R300" s="73">
        <v>40</v>
      </c>
      <c r="S300" s="73" t="s">
        <v>15</v>
      </c>
      <c r="T300" s="73">
        <f>IF(R300&gt;0,IF(RIGHT(Ruimtestaat[[#This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00" s="73">
        <f>IF(T300&gt;0,VLOOKUP($J300,Ruimtegroepen[],3,FALSE)*VLOOKUP($L300,Vloersoorten[],3,FALSE)*VLOOKUP($S300,Frequenties[],3,FALSE)*VLOOKUP($A300,Locaties[],3,FALSE),0)</f>
        <v>0</v>
      </c>
      <c r="V300" s="73">
        <f>Ruimtestaat[[#This Row],[Uitvoeringen werkdagen]]*Ruimtestaat[[#This Row],[Oppervlak (netto)]]</f>
        <v>518.40000000000009</v>
      </c>
      <c r="W300" s="108">
        <f>IF(U300&gt;0,Ruimtestaat[[#This Row],[Prest. (m2 /jaar) werkdagen]]/Ruimtestaat[[#This Row],[Norm (m2/uur) werkdagen]],0)</f>
        <v>0</v>
      </c>
      <c r="X300" s="109">
        <f>Ruimtestaat[[#This Row],[uren / jaar werkdagen]]*Tariefsopbouw!$E$35</f>
        <v>0</v>
      </c>
      <c r="Y300" s="73"/>
      <c r="Z300" s="73">
        <f>IF(Ruimtestaat[[#This Row],[Frequentie weekend]]&gt;0,VALUE(LEFT(Y300,1))*R300,0)</f>
        <v>0</v>
      </c>
      <c r="AA300" s="72">
        <f>IF($Z300&gt;0,VLOOKUP($J300,Ruimtegroepen[],3,FALSE)*VLOOKUP($L300,Vloersoorten[],3,FALSE)*VLOOKUP($Y300,Frequenties[],3,FALSE)*VLOOKUP(Ruimtestaat[[#This Row],[Code]],Locaties[],3,FALSE),0)</f>
        <v>0</v>
      </c>
      <c r="AB300" s="72">
        <f>Ruimtestaat[[#This Row],[Uitvoeringen weekend]]*Ruimtestaat[[#This Row],[Oppervlak (netto)]]</f>
        <v>0</v>
      </c>
      <c r="AC300" s="72">
        <f>IF(AA300&gt;0,Ruimtestaat[[#This Row],[Prest. (m2 /jaar) weekend]]/Ruimtestaat[[#This Row],[Norm (m2/uur) weekend]],0)</f>
        <v>0</v>
      </c>
      <c r="AD300" s="109">
        <f>Ruimtestaat[[#This Row],[uren / jaar weekend]]*Tariefsopbouw!$D$40</f>
        <v>0</v>
      </c>
      <c r="AE300" s="108">
        <f>Ruimtestaat[[#This Row],[Prest. (m2 /jaar) weekend]]+Ruimtestaat[[#This Row],[Prest. (m2 /jaar) werkdagen]]</f>
        <v>518.40000000000009</v>
      </c>
      <c r="AF300" s="108">
        <f>Ruimtestaat[[#This Row],[uren / jaar weekend]]+Ruimtestaat[[#This Row],[uren / jaar werkdagen]]</f>
        <v>0</v>
      </c>
      <c r="AG300" s="103">
        <f>Ruimtestaat[[#This Row],[kosten / jaar weekend]]+Ruimtestaat[[#This Row],[kosten / jaar werkdagen]]</f>
        <v>0</v>
      </c>
      <c r="AH300" s="103"/>
      <c r="AI300" s="110" t="str">
        <f>IF(Ruimtestaat[[#This Row],[Frequentie werkdagen]]="","",_xlfn.CONCAT(Ruimtestaat[[#This Row],[Ruimte code]],"-",Ruimtestaat[[#This Row],[Frequentie werkdagen]]," ",Ruimtestaat[[#This Row],[Vloer code]]))</f>
        <v>4-1w L</v>
      </c>
      <c r="AJ300" s="114" t="str">
        <f>_xlfn.IFNA(VLOOKUP($AI300,Programma!$F$3:$G$1101,2,0),"")</f>
        <v>_</v>
      </c>
      <c r="AK300" s="114" t="str">
        <f>_xlfn.IFNA(VLOOKUP($AI300,Programma!$F$3:$H$1101,3,0),"")</f>
        <v>_</v>
      </c>
      <c r="AL300" s="114" t="str">
        <f>_xlfn.IFNA(VLOOKUP($AI300,Programma!$F$3:$I$1101,4,0),"")</f>
        <v>_</v>
      </c>
      <c r="AM300" s="114" t="str">
        <f>_xlfn.IFNA(VLOOKUP($AI300,Programma!$F$3:$J$1101,5,0),"")</f>
        <v>1w</v>
      </c>
      <c r="AN300" s="114" t="str">
        <f>_xlfn.IFNA(VLOOKUP($AI300,Programma!$F$3:$K$1101,6,0),"")</f>
        <v>_</v>
      </c>
      <c r="AO300" s="114" t="str">
        <f>_xlfn.IFNA(VLOOKUP($AI300,Programma!$F$3:$L$1101,7,0),"")</f>
        <v>_</v>
      </c>
      <c r="AP300" s="114" t="str">
        <f>_xlfn.IFNA(VLOOKUP($AI300,Programma!$F$3:$M$1101,8,0),"")</f>
        <v>_</v>
      </c>
      <c r="AQ300" s="114" t="str">
        <f>_xlfn.IFNA(VLOOKUP($AI300,Programma!$F$3:$N$1101,9,0),"")</f>
        <v>_</v>
      </c>
      <c r="AR300" s="114" t="str">
        <f>_xlfn.IFNA(VLOOKUP($AI300,Programma!$F$3:$O$1101,10,0),"")</f>
        <v>1w</v>
      </c>
      <c r="AS300" s="114" t="str">
        <f>_xlfn.IFNA(VLOOKUP($AI300,Programma!$F$3:$P$1101,11,0),"")</f>
        <v>1w</v>
      </c>
      <c r="AT300" s="114" t="str">
        <f>_xlfn.IFNA(VLOOKUP($AI300,Programma!$F$3:$Q$1101,12,0),"")</f>
        <v>1w</v>
      </c>
      <c r="AU300" s="114" t="str">
        <f>_xlfn.IFNA(VLOOKUP($AI300,Programma!$F$3:$R$1101,13,0),"")</f>
        <v>1w</v>
      </c>
      <c r="AV300" s="114" t="str">
        <f>_xlfn.IFNA(VLOOKUP($AI300,Programma!$F$3:$S$1101,14,0),"")</f>
        <v>1m</v>
      </c>
      <c r="AW300" s="114" t="str">
        <f>_xlfn.IFNA(VLOOKUP($AI300,Programma!$F$3:$T$1101,15,0),"")</f>
        <v>2j</v>
      </c>
      <c r="AX300" s="114" t="str">
        <f>_xlfn.IFNA(VLOOKUP($AI300,Programma!$F$3:$U$1101,16,0),"")</f>
        <v>1j</v>
      </c>
      <c r="AY300" s="114" t="str">
        <f>_xlfn.IFNA(VLOOKUP($AI300,Programma!$F$3:$V$1101,17,0),"")</f>
        <v>_</v>
      </c>
      <c r="AZ300" s="114" t="str">
        <f>_xlfn.IFNA(VLOOKUP($AI300,Programma!$F$3:$W$1101,18,0),"")</f>
        <v>_</v>
      </c>
      <c r="BA300" s="114" t="str">
        <f>_xlfn.IFNA(VLOOKUP($AI300,Programma!$F$3:$X$1101,19,0),"")</f>
        <v>_</v>
      </c>
      <c r="BB300" s="114" t="str">
        <f>_xlfn.IFNA(VLOOKUP($AI300,Programma!$F$3:$Y$1101,20,0),"")</f>
        <v>_</v>
      </c>
      <c r="BC300" s="111"/>
      <c r="BD300" s="110" t="str">
        <f>IF(Ruimtestaat[[#This Row],[Frequentie weekend]]="","",_xlfn.CONCAT(Ruimtestaat[[#This Row],[Ruimte code]],"-",Ruimtestaat[[#This Row],[Frequentie weekend]]," ",Ruimtestaat[[#This Row],[Vloer code]]))</f>
        <v/>
      </c>
      <c r="BE300" s="114" t="str">
        <f>_xlfn.IFNA(VLOOKUP($BD300,Programma!$F$3:$G$1101,2,0),"")</f>
        <v/>
      </c>
      <c r="BF300" s="114" t="str">
        <f>_xlfn.IFNA(VLOOKUP($BD300,Programma!$F$3:$H$1101,3,0),"")</f>
        <v/>
      </c>
      <c r="BG300" s="114" t="str">
        <f>_xlfn.IFNA(VLOOKUP($BD300,Programma!$F$3:$I$1101,4,0),"")</f>
        <v/>
      </c>
      <c r="BH300" s="114" t="str">
        <f>_xlfn.IFNA(VLOOKUP($BD300,Programma!$F$3:$J$1101,5,0),"")</f>
        <v/>
      </c>
      <c r="BI300" s="114" t="str">
        <f>_xlfn.IFNA(VLOOKUP($BD300,Programma!$F$3:$K$1101,6,0),"")</f>
        <v/>
      </c>
      <c r="BJ300" s="114" t="str">
        <f>_xlfn.IFNA(VLOOKUP($BD300,Programma!$F$3:$L$1101,7,0),"")</f>
        <v/>
      </c>
      <c r="BK300" s="114" t="str">
        <f>_xlfn.IFNA(VLOOKUP($BD300,Programma!$F$3:$M$1101,8,0),"")</f>
        <v/>
      </c>
      <c r="BL300" s="114" t="str">
        <f>_xlfn.IFNA(VLOOKUP($BD300,Programma!$F$3:$N$1101,9,0),"")</f>
        <v/>
      </c>
      <c r="BM300" s="114" t="str">
        <f>_xlfn.IFNA(VLOOKUP($BD300,Programma!$F$3:$O$1101,10,0),"")</f>
        <v/>
      </c>
      <c r="BN300" s="114" t="str">
        <f>_xlfn.IFNA(VLOOKUP($BD300,Programma!$F$3:$P$1101,11,0),"")</f>
        <v/>
      </c>
      <c r="BO300" s="114" t="str">
        <f>_xlfn.IFNA(VLOOKUP($BD300,Programma!$F$3:$Q$1101,12,0),"")</f>
        <v/>
      </c>
      <c r="BP300" s="114" t="str">
        <f>_xlfn.IFNA(VLOOKUP($BD300,Programma!$F$3:$R$1101,13,0),"")</f>
        <v/>
      </c>
      <c r="BQ300" s="114" t="str">
        <f>_xlfn.IFNA(VLOOKUP($BD300,Programma!$F$3:$S$1101,14,0),"")</f>
        <v/>
      </c>
      <c r="BR300" s="114" t="str">
        <f>_xlfn.IFNA(VLOOKUP($BD300,Programma!$F$3:$T$1101,15,0),"")</f>
        <v/>
      </c>
      <c r="BS300" s="114" t="str">
        <f>_xlfn.IFNA(VLOOKUP($BD300,Programma!$F$3:$U$1101,16,0),"")</f>
        <v/>
      </c>
      <c r="BT300" s="114" t="str">
        <f>_xlfn.IFNA(VLOOKUP($BD300,Programma!$F$3:$V$1101,17,0),"")</f>
        <v/>
      </c>
      <c r="BU300" s="114" t="str">
        <f>_xlfn.IFNA(VLOOKUP($BD300,Programma!$F$3:$W$1101,18,0),"")</f>
        <v/>
      </c>
      <c r="BV300" s="114" t="str">
        <f>_xlfn.IFNA(VLOOKUP($BD300,Programma!$F$3:$X$1101,19,0),"")</f>
        <v/>
      </c>
      <c r="BW300" s="114" t="str">
        <f>_xlfn.IFNA(VLOOKUP($BD300,Programma!$F$3:$Y$1101,20,0),"")</f>
        <v/>
      </c>
      <c r="BX300" s="28"/>
      <c r="BY300" s="28"/>
      <c r="BZ300" s="28"/>
      <c r="CA300" s="28"/>
      <c r="CB300" s="28"/>
      <c r="CC300" s="28"/>
      <c r="CD300" s="28"/>
      <c r="CE300" s="28"/>
      <c r="CF300" s="28"/>
      <c r="CG300" s="28"/>
      <c r="CH300" s="28"/>
      <c r="CI300" s="28"/>
      <c r="CJ300" s="28"/>
      <c r="CK300" s="28"/>
      <c r="CL300" s="28"/>
      <c r="CM300" s="28"/>
      <c r="CN300" s="28"/>
      <c r="CO300" s="28"/>
      <c r="CP300" s="28"/>
      <c r="CQ300" s="28"/>
      <c r="CR300" s="28"/>
      <c r="CS300" s="28"/>
      <c r="CT300" s="28"/>
      <c r="CU300" s="28"/>
      <c r="CV300" s="28"/>
      <c r="CW300" s="28"/>
      <c r="CX300" s="28"/>
      <c r="CY300" s="28"/>
      <c r="CZ300" s="28"/>
      <c r="DA300" s="28"/>
      <c r="DB300" s="28"/>
      <c r="DC300" s="28"/>
      <c r="DD300" s="28"/>
      <c r="DE300" s="28"/>
      <c r="DF300" s="28"/>
      <c r="DG300" s="28"/>
      <c r="DH300" s="28"/>
      <c r="DI300" s="28"/>
      <c r="DJ300" s="28"/>
      <c r="DK300" s="28"/>
      <c r="DL300" s="28"/>
      <c r="DM300" s="28"/>
      <c r="DN300" s="28"/>
      <c r="DO300" s="28"/>
      <c r="DP300" s="28"/>
      <c r="DQ300" s="28"/>
      <c r="DR300" s="28"/>
      <c r="DS300" s="28"/>
      <c r="DT300" s="28"/>
      <c r="DU300" s="28"/>
      <c r="DV300" s="28"/>
      <c r="DW300" s="28"/>
      <c r="DX300" s="28"/>
      <c r="DY300" s="28"/>
      <c r="DZ300" s="28"/>
      <c r="EA300" s="28"/>
      <c r="EB300" s="28"/>
      <c r="EC300" s="28"/>
      <c r="ED300" s="28"/>
      <c r="EE300" s="28"/>
      <c r="EF300" s="28"/>
      <c r="EG300" s="28"/>
      <c r="EH300" s="28"/>
      <c r="EI300" s="28"/>
      <c r="EJ300" s="28"/>
      <c r="EK300" s="28"/>
      <c r="EL300" s="28"/>
      <c r="EM300" s="28"/>
      <c r="EN300" s="28"/>
      <c r="EO300" s="28"/>
      <c r="EP300" s="28"/>
      <c r="EQ300" s="28"/>
      <c r="ER300" s="28"/>
      <c r="ES300" s="28"/>
      <c r="ET300" s="28"/>
      <c r="EU300" s="28"/>
      <c r="EV300" s="28"/>
      <c r="EW300" s="28"/>
      <c r="EX300" s="28"/>
      <c r="EY300" s="28"/>
      <c r="EZ300" s="28"/>
      <c r="FA300" s="28"/>
      <c r="FB300" s="28"/>
      <c r="FC300" s="28"/>
      <c r="FD300" s="28"/>
      <c r="FE300" s="28"/>
      <c r="FF300" s="28"/>
      <c r="FG300" s="28"/>
      <c r="FH300" s="28"/>
      <c r="FI300" s="28"/>
      <c r="FJ300" s="28"/>
      <c r="FK300" s="28"/>
      <c r="FL300" s="28"/>
      <c r="FM300" s="28"/>
      <c r="FN300" s="28"/>
      <c r="FO300" s="28"/>
      <c r="FP300" s="28"/>
      <c r="FQ300" s="28"/>
      <c r="FR300" s="28"/>
      <c r="FS300" s="28"/>
      <c r="FT300" s="28"/>
      <c r="FU300" s="28"/>
      <c r="FV300" s="28"/>
      <c r="FW300" s="28"/>
      <c r="FX300" s="28"/>
      <c r="FY300" s="28"/>
      <c r="FZ300" s="28"/>
      <c r="GA300" s="28"/>
      <c r="GB300" s="28"/>
      <c r="GC300" s="28"/>
      <c r="GD300" s="28"/>
      <c r="GE300" s="28"/>
      <c r="GF300" s="28"/>
      <c r="GG300" s="28"/>
      <c r="GH300" s="28"/>
      <c r="GI300" s="28"/>
      <c r="GJ300" s="28"/>
      <c r="GK300" s="28"/>
      <c r="GL300" s="28"/>
      <c r="GM300" s="28"/>
      <c r="GN300" s="28"/>
      <c r="GO300" s="28"/>
      <c r="GP300" s="28"/>
      <c r="GQ300" s="28"/>
      <c r="GR300" s="28"/>
      <c r="GS300" s="28"/>
      <c r="GT300" s="28"/>
      <c r="GU300" s="28"/>
      <c r="GV300" s="28"/>
      <c r="GW300" s="28"/>
      <c r="GX300" s="28"/>
      <c r="GY300" s="28"/>
      <c r="GZ300" s="28"/>
      <c r="HA300" s="28"/>
      <c r="HB300" s="28"/>
      <c r="HC300" s="28"/>
      <c r="HD300" s="28"/>
      <c r="HE300" s="28"/>
      <c r="HF300" s="28"/>
      <c r="HG300" s="28"/>
      <c r="HH300" s="28"/>
      <c r="HI300" s="28"/>
      <c r="HJ300" s="28"/>
      <c r="HK300" s="28"/>
      <c r="HL300" s="28"/>
    </row>
    <row r="301" spans="1:220" ht="15" customHeight="1">
      <c r="A301" s="31">
        <v>6</v>
      </c>
      <c r="B301" s="105" t="str">
        <f>VLOOKUP(Ruimtestaat[[#This Row],[Code]],Locaties[[Code]:[Locatie]],2,FALSE)</f>
        <v>IKC Joannes</v>
      </c>
      <c r="C301" s="105" t="str">
        <f>VLOOKUP(Ruimtestaat[[#This Row],[Code]],Locaties[[#All],[Code]:[Adres]],4,FALSE)</f>
        <v>Kerkakkers 4</v>
      </c>
      <c r="D301" s="105" t="str">
        <f>VLOOKUP(Ruimtestaat[[#This Row],[Code]],Locaties[[#All],[Code]:[Postcode]],5,FALSE)</f>
        <v>6923 BZ</v>
      </c>
      <c r="E301" s="105" t="str">
        <f>VLOOKUP(Ruimtestaat[[#This Row],[Code]],Locaties[#All],6,FALSE)</f>
        <v>Groessen</v>
      </c>
      <c r="F301" s="113"/>
      <c r="G301" s="31" t="s">
        <v>1645</v>
      </c>
      <c r="H301" s="31" t="s">
        <v>1760</v>
      </c>
      <c r="I301" s="113" t="s">
        <v>1677</v>
      </c>
      <c r="J301" s="31">
        <v>16</v>
      </c>
      <c r="K301" s="113" t="str">
        <f>VLOOKUP(Ruimtestaat[[#This Row],[Ruimte code]],Ruimtegroepen[[#All],[Code]:[Ruimte omschrijving]],2,FALSE)</f>
        <v>Leslokalen</v>
      </c>
      <c r="L301" s="31" t="s">
        <v>99</v>
      </c>
      <c r="M301" s="31" t="s">
        <v>36</v>
      </c>
      <c r="N301" s="106">
        <v>58.08</v>
      </c>
      <c r="O301" s="112"/>
      <c r="P301" s="112"/>
      <c r="Q301" s="107" t="str">
        <f>VLOOKUP(Ruimtestaat[[#This Row],[Ruimte code]],Ruimtegroepen[],4,FALSE)</f>
        <v>Le</v>
      </c>
      <c r="R301" s="73">
        <v>40</v>
      </c>
      <c r="S301" s="73" t="s">
        <v>2</v>
      </c>
      <c r="T301" s="73">
        <f>IF(R301&gt;0,IF(RIGHT(Ruimtestaat[[#This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1" s="73">
        <f>IF(T301&gt;0,VLOOKUP($J301,Ruimtegroepen[],3,FALSE)*VLOOKUP($L301,Vloersoorten[],3,FALSE)*VLOOKUP($S301,Frequenties[],3,FALSE)*VLOOKUP($A301,Locaties[],3,FALSE),0)</f>
        <v>0</v>
      </c>
      <c r="V301" s="73">
        <f>Ruimtestaat[[#This Row],[Uitvoeringen werkdagen]]*Ruimtestaat[[#This Row],[Oppervlak (netto)]]</f>
        <v>11616</v>
      </c>
      <c r="W301" s="108">
        <f>IF(U301&gt;0,Ruimtestaat[[#This Row],[Prest. (m2 /jaar) werkdagen]]/Ruimtestaat[[#This Row],[Norm (m2/uur) werkdagen]],0)</f>
        <v>0</v>
      </c>
      <c r="X301" s="109">
        <f>Ruimtestaat[[#This Row],[uren / jaar werkdagen]]*Tariefsopbouw!$E$35</f>
        <v>0</v>
      </c>
      <c r="Y301" s="73"/>
      <c r="Z301" s="73">
        <f>IF(Ruimtestaat[[#This Row],[Frequentie weekend]]&gt;0,VALUE(LEFT(Y301,1))*R301,0)</f>
        <v>0</v>
      </c>
      <c r="AA301" s="72">
        <f>IF($Z301&gt;0,VLOOKUP($J301,Ruimtegroepen[],3,FALSE)*VLOOKUP($L301,Vloersoorten[],3,FALSE)*VLOOKUP($Y301,Frequenties[],3,FALSE)*VLOOKUP(Ruimtestaat[[#This Row],[Code]],Locaties[],3,FALSE),0)</f>
        <v>0</v>
      </c>
      <c r="AB301" s="72">
        <f>Ruimtestaat[[#This Row],[Uitvoeringen weekend]]*Ruimtestaat[[#This Row],[Oppervlak (netto)]]</f>
        <v>0</v>
      </c>
      <c r="AC301" s="72">
        <f>IF(AA301&gt;0,Ruimtestaat[[#This Row],[Prest. (m2 /jaar) weekend]]/Ruimtestaat[[#This Row],[Norm (m2/uur) weekend]],0)</f>
        <v>0</v>
      </c>
      <c r="AD301" s="109">
        <f>Ruimtestaat[[#This Row],[uren / jaar weekend]]*Tariefsopbouw!$D$40</f>
        <v>0</v>
      </c>
      <c r="AE301" s="108">
        <f>Ruimtestaat[[#This Row],[Prest. (m2 /jaar) weekend]]+Ruimtestaat[[#This Row],[Prest. (m2 /jaar) werkdagen]]</f>
        <v>11616</v>
      </c>
      <c r="AF301" s="108">
        <f>Ruimtestaat[[#This Row],[uren / jaar weekend]]+Ruimtestaat[[#This Row],[uren / jaar werkdagen]]</f>
        <v>0</v>
      </c>
      <c r="AG301" s="103">
        <f>Ruimtestaat[[#This Row],[kosten / jaar weekend]]+Ruimtestaat[[#This Row],[kosten / jaar werkdagen]]</f>
        <v>0</v>
      </c>
      <c r="AH301" s="103"/>
      <c r="AI301" s="110" t="str">
        <f>IF(Ruimtestaat[[#This Row],[Frequentie werkdagen]]="","",_xlfn.CONCAT(Ruimtestaat[[#This Row],[Ruimte code]],"-",Ruimtestaat[[#This Row],[Frequentie werkdagen]]," ",Ruimtestaat[[#This Row],[Vloer code]]))</f>
        <v>16-5w T</v>
      </c>
      <c r="AJ301" s="114" t="str">
        <f>_xlfn.IFNA(VLOOKUP($AI301,Programma!$F$3:$G$1101,2,0),"")</f>
        <v>3w</v>
      </c>
      <c r="AK301" s="114" t="str">
        <f>_xlfn.IFNA(VLOOKUP($AI301,Programma!$F$3:$H$1101,3,0),"")</f>
        <v>2w</v>
      </c>
      <c r="AL301" s="114" t="str">
        <f>_xlfn.IFNA(VLOOKUP($AI301,Programma!$F$3:$I$1101,4,0),"")</f>
        <v>_</v>
      </c>
      <c r="AM301" s="114" t="str">
        <f>_xlfn.IFNA(VLOOKUP($AI301,Programma!$F$3:$J$1101,5,0),"")</f>
        <v>_</v>
      </c>
      <c r="AN301" s="114" t="str">
        <f>_xlfn.IFNA(VLOOKUP($AI301,Programma!$F$3:$K$1101,6,0),"")</f>
        <v>_</v>
      </c>
      <c r="AO301" s="114" t="str">
        <f>_xlfn.IFNA(VLOOKUP($AI301,Programma!$F$3:$L$1101,7,0),"")</f>
        <v>_</v>
      </c>
      <c r="AP301" s="114" t="str">
        <f>_xlfn.IFNA(VLOOKUP($AI301,Programma!$F$3:$M$1101,8,0),"")</f>
        <v>_</v>
      </c>
      <c r="AQ301" s="114" t="str">
        <f>_xlfn.IFNA(VLOOKUP($AI301,Programma!$F$3:$N$1101,9,0),"")</f>
        <v>_</v>
      </c>
      <c r="AR301" s="114" t="str">
        <f>_xlfn.IFNA(VLOOKUP($AI301,Programma!$F$3:$O$1101,10,0),"")</f>
        <v>5w</v>
      </c>
      <c r="AS301" s="114" t="str">
        <f>_xlfn.IFNA(VLOOKUP($AI301,Programma!$F$3:$P$1101,11,0),"")</f>
        <v>5w</v>
      </c>
      <c r="AT301" s="114" t="str">
        <f>_xlfn.IFNA(VLOOKUP($AI301,Programma!$F$3:$Q$1101,12,0),"")</f>
        <v>1w</v>
      </c>
      <c r="AU301" s="114" t="str">
        <f>_xlfn.IFNA(VLOOKUP($AI301,Programma!$F$3:$R$1101,13,0),"")</f>
        <v>1w</v>
      </c>
      <c r="AV301" s="114" t="str">
        <f>_xlfn.IFNA(VLOOKUP($AI301,Programma!$F$3:$S$1101,14,0),"")</f>
        <v>1m</v>
      </c>
      <c r="AW301" s="114" t="str">
        <f>_xlfn.IFNA(VLOOKUP($AI301,Programma!$F$3:$T$1101,15,0),"")</f>
        <v>2j</v>
      </c>
      <c r="AX301" s="114" t="str">
        <f>_xlfn.IFNA(VLOOKUP($AI301,Programma!$F$3:$U$1101,16,0),"")</f>
        <v>1j</v>
      </c>
      <c r="AY301" s="114" t="str">
        <f>_xlfn.IFNA(VLOOKUP($AI301,Programma!$F$3:$V$1101,17,0),"")</f>
        <v>_</v>
      </c>
      <c r="AZ301" s="114" t="str">
        <f>_xlfn.IFNA(VLOOKUP($AI301,Programma!$F$3:$W$1101,18,0),"")</f>
        <v>_</v>
      </c>
      <c r="BA301" s="114" t="str">
        <f>_xlfn.IFNA(VLOOKUP($AI301,Programma!$F$3:$X$1101,19,0),"")</f>
        <v>_</v>
      </c>
      <c r="BB301" s="114" t="str">
        <f>_xlfn.IFNA(VLOOKUP($AI301,Programma!$F$3:$Y$1101,20,0),"")</f>
        <v>_</v>
      </c>
      <c r="BC301" s="111"/>
      <c r="BD301" s="110" t="str">
        <f>IF(Ruimtestaat[[#This Row],[Frequentie weekend]]="","",_xlfn.CONCAT(Ruimtestaat[[#This Row],[Ruimte code]],"-",Ruimtestaat[[#This Row],[Frequentie weekend]]," ",Ruimtestaat[[#This Row],[Vloer code]]))</f>
        <v/>
      </c>
      <c r="BE301" s="114" t="str">
        <f>_xlfn.IFNA(VLOOKUP($BD301,Programma!$F$3:$G$1101,2,0),"")</f>
        <v/>
      </c>
      <c r="BF301" s="114" t="str">
        <f>_xlfn.IFNA(VLOOKUP($BD301,Programma!$F$3:$H$1101,3,0),"")</f>
        <v/>
      </c>
      <c r="BG301" s="114" t="str">
        <f>_xlfn.IFNA(VLOOKUP($BD301,Programma!$F$3:$I$1101,4,0),"")</f>
        <v/>
      </c>
      <c r="BH301" s="114" t="str">
        <f>_xlfn.IFNA(VLOOKUP($BD301,Programma!$F$3:$J$1101,5,0),"")</f>
        <v/>
      </c>
      <c r="BI301" s="114" t="str">
        <f>_xlfn.IFNA(VLOOKUP($BD301,Programma!$F$3:$K$1101,6,0),"")</f>
        <v/>
      </c>
      <c r="BJ301" s="114" t="str">
        <f>_xlfn.IFNA(VLOOKUP($BD301,Programma!$F$3:$L$1101,7,0),"")</f>
        <v/>
      </c>
      <c r="BK301" s="114" t="str">
        <f>_xlfn.IFNA(VLOOKUP($BD301,Programma!$F$3:$M$1101,8,0),"")</f>
        <v/>
      </c>
      <c r="BL301" s="114" t="str">
        <f>_xlfn.IFNA(VLOOKUP($BD301,Programma!$F$3:$N$1101,9,0),"")</f>
        <v/>
      </c>
      <c r="BM301" s="114" t="str">
        <f>_xlfn.IFNA(VLOOKUP($BD301,Programma!$F$3:$O$1101,10,0),"")</f>
        <v/>
      </c>
      <c r="BN301" s="114" t="str">
        <f>_xlfn.IFNA(VLOOKUP($BD301,Programma!$F$3:$P$1101,11,0),"")</f>
        <v/>
      </c>
      <c r="BO301" s="114" t="str">
        <f>_xlfn.IFNA(VLOOKUP($BD301,Programma!$F$3:$Q$1101,12,0),"")</f>
        <v/>
      </c>
      <c r="BP301" s="114" t="str">
        <f>_xlfn.IFNA(VLOOKUP($BD301,Programma!$F$3:$R$1101,13,0),"")</f>
        <v/>
      </c>
      <c r="BQ301" s="114" t="str">
        <f>_xlfn.IFNA(VLOOKUP($BD301,Programma!$F$3:$S$1101,14,0),"")</f>
        <v/>
      </c>
      <c r="BR301" s="114" t="str">
        <f>_xlfn.IFNA(VLOOKUP($BD301,Programma!$F$3:$T$1101,15,0),"")</f>
        <v/>
      </c>
      <c r="BS301" s="114" t="str">
        <f>_xlfn.IFNA(VLOOKUP($BD301,Programma!$F$3:$U$1101,16,0),"")</f>
        <v/>
      </c>
      <c r="BT301" s="114" t="str">
        <f>_xlfn.IFNA(VLOOKUP($BD301,Programma!$F$3:$V$1101,17,0),"")</f>
        <v/>
      </c>
      <c r="BU301" s="114" t="str">
        <f>_xlfn.IFNA(VLOOKUP($BD301,Programma!$F$3:$W$1101,18,0),"")</f>
        <v/>
      </c>
      <c r="BV301" s="114" t="str">
        <f>_xlfn.IFNA(VLOOKUP($BD301,Programma!$F$3:$X$1101,19,0),"")</f>
        <v/>
      </c>
      <c r="BW301" s="114" t="str">
        <f>_xlfn.IFNA(VLOOKUP($BD301,Programma!$F$3:$Y$1101,20,0),"")</f>
        <v/>
      </c>
      <c r="BX301" s="28"/>
      <c r="BY301" s="28"/>
      <c r="BZ301" s="28"/>
      <c r="CA301" s="28"/>
      <c r="CB301" s="28"/>
      <c r="CC301" s="28"/>
      <c r="CD301" s="28"/>
      <c r="CE301" s="28"/>
      <c r="CF301" s="28"/>
      <c r="CG301" s="28"/>
      <c r="CH301" s="28"/>
      <c r="CI301" s="28"/>
      <c r="CJ301" s="28"/>
      <c r="CK301" s="28"/>
      <c r="CL301" s="28"/>
      <c r="CM301" s="28"/>
      <c r="CN301" s="28"/>
      <c r="CO301" s="28"/>
      <c r="CP301" s="28"/>
      <c r="CQ301" s="28"/>
      <c r="CR301" s="28"/>
      <c r="CS301" s="28"/>
      <c r="CT301" s="28"/>
      <c r="CU301" s="28"/>
      <c r="CV301" s="28"/>
      <c r="CW301" s="28"/>
      <c r="CX301" s="28"/>
      <c r="CY301" s="28"/>
      <c r="CZ301" s="28"/>
      <c r="DA301" s="28"/>
      <c r="DB301" s="28"/>
      <c r="DC301" s="28"/>
      <c r="DD301" s="28"/>
      <c r="DE301" s="28"/>
      <c r="DF301" s="28"/>
      <c r="DG301" s="28"/>
      <c r="DH301" s="28"/>
      <c r="DI301" s="28"/>
      <c r="DJ301" s="28"/>
      <c r="DK301" s="28"/>
      <c r="DL301" s="28"/>
      <c r="DM301" s="28"/>
      <c r="DN301" s="28"/>
      <c r="DO301" s="28"/>
      <c r="DP301" s="28"/>
      <c r="DQ301" s="28"/>
      <c r="DR301" s="28"/>
      <c r="DS301" s="28"/>
      <c r="DT301" s="28"/>
      <c r="DU301" s="28"/>
      <c r="DV301" s="28"/>
      <c r="DW301" s="28"/>
      <c r="DX301" s="28"/>
      <c r="DY301" s="28"/>
      <c r="DZ301" s="28"/>
      <c r="EA301" s="28"/>
      <c r="EB301" s="28"/>
      <c r="EC301" s="28"/>
      <c r="ED301" s="28"/>
      <c r="EE301" s="28"/>
      <c r="EF301" s="28"/>
      <c r="EG301" s="28"/>
      <c r="EH301" s="28"/>
      <c r="EI301" s="28"/>
      <c r="EJ301" s="28"/>
      <c r="EK301" s="28"/>
      <c r="EL301" s="28"/>
      <c r="EM301" s="28"/>
      <c r="EN301" s="28"/>
      <c r="EO301" s="28"/>
      <c r="EP301" s="28"/>
      <c r="EQ301" s="28"/>
      <c r="ER301" s="28"/>
      <c r="ES301" s="28"/>
      <c r="ET301" s="28"/>
      <c r="EU301" s="28"/>
      <c r="EV301" s="28"/>
      <c r="EW301" s="28"/>
      <c r="EX301" s="28"/>
      <c r="EY301" s="28"/>
      <c r="EZ301" s="28"/>
      <c r="FA301" s="28"/>
      <c r="FB301" s="28"/>
      <c r="FC301" s="28"/>
      <c r="FD301" s="28"/>
      <c r="FE301" s="28"/>
      <c r="FF301" s="28"/>
      <c r="FG301" s="28"/>
      <c r="FH301" s="28"/>
      <c r="FI301" s="28"/>
      <c r="FJ301" s="28"/>
      <c r="FK301" s="28"/>
      <c r="FL301" s="28"/>
      <c r="FM301" s="28"/>
      <c r="FN301" s="28"/>
      <c r="FO301" s="28"/>
      <c r="FP301" s="28"/>
      <c r="FQ301" s="28"/>
      <c r="FR301" s="28"/>
      <c r="FS301" s="28"/>
      <c r="FT301" s="28"/>
      <c r="FU301" s="28"/>
      <c r="FV301" s="28"/>
      <c r="FW301" s="28"/>
      <c r="FX301" s="28"/>
      <c r="FY301" s="28"/>
      <c r="FZ301" s="28"/>
      <c r="GA301" s="28"/>
      <c r="GB301" s="28"/>
      <c r="GC301" s="28"/>
      <c r="GD301" s="28"/>
      <c r="GE301" s="28"/>
      <c r="GF301" s="28"/>
      <c r="GG301" s="28"/>
      <c r="GH301" s="28"/>
      <c r="GI301" s="28"/>
      <c r="GJ301" s="28"/>
      <c r="GK301" s="28"/>
      <c r="GL301" s="28"/>
      <c r="GM301" s="28"/>
      <c r="GN301" s="28"/>
      <c r="GO301" s="28"/>
      <c r="GP301" s="28"/>
      <c r="GQ301" s="28"/>
      <c r="GR301" s="28"/>
      <c r="GS301" s="28"/>
      <c r="GT301" s="28"/>
      <c r="GU301" s="28"/>
      <c r="GV301" s="28"/>
      <c r="GW301" s="28"/>
      <c r="GX301" s="28"/>
      <c r="GY301" s="28"/>
      <c r="GZ301" s="28"/>
      <c r="HA301" s="28"/>
      <c r="HB301" s="28"/>
      <c r="HC301" s="28"/>
      <c r="HD301" s="28"/>
      <c r="HE301" s="28"/>
      <c r="HF301" s="28"/>
      <c r="HG301" s="28"/>
      <c r="HH301" s="28"/>
      <c r="HI301" s="28"/>
      <c r="HJ301" s="28"/>
      <c r="HK301" s="28"/>
      <c r="HL301" s="28"/>
    </row>
    <row r="302" spans="1:220" ht="15" customHeight="1">
      <c r="A302" s="31">
        <v>6</v>
      </c>
      <c r="B302" s="105" t="str">
        <f>VLOOKUP(Ruimtestaat[[#This Row],[Code]],Locaties[[Code]:[Locatie]],2,FALSE)</f>
        <v>IKC Joannes</v>
      </c>
      <c r="C302" s="105" t="str">
        <f>VLOOKUP(Ruimtestaat[[#This Row],[Code]],Locaties[[#All],[Code]:[Adres]],4,FALSE)</f>
        <v>Kerkakkers 4</v>
      </c>
      <c r="D302" s="105" t="str">
        <f>VLOOKUP(Ruimtestaat[[#This Row],[Code]],Locaties[[#All],[Code]:[Postcode]],5,FALSE)</f>
        <v>6923 BZ</v>
      </c>
      <c r="E302" s="105" t="str">
        <f>VLOOKUP(Ruimtestaat[[#This Row],[Code]],Locaties[#All],6,FALSE)</f>
        <v>Groessen</v>
      </c>
      <c r="F302" s="113"/>
      <c r="G302" s="31" t="s">
        <v>1645</v>
      </c>
      <c r="H302" s="31" t="s">
        <v>1761</v>
      </c>
      <c r="I302" s="113" t="s">
        <v>1904</v>
      </c>
      <c r="J302" s="31">
        <v>1</v>
      </c>
      <c r="K302" s="113" t="str">
        <f>VLOOKUP(Ruimtestaat[[#This Row],[Ruimte code]],Ruimtegroepen[[#All],[Code]:[Ruimte omschrijving]],2,FALSE)</f>
        <v>Magazijnen/bergingen</v>
      </c>
      <c r="L302" s="31" t="s">
        <v>100</v>
      </c>
      <c r="M302" s="31" t="s">
        <v>1975</v>
      </c>
      <c r="N302" s="106">
        <v>11.2</v>
      </c>
      <c r="O302" s="112"/>
      <c r="P302" s="112"/>
      <c r="Q302" s="107" t="str">
        <f>VLOOKUP(Ruimtestaat[[#This Row],[Ruimte code]],Ruimtegroepen[],4,FALSE)</f>
        <v>Ve</v>
      </c>
      <c r="R302" s="73">
        <v>40</v>
      </c>
      <c r="S302" s="73" t="s">
        <v>16</v>
      </c>
      <c r="T302" s="73">
        <f>IF(R302&gt;0,IF(RIGHT(Ruimtestaat[[#This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02" s="73">
        <f>IF(T302&gt;0,VLOOKUP($J302,Ruimtegroepen[],3,FALSE)*VLOOKUP($L302,Vloersoorten[],3,FALSE)*VLOOKUP($S302,Frequenties[],3,FALSE)*VLOOKUP($A302,Locaties[],3,FALSE),0)</f>
        <v>0</v>
      </c>
      <c r="V302" s="73">
        <f>Ruimtestaat[[#This Row],[Uitvoeringen werkdagen]]*Ruimtestaat[[#This Row],[Oppervlak (netto)]]</f>
        <v>134.39999999999998</v>
      </c>
      <c r="W302" s="108">
        <f>IF(U302&gt;0,Ruimtestaat[[#This Row],[Prest. (m2 /jaar) werkdagen]]/Ruimtestaat[[#This Row],[Norm (m2/uur) werkdagen]],0)</f>
        <v>0</v>
      </c>
      <c r="X302" s="109">
        <f>Ruimtestaat[[#This Row],[uren / jaar werkdagen]]*Tariefsopbouw!$E$35</f>
        <v>0</v>
      </c>
      <c r="Y302" s="73"/>
      <c r="Z302" s="73">
        <f>IF(Ruimtestaat[[#This Row],[Frequentie weekend]]&gt;0,VALUE(LEFT(Y302,1))*R302,0)</f>
        <v>0</v>
      </c>
      <c r="AA302" s="72">
        <f>IF($Z302&gt;0,VLOOKUP($J302,Ruimtegroepen[],3,FALSE)*VLOOKUP($L302,Vloersoorten[],3,FALSE)*VLOOKUP($Y302,Frequenties[],3,FALSE)*VLOOKUP(Ruimtestaat[[#This Row],[Code]],Locaties[],3,FALSE),0)</f>
        <v>0</v>
      </c>
      <c r="AB302" s="72">
        <f>Ruimtestaat[[#This Row],[Uitvoeringen weekend]]*Ruimtestaat[[#This Row],[Oppervlak (netto)]]</f>
        <v>0</v>
      </c>
      <c r="AC302" s="72">
        <f>IF(AA302&gt;0,Ruimtestaat[[#This Row],[Prest. (m2 /jaar) weekend]]/Ruimtestaat[[#This Row],[Norm (m2/uur) weekend]],0)</f>
        <v>0</v>
      </c>
      <c r="AD302" s="109">
        <f>Ruimtestaat[[#This Row],[uren / jaar weekend]]*Tariefsopbouw!$D$40</f>
        <v>0</v>
      </c>
      <c r="AE302" s="108">
        <f>Ruimtestaat[[#This Row],[Prest. (m2 /jaar) weekend]]+Ruimtestaat[[#This Row],[Prest. (m2 /jaar) werkdagen]]</f>
        <v>134.39999999999998</v>
      </c>
      <c r="AF302" s="108">
        <f>Ruimtestaat[[#This Row],[uren / jaar weekend]]+Ruimtestaat[[#This Row],[uren / jaar werkdagen]]</f>
        <v>0</v>
      </c>
      <c r="AG302" s="103">
        <f>Ruimtestaat[[#This Row],[kosten / jaar weekend]]+Ruimtestaat[[#This Row],[kosten / jaar werkdagen]]</f>
        <v>0</v>
      </c>
      <c r="AH302" s="103"/>
      <c r="AI302" s="110" t="str">
        <f>IF(Ruimtestaat[[#This Row],[Frequentie werkdagen]]="","",_xlfn.CONCAT(Ruimtestaat[[#This Row],[Ruimte code]],"-",Ruimtestaat[[#This Row],[Frequentie werkdagen]]," ",Ruimtestaat[[#This Row],[Vloer code]]))</f>
        <v>1-1m L</v>
      </c>
      <c r="AJ302" s="114" t="str">
        <f>_xlfn.IFNA(VLOOKUP($AI302,Programma!$F$3:$G$1101,2,0),"")</f>
        <v>_</v>
      </c>
      <c r="AK302" s="114" t="str">
        <f>_xlfn.IFNA(VLOOKUP($AI302,Programma!$F$3:$H$1101,3,0),"")</f>
        <v>_</v>
      </c>
      <c r="AL302" s="114" t="str">
        <f>_xlfn.IFNA(VLOOKUP($AI302,Programma!$F$3:$I$1101,4,0),"")</f>
        <v>1m</v>
      </c>
      <c r="AM302" s="114" t="str">
        <f>_xlfn.IFNA(VLOOKUP($AI302,Programma!$F$3:$J$1101,5,0),"")</f>
        <v>1m</v>
      </c>
      <c r="AN302" s="114" t="str">
        <f>_xlfn.IFNA(VLOOKUP($AI302,Programma!$F$3:$K$1101,6,0),"")</f>
        <v>_</v>
      </c>
      <c r="AO302" s="114" t="str">
        <f>_xlfn.IFNA(VLOOKUP($AI302,Programma!$F$3:$L$1101,7,0),"")</f>
        <v>_</v>
      </c>
      <c r="AP302" s="114" t="str">
        <f>_xlfn.IFNA(VLOOKUP($AI302,Programma!$F$3:$M$1101,8,0),"")</f>
        <v>_</v>
      </c>
      <c r="AQ302" s="114" t="str">
        <f>_xlfn.IFNA(VLOOKUP($AI302,Programma!$F$3:$N$1101,9,0),"")</f>
        <v>_</v>
      </c>
      <c r="AR302" s="114" t="str">
        <f>_xlfn.IFNA(VLOOKUP($AI302,Programma!$F$3:$O$1101,10,0),"")</f>
        <v>_</v>
      </c>
      <c r="AS302" s="114" t="str">
        <f>_xlfn.IFNA(VLOOKUP($AI302,Programma!$F$3:$P$1101,11,0),"")</f>
        <v>_</v>
      </c>
      <c r="AT302" s="114" t="str">
        <f>_xlfn.IFNA(VLOOKUP($AI302,Programma!$F$3:$Q$1101,12,0),"")</f>
        <v>_</v>
      </c>
      <c r="AU302" s="114" t="str">
        <f>_xlfn.IFNA(VLOOKUP($AI302,Programma!$F$3:$R$1101,13,0),"")</f>
        <v>_</v>
      </c>
      <c r="AV302" s="114" t="str">
        <f>_xlfn.IFNA(VLOOKUP($AI302,Programma!$F$3:$S$1101,14,0),"")</f>
        <v>1m</v>
      </c>
      <c r="AW302" s="114" t="str">
        <f>_xlfn.IFNA(VLOOKUP($AI302,Programma!$F$3:$T$1101,15,0),"")</f>
        <v>4j</v>
      </c>
      <c r="AX302" s="114" t="str">
        <f>_xlfn.IFNA(VLOOKUP($AI302,Programma!$F$3:$U$1101,16,0),"")</f>
        <v>4j</v>
      </c>
      <c r="AY302" s="114" t="str">
        <f>_xlfn.IFNA(VLOOKUP($AI302,Programma!$F$3:$V$1101,17,0),"")</f>
        <v>_</v>
      </c>
      <c r="AZ302" s="114" t="str">
        <f>_xlfn.IFNA(VLOOKUP($AI302,Programma!$F$3:$W$1101,18,0),"")</f>
        <v>_</v>
      </c>
      <c r="BA302" s="114" t="str">
        <f>_xlfn.IFNA(VLOOKUP($AI302,Programma!$F$3:$X$1101,19,0),"")</f>
        <v>_</v>
      </c>
      <c r="BB302" s="114" t="str">
        <f>_xlfn.IFNA(VLOOKUP($AI302,Programma!$F$3:$Y$1101,20,0),"")</f>
        <v>_</v>
      </c>
      <c r="BC302" s="111"/>
      <c r="BD302" s="110" t="str">
        <f>IF(Ruimtestaat[[#This Row],[Frequentie weekend]]="","",_xlfn.CONCAT(Ruimtestaat[[#This Row],[Ruimte code]],"-",Ruimtestaat[[#This Row],[Frequentie weekend]]," ",Ruimtestaat[[#This Row],[Vloer code]]))</f>
        <v/>
      </c>
      <c r="BE302" s="114" t="str">
        <f>_xlfn.IFNA(VLOOKUP($BD302,Programma!$F$3:$G$1101,2,0),"")</f>
        <v/>
      </c>
      <c r="BF302" s="114" t="str">
        <f>_xlfn.IFNA(VLOOKUP($BD302,Programma!$F$3:$H$1101,3,0),"")</f>
        <v/>
      </c>
      <c r="BG302" s="114" t="str">
        <f>_xlfn.IFNA(VLOOKUP($BD302,Programma!$F$3:$I$1101,4,0),"")</f>
        <v/>
      </c>
      <c r="BH302" s="114" t="str">
        <f>_xlfn.IFNA(VLOOKUP($BD302,Programma!$F$3:$J$1101,5,0),"")</f>
        <v/>
      </c>
      <c r="BI302" s="114" t="str">
        <f>_xlfn.IFNA(VLOOKUP($BD302,Programma!$F$3:$K$1101,6,0),"")</f>
        <v/>
      </c>
      <c r="BJ302" s="114" t="str">
        <f>_xlfn.IFNA(VLOOKUP($BD302,Programma!$F$3:$L$1101,7,0),"")</f>
        <v/>
      </c>
      <c r="BK302" s="114" t="str">
        <f>_xlfn.IFNA(VLOOKUP($BD302,Programma!$F$3:$M$1101,8,0),"")</f>
        <v/>
      </c>
      <c r="BL302" s="114" t="str">
        <f>_xlfn.IFNA(VLOOKUP($BD302,Programma!$F$3:$N$1101,9,0),"")</f>
        <v/>
      </c>
      <c r="BM302" s="114" t="str">
        <f>_xlfn.IFNA(VLOOKUP($BD302,Programma!$F$3:$O$1101,10,0),"")</f>
        <v/>
      </c>
      <c r="BN302" s="114" t="str">
        <f>_xlfn.IFNA(VLOOKUP($BD302,Programma!$F$3:$P$1101,11,0),"")</f>
        <v/>
      </c>
      <c r="BO302" s="114" t="str">
        <f>_xlfn.IFNA(VLOOKUP($BD302,Programma!$F$3:$Q$1101,12,0),"")</f>
        <v/>
      </c>
      <c r="BP302" s="114" t="str">
        <f>_xlfn.IFNA(VLOOKUP($BD302,Programma!$F$3:$R$1101,13,0),"")</f>
        <v/>
      </c>
      <c r="BQ302" s="114" t="str">
        <f>_xlfn.IFNA(VLOOKUP($BD302,Programma!$F$3:$S$1101,14,0),"")</f>
        <v/>
      </c>
      <c r="BR302" s="114" t="str">
        <f>_xlfn.IFNA(VLOOKUP($BD302,Programma!$F$3:$T$1101,15,0),"")</f>
        <v/>
      </c>
      <c r="BS302" s="114" t="str">
        <f>_xlfn.IFNA(VLOOKUP($BD302,Programma!$F$3:$U$1101,16,0),"")</f>
        <v/>
      </c>
      <c r="BT302" s="114" t="str">
        <f>_xlfn.IFNA(VLOOKUP($BD302,Programma!$F$3:$V$1101,17,0),"")</f>
        <v/>
      </c>
      <c r="BU302" s="114" t="str">
        <f>_xlfn.IFNA(VLOOKUP($BD302,Programma!$F$3:$W$1101,18,0),"")</f>
        <v/>
      </c>
      <c r="BV302" s="114" t="str">
        <f>_xlfn.IFNA(VLOOKUP($BD302,Programma!$F$3:$X$1101,19,0),"")</f>
        <v/>
      </c>
      <c r="BW302" s="114" t="str">
        <f>_xlfn.IFNA(VLOOKUP($BD302,Programma!$F$3:$Y$1101,20,0),"")</f>
        <v/>
      </c>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c r="EV302" s="28"/>
      <c r="EW302" s="28"/>
      <c r="EX302" s="28"/>
      <c r="EY302" s="28"/>
      <c r="EZ302" s="28"/>
      <c r="FA302" s="28"/>
      <c r="FB302" s="28"/>
      <c r="FC302" s="28"/>
      <c r="FD302" s="28"/>
      <c r="FE302" s="28"/>
      <c r="FF302" s="28"/>
      <c r="FG302" s="28"/>
      <c r="FH302" s="28"/>
      <c r="FI302" s="28"/>
      <c r="FJ302" s="28"/>
      <c r="FK302" s="28"/>
      <c r="FL302" s="28"/>
      <c r="FM302" s="28"/>
      <c r="FN302" s="28"/>
      <c r="FO302" s="28"/>
      <c r="FP302" s="28"/>
      <c r="FQ302" s="28"/>
      <c r="FR302" s="28"/>
      <c r="FS302" s="28"/>
      <c r="FT302" s="28"/>
      <c r="FU302" s="28"/>
      <c r="FV302" s="28"/>
      <c r="FW302" s="28"/>
      <c r="FX302" s="28"/>
      <c r="FY302" s="28"/>
      <c r="FZ302" s="28"/>
      <c r="GA302" s="28"/>
      <c r="GB302" s="28"/>
      <c r="GC302" s="28"/>
      <c r="GD302" s="28"/>
      <c r="GE302" s="28"/>
      <c r="GF302" s="28"/>
      <c r="GG302" s="28"/>
      <c r="GH302" s="28"/>
      <c r="GI302" s="28"/>
      <c r="GJ302" s="28"/>
      <c r="GK302" s="28"/>
      <c r="GL302" s="28"/>
      <c r="GM302" s="28"/>
      <c r="GN302" s="28"/>
      <c r="GO302" s="28"/>
      <c r="GP302" s="28"/>
      <c r="GQ302" s="28"/>
      <c r="GR302" s="28"/>
      <c r="GS302" s="28"/>
      <c r="GT302" s="28"/>
      <c r="GU302" s="28"/>
      <c r="GV302" s="28"/>
      <c r="GW302" s="28"/>
      <c r="GX302" s="28"/>
      <c r="GY302" s="28"/>
      <c r="GZ302" s="28"/>
      <c r="HA302" s="28"/>
      <c r="HB302" s="28"/>
      <c r="HC302" s="28"/>
      <c r="HD302" s="28"/>
      <c r="HE302" s="28"/>
      <c r="HF302" s="28"/>
      <c r="HG302" s="28"/>
      <c r="HH302" s="28"/>
      <c r="HI302" s="28"/>
      <c r="HJ302" s="28"/>
      <c r="HK302" s="28"/>
      <c r="HL302" s="28"/>
    </row>
    <row r="303" spans="1:220" ht="15" customHeight="1">
      <c r="A303" s="31">
        <v>6</v>
      </c>
      <c r="B303" s="105" t="str">
        <f>VLOOKUP(Ruimtestaat[[#This Row],[Code]],Locaties[[Code]:[Locatie]],2,FALSE)</f>
        <v>IKC Joannes</v>
      </c>
      <c r="C303" s="105" t="str">
        <f>VLOOKUP(Ruimtestaat[[#This Row],[Code]],Locaties[[#All],[Code]:[Adres]],4,FALSE)</f>
        <v>Kerkakkers 4</v>
      </c>
      <c r="D303" s="105" t="str">
        <f>VLOOKUP(Ruimtestaat[[#This Row],[Code]],Locaties[[#All],[Code]:[Postcode]],5,FALSE)</f>
        <v>6923 BZ</v>
      </c>
      <c r="E303" s="105" t="str">
        <f>VLOOKUP(Ruimtestaat[[#This Row],[Code]],Locaties[#All],6,FALSE)</f>
        <v>Groessen</v>
      </c>
      <c r="F303" s="113"/>
      <c r="G303" s="31" t="s">
        <v>1645</v>
      </c>
      <c r="H303" s="31" t="s">
        <v>1762</v>
      </c>
      <c r="I303" s="113" t="s">
        <v>1905</v>
      </c>
      <c r="J303" s="31">
        <v>15</v>
      </c>
      <c r="K303" s="113" t="str">
        <f>VLOOKUP(Ruimtestaat[[#This Row],[Ruimte code]],Ruimtegroepen[[#All],[Code]:[Ruimte omschrijving]],2,FALSE)</f>
        <v>Keuken/pantry</v>
      </c>
      <c r="L303" s="31" t="s">
        <v>100</v>
      </c>
      <c r="M303" s="31" t="s">
        <v>1975</v>
      </c>
      <c r="N303" s="106">
        <v>20</v>
      </c>
      <c r="O303" s="112"/>
      <c r="P303" s="112"/>
      <c r="Q303" s="107" t="str">
        <f>VLOOKUP(Ruimtestaat[[#This Row],[Ruimte code]],Ruimtegroepen[],4,FALSE)</f>
        <v>Ve</v>
      </c>
      <c r="R303" s="73">
        <v>40</v>
      </c>
      <c r="S303" s="73" t="s">
        <v>2</v>
      </c>
      <c r="T303" s="73">
        <f>IF(R303&gt;0,IF(RIGHT(Ruimtestaat[[#This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3" s="73">
        <f>IF(T303&gt;0,VLOOKUP($J303,Ruimtegroepen[],3,FALSE)*VLOOKUP($L303,Vloersoorten[],3,FALSE)*VLOOKUP($S303,Frequenties[],3,FALSE)*VLOOKUP($A303,Locaties[],3,FALSE),0)</f>
        <v>0</v>
      </c>
      <c r="V303" s="73">
        <f>Ruimtestaat[[#This Row],[Uitvoeringen werkdagen]]*Ruimtestaat[[#This Row],[Oppervlak (netto)]]</f>
        <v>4000</v>
      </c>
      <c r="W303" s="108">
        <f>IF(U303&gt;0,Ruimtestaat[[#This Row],[Prest. (m2 /jaar) werkdagen]]/Ruimtestaat[[#This Row],[Norm (m2/uur) werkdagen]],0)</f>
        <v>0</v>
      </c>
      <c r="X303" s="109">
        <f>Ruimtestaat[[#This Row],[uren / jaar werkdagen]]*Tariefsopbouw!$E$35</f>
        <v>0</v>
      </c>
      <c r="Y303" s="73"/>
      <c r="Z303" s="73">
        <f>IF(Ruimtestaat[[#This Row],[Frequentie weekend]]&gt;0,VALUE(LEFT(Y303,1))*R303,0)</f>
        <v>0</v>
      </c>
      <c r="AA303" s="72">
        <f>IF($Z303&gt;0,VLOOKUP($J303,Ruimtegroepen[],3,FALSE)*VLOOKUP($L303,Vloersoorten[],3,FALSE)*VLOOKUP($Y303,Frequenties[],3,FALSE)*VLOOKUP(Ruimtestaat[[#This Row],[Code]],Locaties[],3,FALSE),0)</f>
        <v>0</v>
      </c>
      <c r="AB303" s="72">
        <f>Ruimtestaat[[#This Row],[Uitvoeringen weekend]]*Ruimtestaat[[#This Row],[Oppervlak (netto)]]</f>
        <v>0</v>
      </c>
      <c r="AC303" s="72">
        <f>IF(AA303&gt;0,Ruimtestaat[[#This Row],[Prest. (m2 /jaar) weekend]]/Ruimtestaat[[#This Row],[Norm (m2/uur) weekend]],0)</f>
        <v>0</v>
      </c>
      <c r="AD303" s="109">
        <f>Ruimtestaat[[#This Row],[uren / jaar weekend]]*Tariefsopbouw!$D$40</f>
        <v>0</v>
      </c>
      <c r="AE303" s="108">
        <f>Ruimtestaat[[#This Row],[Prest. (m2 /jaar) weekend]]+Ruimtestaat[[#This Row],[Prest. (m2 /jaar) werkdagen]]</f>
        <v>4000</v>
      </c>
      <c r="AF303" s="108">
        <f>Ruimtestaat[[#This Row],[uren / jaar weekend]]+Ruimtestaat[[#This Row],[uren / jaar werkdagen]]</f>
        <v>0</v>
      </c>
      <c r="AG303" s="103">
        <f>Ruimtestaat[[#This Row],[kosten / jaar weekend]]+Ruimtestaat[[#This Row],[kosten / jaar werkdagen]]</f>
        <v>0</v>
      </c>
      <c r="AH303" s="103"/>
      <c r="AI303" s="110" t="str">
        <f>IF(Ruimtestaat[[#This Row],[Frequentie werkdagen]]="","",_xlfn.CONCAT(Ruimtestaat[[#This Row],[Ruimte code]],"-",Ruimtestaat[[#This Row],[Frequentie werkdagen]]," ",Ruimtestaat[[#This Row],[Vloer code]]))</f>
        <v>15-5w L</v>
      </c>
      <c r="AJ303" s="114" t="str">
        <f>_xlfn.IFNA(VLOOKUP($AI303,Programma!$F$3:$G$1101,2,0),"")</f>
        <v>_</v>
      </c>
      <c r="AK303" s="114" t="str">
        <f>_xlfn.IFNA(VLOOKUP($AI303,Programma!$F$3:$H$1101,3,0),"")</f>
        <v>_</v>
      </c>
      <c r="AL303" s="114" t="str">
        <f>_xlfn.IFNA(VLOOKUP($AI303,Programma!$F$3:$I$1101,4,0),"")</f>
        <v>_</v>
      </c>
      <c r="AM303" s="114" t="str">
        <f>_xlfn.IFNA(VLOOKUP($AI303,Programma!$F$3:$J$1101,5,0),"")</f>
        <v>5w</v>
      </c>
      <c r="AN303" s="114" t="str">
        <f>_xlfn.IFNA(VLOOKUP($AI303,Programma!$F$3:$K$1101,6,0),"")</f>
        <v>_</v>
      </c>
      <c r="AO303" s="114" t="str">
        <f>_xlfn.IFNA(VLOOKUP($AI303,Programma!$F$3:$L$1101,7,0),"")</f>
        <v>_</v>
      </c>
      <c r="AP303" s="114" t="str">
        <f>_xlfn.IFNA(VLOOKUP($AI303,Programma!$F$3:$M$1101,8,0),"")</f>
        <v>_</v>
      </c>
      <c r="AQ303" s="114" t="str">
        <f>_xlfn.IFNA(VLOOKUP($AI303,Programma!$F$3:$N$1101,9,0),"")</f>
        <v>_</v>
      </c>
      <c r="AR303" s="114" t="str">
        <f>_xlfn.IFNA(VLOOKUP($AI303,Programma!$F$3:$O$1101,10,0),"")</f>
        <v>5w</v>
      </c>
      <c r="AS303" s="114" t="str">
        <f>_xlfn.IFNA(VLOOKUP($AI303,Programma!$F$3:$P$1101,11,0),"")</f>
        <v>5w</v>
      </c>
      <c r="AT303" s="114" t="str">
        <f>_xlfn.IFNA(VLOOKUP($AI303,Programma!$F$3:$Q$1101,12,0),"")</f>
        <v>1w</v>
      </c>
      <c r="AU303" s="114" t="str">
        <f>_xlfn.IFNA(VLOOKUP($AI303,Programma!$F$3:$R$1101,13,0),"")</f>
        <v>1w</v>
      </c>
      <c r="AV303" s="114" t="str">
        <f>_xlfn.IFNA(VLOOKUP($AI303,Programma!$F$3:$S$1101,14,0),"")</f>
        <v>1m</v>
      </c>
      <c r="AW303" s="114" t="str">
        <f>_xlfn.IFNA(VLOOKUP($AI303,Programma!$F$3:$T$1101,15,0),"")</f>
        <v>2j</v>
      </c>
      <c r="AX303" s="114" t="str">
        <f>_xlfn.IFNA(VLOOKUP($AI303,Programma!$F$3:$U$1101,16,0),"")</f>
        <v>1j</v>
      </c>
      <c r="AY303" s="114" t="str">
        <f>_xlfn.IFNA(VLOOKUP($AI303,Programma!$F$3:$V$1101,17,0),"")</f>
        <v>_</v>
      </c>
      <c r="AZ303" s="114" t="str">
        <f>_xlfn.IFNA(VLOOKUP($AI303,Programma!$F$3:$W$1101,18,0),"")</f>
        <v>_</v>
      </c>
      <c r="BA303" s="114" t="str">
        <f>_xlfn.IFNA(VLOOKUP($AI303,Programma!$F$3:$X$1101,19,0),"")</f>
        <v>_</v>
      </c>
      <c r="BB303" s="114" t="str">
        <f>_xlfn.IFNA(VLOOKUP($AI303,Programma!$F$3:$Y$1101,20,0),"")</f>
        <v>_</v>
      </c>
      <c r="BC303" s="111"/>
      <c r="BD303" s="110" t="str">
        <f>IF(Ruimtestaat[[#This Row],[Frequentie weekend]]="","",_xlfn.CONCAT(Ruimtestaat[[#This Row],[Ruimte code]],"-",Ruimtestaat[[#This Row],[Frequentie weekend]]," ",Ruimtestaat[[#This Row],[Vloer code]]))</f>
        <v/>
      </c>
      <c r="BE303" s="114" t="str">
        <f>_xlfn.IFNA(VLOOKUP($BD303,Programma!$F$3:$G$1101,2,0),"")</f>
        <v/>
      </c>
      <c r="BF303" s="114" t="str">
        <f>_xlfn.IFNA(VLOOKUP($BD303,Programma!$F$3:$H$1101,3,0),"")</f>
        <v/>
      </c>
      <c r="BG303" s="114" t="str">
        <f>_xlfn.IFNA(VLOOKUP($BD303,Programma!$F$3:$I$1101,4,0),"")</f>
        <v/>
      </c>
      <c r="BH303" s="114" t="str">
        <f>_xlfn.IFNA(VLOOKUP($BD303,Programma!$F$3:$J$1101,5,0),"")</f>
        <v/>
      </c>
      <c r="BI303" s="114" t="str">
        <f>_xlfn.IFNA(VLOOKUP($BD303,Programma!$F$3:$K$1101,6,0),"")</f>
        <v/>
      </c>
      <c r="BJ303" s="114" t="str">
        <f>_xlfn.IFNA(VLOOKUP($BD303,Programma!$F$3:$L$1101,7,0),"")</f>
        <v/>
      </c>
      <c r="BK303" s="114" t="str">
        <f>_xlfn.IFNA(VLOOKUP($BD303,Programma!$F$3:$M$1101,8,0),"")</f>
        <v/>
      </c>
      <c r="BL303" s="114" t="str">
        <f>_xlfn.IFNA(VLOOKUP($BD303,Programma!$F$3:$N$1101,9,0),"")</f>
        <v/>
      </c>
      <c r="BM303" s="114" t="str">
        <f>_xlfn.IFNA(VLOOKUP($BD303,Programma!$F$3:$O$1101,10,0),"")</f>
        <v/>
      </c>
      <c r="BN303" s="114" t="str">
        <f>_xlfn.IFNA(VLOOKUP($BD303,Programma!$F$3:$P$1101,11,0),"")</f>
        <v/>
      </c>
      <c r="BO303" s="114" t="str">
        <f>_xlfn.IFNA(VLOOKUP($BD303,Programma!$F$3:$Q$1101,12,0),"")</f>
        <v/>
      </c>
      <c r="BP303" s="114" t="str">
        <f>_xlfn.IFNA(VLOOKUP($BD303,Programma!$F$3:$R$1101,13,0),"")</f>
        <v/>
      </c>
      <c r="BQ303" s="114" t="str">
        <f>_xlfn.IFNA(VLOOKUP($BD303,Programma!$F$3:$S$1101,14,0),"")</f>
        <v/>
      </c>
      <c r="BR303" s="114" t="str">
        <f>_xlfn.IFNA(VLOOKUP($BD303,Programma!$F$3:$T$1101,15,0),"")</f>
        <v/>
      </c>
      <c r="BS303" s="114" t="str">
        <f>_xlfn.IFNA(VLOOKUP($BD303,Programma!$F$3:$U$1101,16,0),"")</f>
        <v/>
      </c>
      <c r="BT303" s="114" t="str">
        <f>_xlfn.IFNA(VLOOKUP($BD303,Programma!$F$3:$V$1101,17,0),"")</f>
        <v/>
      </c>
      <c r="BU303" s="114" t="str">
        <f>_xlfn.IFNA(VLOOKUP($BD303,Programma!$F$3:$W$1101,18,0),"")</f>
        <v/>
      </c>
      <c r="BV303" s="114" t="str">
        <f>_xlfn.IFNA(VLOOKUP($BD303,Programma!$F$3:$X$1101,19,0),"")</f>
        <v/>
      </c>
      <c r="BW303" s="114" t="str">
        <f>_xlfn.IFNA(VLOOKUP($BD303,Programma!$F$3:$Y$1101,20,0),"")</f>
        <v/>
      </c>
      <c r="BX303" s="28"/>
      <c r="BY303" s="28"/>
      <c r="BZ303" s="28"/>
      <c r="CA303" s="28"/>
      <c r="CB303" s="28"/>
      <c r="CC303" s="28"/>
      <c r="CD303" s="28"/>
      <c r="CE303" s="28"/>
      <c r="CF303" s="28"/>
      <c r="CG303" s="28"/>
      <c r="CH303" s="28"/>
      <c r="CI303" s="28"/>
      <c r="CJ303" s="28"/>
      <c r="CK303" s="28"/>
      <c r="CL303" s="28"/>
      <c r="CM303" s="28"/>
      <c r="CN303" s="28"/>
      <c r="CO303" s="28"/>
      <c r="CP303" s="28"/>
      <c r="CQ303" s="28"/>
      <c r="CR303" s="28"/>
      <c r="CS303" s="28"/>
      <c r="CT303" s="28"/>
      <c r="CU303" s="28"/>
      <c r="CV303" s="28"/>
      <c r="CW303" s="28"/>
      <c r="CX303" s="28"/>
      <c r="CY303" s="28"/>
      <c r="CZ303" s="28"/>
      <c r="DA303" s="28"/>
      <c r="DB303" s="28"/>
      <c r="DC303" s="28"/>
      <c r="DD303" s="28"/>
      <c r="DE303" s="28"/>
      <c r="DF303" s="28"/>
      <c r="DG303" s="28"/>
      <c r="DH303" s="28"/>
      <c r="DI303" s="28"/>
      <c r="DJ303" s="28"/>
      <c r="DK303" s="28"/>
      <c r="DL303" s="28"/>
      <c r="DM303" s="28"/>
      <c r="DN303" s="28"/>
      <c r="DO303" s="28"/>
      <c r="DP303" s="28"/>
      <c r="DQ303" s="28"/>
      <c r="DR303" s="28"/>
      <c r="DS303" s="28"/>
      <c r="DT303" s="28"/>
      <c r="DU303" s="28"/>
      <c r="DV303" s="28"/>
      <c r="DW303" s="28"/>
      <c r="DX303" s="28"/>
      <c r="DY303" s="28"/>
      <c r="DZ303" s="28"/>
      <c r="EA303" s="28"/>
      <c r="EB303" s="28"/>
      <c r="EC303" s="28"/>
      <c r="ED303" s="28"/>
      <c r="EE303" s="28"/>
      <c r="EF303" s="28"/>
      <c r="EG303" s="28"/>
      <c r="EH303" s="28"/>
      <c r="EI303" s="28"/>
      <c r="EJ303" s="28"/>
      <c r="EK303" s="28"/>
      <c r="EL303" s="28"/>
      <c r="EM303" s="28"/>
      <c r="EN303" s="28"/>
      <c r="EO303" s="28"/>
      <c r="EP303" s="28"/>
      <c r="EQ303" s="28"/>
      <c r="ER303" s="28"/>
      <c r="ES303" s="28"/>
      <c r="ET303" s="28"/>
      <c r="EU303" s="28"/>
      <c r="EV303" s="28"/>
      <c r="EW303" s="28"/>
      <c r="EX303" s="28"/>
      <c r="EY303" s="28"/>
      <c r="EZ303" s="28"/>
      <c r="FA303" s="28"/>
      <c r="FB303" s="28"/>
      <c r="FC303" s="28"/>
      <c r="FD303" s="28"/>
      <c r="FE303" s="28"/>
      <c r="FF303" s="28"/>
      <c r="FG303" s="28"/>
      <c r="FH303" s="28"/>
      <c r="FI303" s="28"/>
      <c r="FJ303" s="28"/>
      <c r="FK303" s="28"/>
      <c r="FL303" s="28"/>
      <c r="FM303" s="28"/>
      <c r="FN303" s="28"/>
      <c r="FO303" s="28"/>
      <c r="FP303" s="28"/>
      <c r="FQ303" s="28"/>
      <c r="FR303" s="28"/>
      <c r="FS303" s="28"/>
      <c r="FT303" s="28"/>
      <c r="FU303" s="28"/>
      <c r="FV303" s="28"/>
      <c r="FW303" s="28"/>
      <c r="FX303" s="28"/>
      <c r="FY303" s="28"/>
      <c r="FZ303" s="28"/>
      <c r="GA303" s="28"/>
      <c r="GB303" s="28"/>
      <c r="GC303" s="28"/>
      <c r="GD303" s="28"/>
      <c r="GE303" s="28"/>
      <c r="GF303" s="28"/>
      <c r="GG303" s="28"/>
      <c r="GH303" s="28"/>
      <c r="GI303" s="28"/>
      <c r="GJ303" s="28"/>
      <c r="GK303" s="28"/>
      <c r="GL303" s="28"/>
      <c r="GM303" s="28"/>
      <c r="GN303" s="28"/>
      <c r="GO303" s="28"/>
      <c r="GP303" s="28"/>
      <c r="GQ303" s="28"/>
      <c r="GR303" s="28"/>
      <c r="GS303" s="28"/>
      <c r="GT303" s="28"/>
      <c r="GU303" s="28"/>
      <c r="GV303" s="28"/>
      <c r="GW303" s="28"/>
      <c r="GX303" s="28"/>
      <c r="GY303" s="28"/>
      <c r="GZ303" s="28"/>
      <c r="HA303" s="28"/>
      <c r="HB303" s="28"/>
      <c r="HC303" s="28"/>
      <c r="HD303" s="28"/>
      <c r="HE303" s="28"/>
      <c r="HF303" s="28"/>
      <c r="HG303" s="28"/>
      <c r="HH303" s="28"/>
      <c r="HI303" s="28"/>
      <c r="HJ303" s="28"/>
      <c r="HK303" s="28"/>
      <c r="HL303" s="28"/>
    </row>
    <row r="304" spans="1:220" ht="15" customHeight="1">
      <c r="A304" s="31">
        <v>6</v>
      </c>
      <c r="B304" s="105" t="str">
        <f>VLOOKUP(Ruimtestaat[[#This Row],[Code]],Locaties[[Code]:[Locatie]],2,FALSE)</f>
        <v>IKC Joannes</v>
      </c>
      <c r="C304" s="105" t="str">
        <f>VLOOKUP(Ruimtestaat[[#This Row],[Code]],Locaties[[#All],[Code]:[Adres]],4,FALSE)</f>
        <v>Kerkakkers 4</v>
      </c>
      <c r="D304" s="105" t="str">
        <f>VLOOKUP(Ruimtestaat[[#This Row],[Code]],Locaties[[#All],[Code]:[Postcode]],5,FALSE)</f>
        <v>6923 BZ</v>
      </c>
      <c r="E304" s="105" t="str">
        <f>VLOOKUP(Ruimtestaat[[#This Row],[Code]],Locaties[#All],6,FALSE)</f>
        <v>Groessen</v>
      </c>
      <c r="F304" s="113"/>
      <c r="G304" s="31" t="s">
        <v>1645</v>
      </c>
      <c r="H304" s="31" t="s">
        <v>1678</v>
      </c>
      <c r="I304" s="113" t="s">
        <v>1668</v>
      </c>
      <c r="J304" s="31">
        <v>6</v>
      </c>
      <c r="K304" s="113" t="str">
        <f>VLOOKUP(Ruimtestaat[[#This Row],[Ruimte code]],Ruimtegroepen[[#All],[Code]:[Ruimte omschrijving]],2,FALSE)</f>
        <v>Gangen/hallen</v>
      </c>
      <c r="L304" s="31" t="s">
        <v>100</v>
      </c>
      <c r="M304" s="31" t="s">
        <v>1975</v>
      </c>
      <c r="N304" s="106">
        <v>63.959999999999994</v>
      </c>
      <c r="O304" s="112"/>
      <c r="P304" s="112"/>
      <c r="Q304" s="107" t="str">
        <f>VLOOKUP(Ruimtestaat[[#This Row],[Ruimte code]],Ruimtegroepen[],4,FALSE)</f>
        <v>Ve</v>
      </c>
      <c r="R304" s="73">
        <v>40</v>
      </c>
      <c r="S304" s="73" t="s">
        <v>2</v>
      </c>
      <c r="T304" s="73">
        <f>IF(R304&gt;0,IF(RIGHT(Ruimtestaat[[#This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4" s="73">
        <f>IF(T304&gt;0,VLOOKUP($J304,Ruimtegroepen[],3,FALSE)*VLOOKUP($L304,Vloersoorten[],3,FALSE)*VLOOKUP($S304,Frequenties[],3,FALSE)*VLOOKUP($A304,Locaties[],3,FALSE),0)</f>
        <v>0</v>
      </c>
      <c r="V304" s="73">
        <f>Ruimtestaat[[#This Row],[Uitvoeringen werkdagen]]*Ruimtestaat[[#This Row],[Oppervlak (netto)]]</f>
        <v>12791.999999999998</v>
      </c>
      <c r="W304" s="108">
        <f>IF(U304&gt;0,Ruimtestaat[[#This Row],[Prest. (m2 /jaar) werkdagen]]/Ruimtestaat[[#This Row],[Norm (m2/uur) werkdagen]],0)</f>
        <v>0</v>
      </c>
      <c r="X304" s="109">
        <f>Ruimtestaat[[#This Row],[uren / jaar werkdagen]]*Tariefsopbouw!$E$35</f>
        <v>0</v>
      </c>
      <c r="Y304" s="73"/>
      <c r="Z304" s="73">
        <f>IF(Ruimtestaat[[#This Row],[Frequentie weekend]]&gt;0,VALUE(LEFT(Y304,1))*R304,0)</f>
        <v>0</v>
      </c>
      <c r="AA304" s="72">
        <f>IF($Z304&gt;0,VLOOKUP($J304,Ruimtegroepen[],3,FALSE)*VLOOKUP($L304,Vloersoorten[],3,FALSE)*VLOOKUP($Y304,Frequenties[],3,FALSE)*VLOOKUP(Ruimtestaat[[#This Row],[Code]],Locaties[],3,FALSE),0)</f>
        <v>0</v>
      </c>
      <c r="AB304" s="72">
        <f>Ruimtestaat[[#This Row],[Uitvoeringen weekend]]*Ruimtestaat[[#This Row],[Oppervlak (netto)]]</f>
        <v>0</v>
      </c>
      <c r="AC304" s="72">
        <f>IF(AA304&gt;0,Ruimtestaat[[#This Row],[Prest. (m2 /jaar) weekend]]/Ruimtestaat[[#This Row],[Norm (m2/uur) weekend]],0)</f>
        <v>0</v>
      </c>
      <c r="AD304" s="109">
        <f>Ruimtestaat[[#This Row],[uren / jaar weekend]]*Tariefsopbouw!$D$40</f>
        <v>0</v>
      </c>
      <c r="AE304" s="108">
        <f>Ruimtestaat[[#This Row],[Prest. (m2 /jaar) weekend]]+Ruimtestaat[[#This Row],[Prest. (m2 /jaar) werkdagen]]</f>
        <v>12791.999999999998</v>
      </c>
      <c r="AF304" s="108">
        <f>Ruimtestaat[[#This Row],[uren / jaar weekend]]+Ruimtestaat[[#This Row],[uren / jaar werkdagen]]</f>
        <v>0</v>
      </c>
      <c r="AG304" s="103">
        <f>Ruimtestaat[[#This Row],[kosten / jaar weekend]]+Ruimtestaat[[#This Row],[kosten / jaar werkdagen]]</f>
        <v>0</v>
      </c>
      <c r="AH304" s="103"/>
      <c r="AI304" s="110" t="str">
        <f>IF(Ruimtestaat[[#This Row],[Frequentie werkdagen]]="","",_xlfn.CONCAT(Ruimtestaat[[#This Row],[Ruimte code]],"-",Ruimtestaat[[#This Row],[Frequentie werkdagen]]," ",Ruimtestaat[[#This Row],[Vloer code]]))</f>
        <v>6-5w L</v>
      </c>
      <c r="AJ304" s="114" t="str">
        <f>_xlfn.IFNA(VLOOKUP($AI304,Programma!$F$3:$G$1101,2,0),"")</f>
        <v>_</v>
      </c>
      <c r="AK304" s="114" t="str">
        <f>_xlfn.IFNA(VLOOKUP($AI304,Programma!$F$3:$H$1101,3,0),"")</f>
        <v>_</v>
      </c>
      <c r="AL304" s="114" t="str">
        <f>_xlfn.IFNA(VLOOKUP($AI304,Programma!$F$3:$I$1101,4,0),"")</f>
        <v>_</v>
      </c>
      <c r="AM304" s="114" t="str">
        <f>_xlfn.IFNA(VLOOKUP($AI304,Programma!$F$3:$J$1101,5,0),"")</f>
        <v>5w</v>
      </c>
      <c r="AN304" s="114" t="str">
        <f>_xlfn.IFNA(VLOOKUP($AI304,Programma!$F$3:$K$1101,6,0),"")</f>
        <v>_</v>
      </c>
      <c r="AO304" s="114" t="str">
        <f>_xlfn.IFNA(VLOOKUP($AI304,Programma!$F$3:$L$1101,7,0),"")</f>
        <v>_</v>
      </c>
      <c r="AP304" s="114" t="str">
        <f>_xlfn.IFNA(VLOOKUP($AI304,Programma!$F$3:$M$1101,8,0),"")</f>
        <v>_</v>
      </c>
      <c r="AQ304" s="114" t="str">
        <f>_xlfn.IFNA(VLOOKUP($AI304,Programma!$F$3:$N$1101,9,0),"")</f>
        <v>_</v>
      </c>
      <c r="AR304" s="114" t="str">
        <f>_xlfn.IFNA(VLOOKUP($AI304,Programma!$F$3:$O$1101,10,0),"")</f>
        <v>5w</v>
      </c>
      <c r="AS304" s="114" t="str">
        <f>_xlfn.IFNA(VLOOKUP($AI304,Programma!$F$3:$P$1101,11,0),"")</f>
        <v>5w</v>
      </c>
      <c r="AT304" s="114" t="str">
        <f>_xlfn.IFNA(VLOOKUP($AI304,Programma!$F$3:$Q$1101,12,0),"")</f>
        <v>1w</v>
      </c>
      <c r="AU304" s="114" t="str">
        <f>_xlfn.IFNA(VLOOKUP($AI304,Programma!$F$3:$R$1101,13,0),"")</f>
        <v>1w</v>
      </c>
      <c r="AV304" s="114" t="str">
        <f>_xlfn.IFNA(VLOOKUP($AI304,Programma!$F$3:$S$1101,14,0),"")</f>
        <v>1m</v>
      </c>
      <c r="AW304" s="114" t="str">
        <f>_xlfn.IFNA(VLOOKUP($AI304,Programma!$F$3:$T$1101,15,0),"")</f>
        <v>2j</v>
      </c>
      <c r="AX304" s="114" t="str">
        <f>_xlfn.IFNA(VLOOKUP($AI304,Programma!$F$3:$U$1101,16,0),"")</f>
        <v>1j</v>
      </c>
      <c r="AY304" s="114" t="str">
        <f>_xlfn.IFNA(VLOOKUP($AI304,Programma!$F$3:$V$1101,17,0),"")</f>
        <v>_</v>
      </c>
      <c r="AZ304" s="114" t="str">
        <f>_xlfn.IFNA(VLOOKUP($AI304,Programma!$F$3:$W$1101,18,0),"")</f>
        <v>_</v>
      </c>
      <c r="BA304" s="114" t="str">
        <f>_xlfn.IFNA(VLOOKUP($AI304,Programma!$F$3:$X$1101,19,0),"")</f>
        <v>_</v>
      </c>
      <c r="BB304" s="114" t="str">
        <f>_xlfn.IFNA(VLOOKUP($AI304,Programma!$F$3:$Y$1101,20,0),"")</f>
        <v>_</v>
      </c>
      <c r="BC304" s="111"/>
      <c r="BD304" s="110" t="str">
        <f>IF(Ruimtestaat[[#This Row],[Frequentie weekend]]="","",_xlfn.CONCAT(Ruimtestaat[[#This Row],[Ruimte code]],"-",Ruimtestaat[[#This Row],[Frequentie weekend]]," ",Ruimtestaat[[#This Row],[Vloer code]]))</f>
        <v/>
      </c>
      <c r="BE304" s="114" t="str">
        <f>_xlfn.IFNA(VLOOKUP($BD304,Programma!$F$3:$G$1101,2,0),"")</f>
        <v/>
      </c>
      <c r="BF304" s="114" t="str">
        <f>_xlfn.IFNA(VLOOKUP($BD304,Programma!$F$3:$H$1101,3,0),"")</f>
        <v/>
      </c>
      <c r="BG304" s="114" t="str">
        <f>_xlfn.IFNA(VLOOKUP($BD304,Programma!$F$3:$I$1101,4,0),"")</f>
        <v/>
      </c>
      <c r="BH304" s="114" t="str">
        <f>_xlfn.IFNA(VLOOKUP($BD304,Programma!$F$3:$J$1101,5,0),"")</f>
        <v/>
      </c>
      <c r="BI304" s="114" t="str">
        <f>_xlfn.IFNA(VLOOKUP($BD304,Programma!$F$3:$K$1101,6,0),"")</f>
        <v/>
      </c>
      <c r="BJ304" s="114" t="str">
        <f>_xlfn.IFNA(VLOOKUP($BD304,Programma!$F$3:$L$1101,7,0),"")</f>
        <v/>
      </c>
      <c r="BK304" s="114" t="str">
        <f>_xlfn.IFNA(VLOOKUP($BD304,Programma!$F$3:$M$1101,8,0),"")</f>
        <v/>
      </c>
      <c r="BL304" s="114" t="str">
        <f>_xlfn.IFNA(VLOOKUP($BD304,Programma!$F$3:$N$1101,9,0),"")</f>
        <v/>
      </c>
      <c r="BM304" s="114" t="str">
        <f>_xlfn.IFNA(VLOOKUP($BD304,Programma!$F$3:$O$1101,10,0),"")</f>
        <v/>
      </c>
      <c r="BN304" s="114" t="str">
        <f>_xlfn.IFNA(VLOOKUP($BD304,Programma!$F$3:$P$1101,11,0),"")</f>
        <v/>
      </c>
      <c r="BO304" s="114" t="str">
        <f>_xlfn.IFNA(VLOOKUP($BD304,Programma!$F$3:$Q$1101,12,0),"")</f>
        <v/>
      </c>
      <c r="BP304" s="114" t="str">
        <f>_xlfn.IFNA(VLOOKUP($BD304,Programma!$F$3:$R$1101,13,0),"")</f>
        <v/>
      </c>
      <c r="BQ304" s="114" t="str">
        <f>_xlfn.IFNA(VLOOKUP($BD304,Programma!$F$3:$S$1101,14,0),"")</f>
        <v/>
      </c>
      <c r="BR304" s="114" t="str">
        <f>_xlfn.IFNA(VLOOKUP($BD304,Programma!$F$3:$T$1101,15,0),"")</f>
        <v/>
      </c>
      <c r="BS304" s="114" t="str">
        <f>_xlfn.IFNA(VLOOKUP($BD304,Programma!$F$3:$U$1101,16,0),"")</f>
        <v/>
      </c>
      <c r="BT304" s="114" t="str">
        <f>_xlfn.IFNA(VLOOKUP($BD304,Programma!$F$3:$V$1101,17,0),"")</f>
        <v/>
      </c>
      <c r="BU304" s="114" t="str">
        <f>_xlfn.IFNA(VLOOKUP($BD304,Programma!$F$3:$W$1101,18,0),"")</f>
        <v/>
      </c>
      <c r="BV304" s="114" t="str">
        <f>_xlfn.IFNA(VLOOKUP($BD304,Programma!$F$3:$X$1101,19,0),"")</f>
        <v/>
      </c>
      <c r="BW304" s="114" t="str">
        <f>_xlfn.IFNA(VLOOKUP($BD304,Programma!$F$3:$Y$1101,20,0),"")</f>
        <v/>
      </c>
      <c r="BX304" s="28"/>
      <c r="BY304" s="28"/>
      <c r="BZ304" s="28"/>
      <c r="CA304" s="28"/>
      <c r="CB304" s="28"/>
      <c r="CC304" s="28"/>
      <c r="CD304" s="28"/>
      <c r="CE304" s="28"/>
      <c r="CF304" s="28"/>
      <c r="CG304" s="28"/>
      <c r="CH304" s="28"/>
      <c r="CI304" s="28"/>
      <c r="CJ304" s="28"/>
      <c r="CK304" s="28"/>
      <c r="CL304" s="28"/>
      <c r="CM304" s="28"/>
      <c r="CN304" s="28"/>
      <c r="CO304" s="28"/>
      <c r="CP304" s="28"/>
      <c r="CQ304" s="28"/>
      <c r="CR304" s="28"/>
      <c r="CS304" s="28"/>
      <c r="CT304" s="28"/>
      <c r="CU304" s="28"/>
      <c r="CV304" s="28"/>
      <c r="CW304" s="28"/>
      <c r="CX304" s="28"/>
      <c r="CY304" s="28"/>
      <c r="CZ304" s="28"/>
      <c r="DA304" s="28"/>
      <c r="DB304" s="28"/>
      <c r="DC304" s="28"/>
      <c r="DD304" s="28"/>
      <c r="DE304" s="28"/>
      <c r="DF304" s="28"/>
      <c r="DG304" s="28"/>
      <c r="DH304" s="28"/>
      <c r="DI304" s="28"/>
      <c r="DJ304" s="28"/>
      <c r="DK304" s="28"/>
      <c r="DL304" s="28"/>
      <c r="DM304" s="28"/>
      <c r="DN304" s="28"/>
      <c r="DO304" s="28"/>
      <c r="DP304" s="28"/>
      <c r="DQ304" s="28"/>
      <c r="DR304" s="28"/>
      <c r="DS304" s="28"/>
      <c r="DT304" s="28"/>
      <c r="DU304" s="28"/>
      <c r="DV304" s="28"/>
      <c r="DW304" s="28"/>
      <c r="DX304" s="28"/>
      <c r="DY304" s="28"/>
      <c r="DZ304" s="28"/>
      <c r="EA304" s="28"/>
      <c r="EB304" s="28"/>
      <c r="EC304" s="28"/>
      <c r="ED304" s="28"/>
      <c r="EE304" s="28"/>
      <c r="EF304" s="28"/>
      <c r="EG304" s="28"/>
      <c r="EH304" s="28"/>
      <c r="EI304" s="28"/>
      <c r="EJ304" s="28"/>
      <c r="EK304" s="28"/>
      <c r="EL304" s="28"/>
      <c r="EM304" s="28"/>
      <c r="EN304" s="28"/>
      <c r="EO304" s="28"/>
      <c r="EP304" s="28"/>
      <c r="EQ304" s="28"/>
      <c r="ER304" s="28"/>
      <c r="ES304" s="28"/>
      <c r="ET304" s="28"/>
      <c r="EU304" s="28"/>
      <c r="EV304" s="28"/>
      <c r="EW304" s="28"/>
      <c r="EX304" s="28"/>
      <c r="EY304" s="28"/>
      <c r="EZ304" s="28"/>
      <c r="FA304" s="28"/>
      <c r="FB304" s="28"/>
      <c r="FC304" s="28"/>
      <c r="FD304" s="28"/>
      <c r="FE304" s="28"/>
      <c r="FF304" s="28"/>
      <c r="FG304" s="28"/>
      <c r="FH304" s="28"/>
      <c r="FI304" s="28"/>
      <c r="FJ304" s="28"/>
      <c r="FK304" s="28"/>
      <c r="FL304" s="28"/>
      <c r="FM304" s="28"/>
      <c r="FN304" s="28"/>
      <c r="FO304" s="28"/>
      <c r="FP304" s="28"/>
      <c r="FQ304" s="28"/>
      <c r="FR304" s="28"/>
      <c r="FS304" s="28"/>
      <c r="FT304" s="28"/>
      <c r="FU304" s="28"/>
      <c r="FV304" s="28"/>
      <c r="FW304" s="28"/>
      <c r="FX304" s="28"/>
      <c r="FY304" s="28"/>
      <c r="FZ304" s="28"/>
      <c r="GA304" s="28"/>
      <c r="GB304" s="28"/>
      <c r="GC304" s="28"/>
      <c r="GD304" s="28"/>
      <c r="GE304" s="28"/>
      <c r="GF304" s="28"/>
      <c r="GG304" s="28"/>
      <c r="GH304" s="28"/>
      <c r="GI304" s="28"/>
      <c r="GJ304" s="28"/>
      <c r="GK304" s="28"/>
      <c r="GL304" s="28"/>
      <c r="GM304" s="28"/>
      <c r="GN304" s="28"/>
      <c r="GO304" s="28"/>
      <c r="GP304" s="28"/>
      <c r="GQ304" s="28"/>
      <c r="GR304" s="28"/>
      <c r="GS304" s="28"/>
      <c r="GT304" s="28"/>
      <c r="GU304" s="28"/>
      <c r="GV304" s="28"/>
      <c r="GW304" s="28"/>
      <c r="GX304" s="28"/>
      <c r="GY304" s="28"/>
      <c r="GZ304" s="28"/>
      <c r="HA304" s="28"/>
      <c r="HB304" s="28"/>
      <c r="HC304" s="28"/>
      <c r="HD304" s="28"/>
      <c r="HE304" s="28"/>
      <c r="HF304" s="28"/>
      <c r="HG304" s="28"/>
      <c r="HH304" s="28"/>
      <c r="HI304" s="28"/>
      <c r="HJ304" s="28"/>
      <c r="HK304" s="28"/>
      <c r="HL304" s="28"/>
    </row>
    <row r="305" spans="1:220" ht="15" customHeight="1">
      <c r="A305" s="31">
        <v>6</v>
      </c>
      <c r="B305" s="105" t="str">
        <f>VLOOKUP(Ruimtestaat[[#This Row],[Code]],Locaties[[Code]:[Locatie]],2,FALSE)</f>
        <v>IKC Joannes</v>
      </c>
      <c r="C305" s="105" t="str">
        <f>VLOOKUP(Ruimtestaat[[#This Row],[Code]],Locaties[[#All],[Code]:[Adres]],4,FALSE)</f>
        <v>Kerkakkers 4</v>
      </c>
      <c r="D305" s="105" t="str">
        <f>VLOOKUP(Ruimtestaat[[#This Row],[Code]],Locaties[[#All],[Code]:[Postcode]],5,FALSE)</f>
        <v>6923 BZ</v>
      </c>
      <c r="E305" s="105" t="str">
        <f>VLOOKUP(Ruimtestaat[[#This Row],[Code]],Locaties[#All],6,FALSE)</f>
        <v>Groessen</v>
      </c>
      <c r="F305" s="113"/>
      <c r="G305" s="31" t="s">
        <v>1645</v>
      </c>
      <c r="H305" s="31" t="s">
        <v>1679</v>
      </c>
      <c r="I305" s="113" t="s">
        <v>1906</v>
      </c>
      <c r="J305" s="31">
        <v>6</v>
      </c>
      <c r="K305" s="113" t="str">
        <f>VLOOKUP(Ruimtestaat[[#This Row],[Ruimte code]],Ruimtegroepen[[#All],[Code]:[Ruimte omschrijving]],2,FALSE)</f>
        <v>Gangen/hallen</v>
      </c>
      <c r="L305" s="31" t="s">
        <v>100</v>
      </c>
      <c r="M305" s="31" t="s">
        <v>1975</v>
      </c>
      <c r="N305" s="106">
        <v>100.88</v>
      </c>
      <c r="O305" s="112"/>
      <c r="P305" s="112"/>
      <c r="Q305" s="107" t="str">
        <f>VLOOKUP(Ruimtestaat[[#This Row],[Ruimte code]],Ruimtegroepen[],4,FALSE)</f>
        <v>Ve</v>
      </c>
      <c r="R305" s="73">
        <v>40</v>
      </c>
      <c r="S305" s="73" t="s">
        <v>2</v>
      </c>
      <c r="T305" s="73">
        <f>IF(R305&gt;0,IF(RIGHT(Ruimtestaat[[#This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5" s="73">
        <f>IF(T305&gt;0,VLOOKUP($J305,Ruimtegroepen[],3,FALSE)*VLOOKUP($L305,Vloersoorten[],3,FALSE)*VLOOKUP($S305,Frequenties[],3,FALSE)*VLOOKUP($A305,Locaties[],3,FALSE),0)</f>
        <v>0</v>
      </c>
      <c r="V305" s="73">
        <f>Ruimtestaat[[#This Row],[Uitvoeringen werkdagen]]*Ruimtestaat[[#This Row],[Oppervlak (netto)]]</f>
        <v>20176</v>
      </c>
      <c r="W305" s="108">
        <f>IF(U305&gt;0,Ruimtestaat[[#This Row],[Prest. (m2 /jaar) werkdagen]]/Ruimtestaat[[#This Row],[Norm (m2/uur) werkdagen]],0)</f>
        <v>0</v>
      </c>
      <c r="X305" s="109">
        <f>Ruimtestaat[[#This Row],[uren / jaar werkdagen]]*Tariefsopbouw!$E$35</f>
        <v>0</v>
      </c>
      <c r="Y305" s="73"/>
      <c r="Z305" s="73">
        <f>IF(Ruimtestaat[[#This Row],[Frequentie weekend]]&gt;0,VALUE(LEFT(Y305,1))*R305,0)</f>
        <v>0</v>
      </c>
      <c r="AA305" s="72">
        <f>IF($Z305&gt;0,VLOOKUP($J305,Ruimtegroepen[],3,FALSE)*VLOOKUP($L305,Vloersoorten[],3,FALSE)*VLOOKUP($Y305,Frequenties[],3,FALSE)*VLOOKUP(Ruimtestaat[[#This Row],[Code]],Locaties[],3,FALSE),0)</f>
        <v>0</v>
      </c>
      <c r="AB305" s="72">
        <f>Ruimtestaat[[#This Row],[Uitvoeringen weekend]]*Ruimtestaat[[#This Row],[Oppervlak (netto)]]</f>
        <v>0</v>
      </c>
      <c r="AC305" s="72">
        <f>IF(AA305&gt;0,Ruimtestaat[[#This Row],[Prest. (m2 /jaar) weekend]]/Ruimtestaat[[#This Row],[Norm (m2/uur) weekend]],0)</f>
        <v>0</v>
      </c>
      <c r="AD305" s="109">
        <f>Ruimtestaat[[#This Row],[uren / jaar weekend]]*Tariefsopbouw!$D$40</f>
        <v>0</v>
      </c>
      <c r="AE305" s="108">
        <f>Ruimtestaat[[#This Row],[Prest. (m2 /jaar) weekend]]+Ruimtestaat[[#This Row],[Prest. (m2 /jaar) werkdagen]]</f>
        <v>20176</v>
      </c>
      <c r="AF305" s="108">
        <f>Ruimtestaat[[#This Row],[uren / jaar weekend]]+Ruimtestaat[[#This Row],[uren / jaar werkdagen]]</f>
        <v>0</v>
      </c>
      <c r="AG305" s="103">
        <f>Ruimtestaat[[#This Row],[kosten / jaar weekend]]+Ruimtestaat[[#This Row],[kosten / jaar werkdagen]]</f>
        <v>0</v>
      </c>
      <c r="AH305" s="103"/>
      <c r="AI305" s="110" t="str">
        <f>IF(Ruimtestaat[[#This Row],[Frequentie werkdagen]]="","",_xlfn.CONCAT(Ruimtestaat[[#This Row],[Ruimte code]],"-",Ruimtestaat[[#This Row],[Frequentie werkdagen]]," ",Ruimtestaat[[#This Row],[Vloer code]]))</f>
        <v>6-5w L</v>
      </c>
      <c r="AJ305" s="114" t="str">
        <f>_xlfn.IFNA(VLOOKUP($AI305,Programma!$F$3:$G$1101,2,0),"")</f>
        <v>_</v>
      </c>
      <c r="AK305" s="114" t="str">
        <f>_xlfn.IFNA(VLOOKUP($AI305,Programma!$F$3:$H$1101,3,0),"")</f>
        <v>_</v>
      </c>
      <c r="AL305" s="114" t="str">
        <f>_xlfn.IFNA(VLOOKUP($AI305,Programma!$F$3:$I$1101,4,0),"")</f>
        <v>_</v>
      </c>
      <c r="AM305" s="114" t="str">
        <f>_xlfn.IFNA(VLOOKUP($AI305,Programma!$F$3:$J$1101,5,0),"")</f>
        <v>5w</v>
      </c>
      <c r="AN305" s="114" t="str">
        <f>_xlfn.IFNA(VLOOKUP($AI305,Programma!$F$3:$K$1101,6,0),"")</f>
        <v>_</v>
      </c>
      <c r="AO305" s="114" t="str">
        <f>_xlfn.IFNA(VLOOKUP($AI305,Programma!$F$3:$L$1101,7,0),"")</f>
        <v>_</v>
      </c>
      <c r="AP305" s="114" t="str">
        <f>_xlfn.IFNA(VLOOKUP($AI305,Programma!$F$3:$M$1101,8,0),"")</f>
        <v>_</v>
      </c>
      <c r="AQ305" s="114" t="str">
        <f>_xlfn.IFNA(VLOOKUP($AI305,Programma!$F$3:$N$1101,9,0),"")</f>
        <v>_</v>
      </c>
      <c r="AR305" s="114" t="str">
        <f>_xlfn.IFNA(VLOOKUP($AI305,Programma!$F$3:$O$1101,10,0),"")</f>
        <v>5w</v>
      </c>
      <c r="AS305" s="114" t="str">
        <f>_xlfn.IFNA(VLOOKUP($AI305,Programma!$F$3:$P$1101,11,0),"")</f>
        <v>5w</v>
      </c>
      <c r="AT305" s="114" t="str">
        <f>_xlfn.IFNA(VLOOKUP($AI305,Programma!$F$3:$Q$1101,12,0),"")</f>
        <v>1w</v>
      </c>
      <c r="AU305" s="114" t="str">
        <f>_xlfn.IFNA(VLOOKUP($AI305,Programma!$F$3:$R$1101,13,0),"")</f>
        <v>1w</v>
      </c>
      <c r="AV305" s="114" t="str">
        <f>_xlfn.IFNA(VLOOKUP($AI305,Programma!$F$3:$S$1101,14,0),"")</f>
        <v>1m</v>
      </c>
      <c r="AW305" s="114" t="str">
        <f>_xlfn.IFNA(VLOOKUP($AI305,Programma!$F$3:$T$1101,15,0),"")</f>
        <v>2j</v>
      </c>
      <c r="AX305" s="114" t="str">
        <f>_xlfn.IFNA(VLOOKUP($AI305,Programma!$F$3:$U$1101,16,0),"")</f>
        <v>1j</v>
      </c>
      <c r="AY305" s="114" t="str">
        <f>_xlfn.IFNA(VLOOKUP($AI305,Programma!$F$3:$V$1101,17,0),"")</f>
        <v>_</v>
      </c>
      <c r="AZ305" s="114" t="str">
        <f>_xlfn.IFNA(VLOOKUP($AI305,Programma!$F$3:$W$1101,18,0),"")</f>
        <v>_</v>
      </c>
      <c r="BA305" s="114" t="str">
        <f>_xlfn.IFNA(VLOOKUP($AI305,Programma!$F$3:$X$1101,19,0),"")</f>
        <v>_</v>
      </c>
      <c r="BB305" s="114" t="str">
        <f>_xlfn.IFNA(VLOOKUP($AI305,Programma!$F$3:$Y$1101,20,0),"")</f>
        <v>_</v>
      </c>
      <c r="BC305" s="111"/>
      <c r="BD305" s="110" t="str">
        <f>IF(Ruimtestaat[[#This Row],[Frequentie weekend]]="","",_xlfn.CONCAT(Ruimtestaat[[#This Row],[Ruimte code]],"-",Ruimtestaat[[#This Row],[Frequentie weekend]]," ",Ruimtestaat[[#This Row],[Vloer code]]))</f>
        <v/>
      </c>
      <c r="BE305" s="114" t="str">
        <f>_xlfn.IFNA(VLOOKUP($BD305,Programma!$F$3:$G$1101,2,0),"")</f>
        <v/>
      </c>
      <c r="BF305" s="114" t="str">
        <f>_xlfn.IFNA(VLOOKUP($BD305,Programma!$F$3:$H$1101,3,0),"")</f>
        <v/>
      </c>
      <c r="BG305" s="114" t="str">
        <f>_xlfn.IFNA(VLOOKUP($BD305,Programma!$F$3:$I$1101,4,0),"")</f>
        <v/>
      </c>
      <c r="BH305" s="114" t="str">
        <f>_xlfn.IFNA(VLOOKUP($BD305,Programma!$F$3:$J$1101,5,0),"")</f>
        <v/>
      </c>
      <c r="BI305" s="114" t="str">
        <f>_xlfn.IFNA(VLOOKUP($BD305,Programma!$F$3:$K$1101,6,0),"")</f>
        <v/>
      </c>
      <c r="BJ305" s="114" t="str">
        <f>_xlfn.IFNA(VLOOKUP($BD305,Programma!$F$3:$L$1101,7,0),"")</f>
        <v/>
      </c>
      <c r="BK305" s="114" t="str">
        <f>_xlfn.IFNA(VLOOKUP($BD305,Programma!$F$3:$M$1101,8,0),"")</f>
        <v/>
      </c>
      <c r="BL305" s="114" t="str">
        <f>_xlfn.IFNA(VLOOKUP($BD305,Programma!$F$3:$N$1101,9,0),"")</f>
        <v/>
      </c>
      <c r="BM305" s="114" t="str">
        <f>_xlfn.IFNA(VLOOKUP($BD305,Programma!$F$3:$O$1101,10,0),"")</f>
        <v/>
      </c>
      <c r="BN305" s="114" t="str">
        <f>_xlfn.IFNA(VLOOKUP($BD305,Programma!$F$3:$P$1101,11,0),"")</f>
        <v/>
      </c>
      <c r="BO305" s="114" t="str">
        <f>_xlfn.IFNA(VLOOKUP($BD305,Programma!$F$3:$Q$1101,12,0),"")</f>
        <v/>
      </c>
      <c r="BP305" s="114" t="str">
        <f>_xlfn.IFNA(VLOOKUP($BD305,Programma!$F$3:$R$1101,13,0),"")</f>
        <v/>
      </c>
      <c r="BQ305" s="114" t="str">
        <f>_xlfn.IFNA(VLOOKUP($BD305,Programma!$F$3:$S$1101,14,0),"")</f>
        <v/>
      </c>
      <c r="BR305" s="114" t="str">
        <f>_xlfn.IFNA(VLOOKUP($BD305,Programma!$F$3:$T$1101,15,0),"")</f>
        <v/>
      </c>
      <c r="BS305" s="114" t="str">
        <f>_xlfn.IFNA(VLOOKUP($BD305,Programma!$F$3:$U$1101,16,0),"")</f>
        <v/>
      </c>
      <c r="BT305" s="114" t="str">
        <f>_xlfn.IFNA(VLOOKUP($BD305,Programma!$F$3:$V$1101,17,0),"")</f>
        <v/>
      </c>
      <c r="BU305" s="114" t="str">
        <f>_xlfn.IFNA(VLOOKUP($BD305,Programma!$F$3:$W$1101,18,0),"")</f>
        <v/>
      </c>
      <c r="BV305" s="114" t="str">
        <f>_xlfn.IFNA(VLOOKUP($BD305,Programma!$F$3:$X$1101,19,0),"")</f>
        <v/>
      </c>
      <c r="BW305" s="114" t="str">
        <f>_xlfn.IFNA(VLOOKUP($BD305,Programma!$F$3:$Y$1101,20,0),"")</f>
        <v/>
      </c>
      <c r="BX305" s="28"/>
      <c r="BY305" s="28"/>
      <c r="BZ305" s="28"/>
      <c r="CA305" s="28"/>
      <c r="CB305" s="28"/>
      <c r="CC305" s="28"/>
      <c r="CD305" s="28"/>
      <c r="CE305" s="28"/>
      <c r="CF305" s="28"/>
      <c r="CG305" s="28"/>
      <c r="CH305" s="28"/>
      <c r="CI305" s="28"/>
      <c r="CJ305" s="28"/>
      <c r="CK305" s="28"/>
      <c r="CL305" s="28"/>
      <c r="CM305" s="28"/>
      <c r="CN305" s="28"/>
      <c r="CO305" s="28"/>
      <c r="CP305" s="28"/>
      <c r="CQ305" s="28"/>
      <c r="CR305" s="28"/>
      <c r="CS305" s="28"/>
      <c r="CT305" s="28"/>
      <c r="CU305" s="28"/>
      <c r="CV305" s="28"/>
      <c r="CW305" s="28"/>
      <c r="CX305" s="28"/>
      <c r="CY305" s="28"/>
      <c r="CZ305" s="28"/>
      <c r="DA305" s="28"/>
      <c r="DB305" s="28"/>
      <c r="DC305" s="28"/>
      <c r="DD305" s="28"/>
      <c r="DE305" s="28"/>
      <c r="DF305" s="28"/>
      <c r="DG305" s="28"/>
      <c r="DH305" s="28"/>
      <c r="DI305" s="28"/>
      <c r="DJ305" s="28"/>
      <c r="DK305" s="28"/>
      <c r="DL305" s="28"/>
      <c r="DM305" s="28"/>
      <c r="DN305" s="28"/>
      <c r="DO305" s="28"/>
      <c r="DP305" s="28"/>
      <c r="DQ305" s="28"/>
      <c r="DR305" s="28"/>
      <c r="DS305" s="28"/>
      <c r="DT305" s="28"/>
      <c r="DU305" s="28"/>
      <c r="DV305" s="28"/>
      <c r="DW305" s="28"/>
      <c r="DX305" s="28"/>
      <c r="DY305" s="28"/>
      <c r="DZ305" s="28"/>
      <c r="EA305" s="28"/>
      <c r="EB305" s="28"/>
      <c r="EC305" s="28"/>
      <c r="ED305" s="28"/>
      <c r="EE305" s="28"/>
      <c r="EF305" s="28"/>
      <c r="EG305" s="28"/>
      <c r="EH305" s="28"/>
      <c r="EI305" s="28"/>
      <c r="EJ305" s="28"/>
      <c r="EK305" s="28"/>
      <c r="EL305" s="28"/>
      <c r="EM305" s="28"/>
      <c r="EN305" s="28"/>
      <c r="EO305" s="28"/>
      <c r="EP305" s="28"/>
      <c r="EQ305" s="28"/>
      <c r="ER305" s="28"/>
      <c r="ES305" s="28"/>
      <c r="ET305" s="28"/>
      <c r="EU305" s="28"/>
      <c r="EV305" s="28"/>
      <c r="EW305" s="28"/>
      <c r="EX305" s="28"/>
      <c r="EY305" s="28"/>
      <c r="EZ305" s="28"/>
      <c r="FA305" s="28"/>
      <c r="FB305" s="28"/>
      <c r="FC305" s="28"/>
      <c r="FD305" s="28"/>
      <c r="FE305" s="28"/>
      <c r="FF305" s="28"/>
      <c r="FG305" s="28"/>
      <c r="FH305" s="28"/>
      <c r="FI305" s="28"/>
      <c r="FJ305" s="28"/>
      <c r="FK305" s="28"/>
      <c r="FL305" s="28"/>
      <c r="FM305" s="28"/>
      <c r="FN305" s="28"/>
      <c r="FO305" s="28"/>
      <c r="FP305" s="28"/>
      <c r="FQ305" s="28"/>
      <c r="FR305" s="28"/>
      <c r="FS305" s="28"/>
      <c r="FT305" s="28"/>
      <c r="FU305" s="28"/>
      <c r="FV305" s="28"/>
      <c r="FW305" s="28"/>
      <c r="FX305" s="28"/>
      <c r="FY305" s="28"/>
      <c r="FZ305" s="28"/>
      <c r="GA305" s="28"/>
      <c r="GB305" s="28"/>
      <c r="GC305" s="28"/>
      <c r="GD305" s="28"/>
      <c r="GE305" s="28"/>
      <c r="GF305" s="28"/>
      <c r="GG305" s="28"/>
      <c r="GH305" s="28"/>
      <c r="GI305" s="28"/>
      <c r="GJ305" s="28"/>
      <c r="GK305" s="28"/>
      <c r="GL305" s="28"/>
      <c r="GM305" s="28"/>
      <c r="GN305" s="28"/>
      <c r="GO305" s="28"/>
      <c r="GP305" s="28"/>
      <c r="GQ305" s="28"/>
      <c r="GR305" s="28"/>
      <c r="GS305" s="28"/>
      <c r="GT305" s="28"/>
      <c r="GU305" s="28"/>
      <c r="GV305" s="28"/>
      <c r="GW305" s="28"/>
      <c r="GX305" s="28"/>
      <c r="GY305" s="28"/>
      <c r="GZ305" s="28"/>
      <c r="HA305" s="28"/>
      <c r="HB305" s="28"/>
      <c r="HC305" s="28"/>
      <c r="HD305" s="28"/>
      <c r="HE305" s="28"/>
      <c r="HF305" s="28"/>
      <c r="HG305" s="28"/>
      <c r="HH305" s="28"/>
      <c r="HI305" s="28"/>
      <c r="HJ305" s="28"/>
      <c r="HK305" s="28"/>
      <c r="HL305" s="28"/>
    </row>
    <row r="306" spans="1:220" ht="15" customHeight="1">
      <c r="A306" s="31">
        <v>6</v>
      </c>
      <c r="B306" s="105" t="str">
        <f>VLOOKUP(Ruimtestaat[[#This Row],[Code]],Locaties[[Code]:[Locatie]],2,FALSE)</f>
        <v>IKC Joannes</v>
      </c>
      <c r="C306" s="105" t="str">
        <f>VLOOKUP(Ruimtestaat[[#This Row],[Code]],Locaties[[#All],[Code]:[Adres]],4,FALSE)</f>
        <v>Kerkakkers 4</v>
      </c>
      <c r="D306" s="105" t="str">
        <f>VLOOKUP(Ruimtestaat[[#This Row],[Code]],Locaties[[#All],[Code]:[Postcode]],5,FALSE)</f>
        <v>6923 BZ</v>
      </c>
      <c r="E306" s="105" t="str">
        <f>VLOOKUP(Ruimtestaat[[#This Row],[Code]],Locaties[#All],6,FALSE)</f>
        <v>Groessen</v>
      </c>
      <c r="F306" s="113"/>
      <c r="G306" s="31" t="s">
        <v>1645</v>
      </c>
      <c r="H306" s="31" t="s">
        <v>1680</v>
      </c>
      <c r="I306" s="113" t="s">
        <v>1656</v>
      </c>
      <c r="J306" s="31">
        <v>16</v>
      </c>
      <c r="K306" s="113" t="str">
        <f>VLOOKUP(Ruimtestaat[[#This Row],[Ruimte code]],Ruimtegroepen[[#All],[Code]:[Ruimte omschrijving]],2,FALSE)</f>
        <v>Leslokalen</v>
      </c>
      <c r="L306" s="31" t="s">
        <v>99</v>
      </c>
      <c r="M306" s="31" t="s">
        <v>36</v>
      </c>
      <c r="N306" s="106">
        <v>58.08</v>
      </c>
      <c r="O306" s="112"/>
      <c r="P306" s="112"/>
      <c r="Q306" s="107" t="str">
        <f>VLOOKUP(Ruimtestaat[[#This Row],[Ruimte code]],Ruimtegroepen[],4,FALSE)</f>
        <v>Le</v>
      </c>
      <c r="R306" s="73">
        <v>40</v>
      </c>
      <c r="S306" s="73" t="s">
        <v>2</v>
      </c>
      <c r="T306" s="73">
        <f>IF(R306&gt;0,IF(RIGHT(Ruimtestaat[[#This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6" s="73">
        <f>IF(T306&gt;0,VLOOKUP($J306,Ruimtegroepen[],3,FALSE)*VLOOKUP($L306,Vloersoorten[],3,FALSE)*VLOOKUP($S306,Frequenties[],3,FALSE)*VLOOKUP($A306,Locaties[],3,FALSE),0)</f>
        <v>0</v>
      </c>
      <c r="V306" s="73">
        <f>Ruimtestaat[[#This Row],[Uitvoeringen werkdagen]]*Ruimtestaat[[#This Row],[Oppervlak (netto)]]</f>
        <v>11616</v>
      </c>
      <c r="W306" s="108">
        <f>IF(U306&gt;0,Ruimtestaat[[#This Row],[Prest. (m2 /jaar) werkdagen]]/Ruimtestaat[[#This Row],[Norm (m2/uur) werkdagen]],0)</f>
        <v>0</v>
      </c>
      <c r="X306" s="109">
        <f>Ruimtestaat[[#This Row],[uren / jaar werkdagen]]*Tariefsopbouw!$E$35</f>
        <v>0</v>
      </c>
      <c r="Y306" s="73"/>
      <c r="Z306" s="73">
        <f>IF(Ruimtestaat[[#This Row],[Frequentie weekend]]&gt;0,VALUE(LEFT(Y306,1))*R306,0)</f>
        <v>0</v>
      </c>
      <c r="AA306" s="72">
        <f>IF($Z306&gt;0,VLOOKUP($J306,Ruimtegroepen[],3,FALSE)*VLOOKUP($L306,Vloersoorten[],3,FALSE)*VLOOKUP($Y306,Frequenties[],3,FALSE)*VLOOKUP(Ruimtestaat[[#This Row],[Code]],Locaties[],3,FALSE),0)</f>
        <v>0</v>
      </c>
      <c r="AB306" s="72">
        <f>Ruimtestaat[[#This Row],[Uitvoeringen weekend]]*Ruimtestaat[[#This Row],[Oppervlak (netto)]]</f>
        <v>0</v>
      </c>
      <c r="AC306" s="72">
        <f>IF(AA306&gt;0,Ruimtestaat[[#This Row],[Prest. (m2 /jaar) weekend]]/Ruimtestaat[[#This Row],[Norm (m2/uur) weekend]],0)</f>
        <v>0</v>
      </c>
      <c r="AD306" s="109">
        <f>Ruimtestaat[[#This Row],[uren / jaar weekend]]*Tariefsopbouw!$D$40</f>
        <v>0</v>
      </c>
      <c r="AE306" s="108">
        <f>Ruimtestaat[[#This Row],[Prest. (m2 /jaar) weekend]]+Ruimtestaat[[#This Row],[Prest. (m2 /jaar) werkdagen]]</f>
        <v>11616</v>
      </c>
      <c r="AF306" s="108">
        <f>Ruimtestaat[[#This Row],[uren / jaar weekend]]+Ruimtestaat[[#This Row],[uren / jaar werkdagen]]</f>
        <v>0</v>
      </c>
      <c r="AG306" s="103">
        <f>Ruimtestaat[[#This Row],[kosten / jaar weekend]]+Ruimtestaat[[#This Row],[kosten / jaar werkdagen]]</f>
        <v>0</v>
      </c>
      <c r="AH306" s="103"/>
      <c r="AI306" s="110" t="str">
        <f>IF(Ruimtestaat[[#This Row],[Frequentie werkdagen]]="","",_xlfn.CONCAT(Ruimtestaat[[#This Row],[Ruimte code]],"-",Ruimtestaat[[#This Row],[Frequentie werkdagen]]," ",Ruimtestaat[[#This Row],[Vloer code]]))</f>
        <v>16-5w T</v>
      </c>
      <c r="AJ306" s="114" t="str">
        <f>_xlfn.IFNA(VLOOKUP($AI306,Programma!$F$3:$G$1101,2,0),"")</f>
        <v>3w</v>
      </c>
      <c r="AK306" s="114" t="str">
        <f>_xlfn.IFNA(VLOOKUP($AI306,Programma!$F$3:$H$1101,3,0),"")</f>
        <v>2w</v>
      </c>
      <c r="AL306" s="114" t="str">
        <f>_xlfn.IFNA(VLOOKUP($AI306,Programma!$F$3:$I$1101,4,0),"")</f>
        <v>_</v>
      </c>
      <c r="AM306" s="114" t="str">
        <f>_xlfn.IFNA(VLOOKUP($AI306,Programma!$F$3:$J$1101,5,0),"")</f>
        <v>_</v>
      </c>
      <c r="AN306" s="114" t="str">
        <f>_xlfn.IFNA(VLOOKUP($AI306,Programma!$F$3:$K$1101,6,0),"")</f>
        <v>_</v>
      </c>
      <c r="AO306" s="114" t="str">
        <f>_xlfn.IFNA(VLOOKUP($AI306,Programma!$F$3:$L$1101,7,0),"")</f>
        <v>_</v>
      </c>
      <c r="AP306" s="114" t="str">
        <f>_xlfn.IFNA(VLOOKUP($AI306,Programma!$F$3:$M$1101,8,0),"")</f>
        <v>_</v>
      </c>
      <c r="AQ306" s="114" t="str">
        <f>_xlfn.IFNA(VLOOKUP($AI306,Programma!$F$3:$N$1101,9,0),"")</f>
        <v>_</v>
      </c>
      <c r="AR306" s="114" t="str">
        <f>_xlfn.IFNA(VLOOKUP($AI306,Programma!$F$3:$O$1101,10,0),"")</f>
        <v>5w</v>
      </c>
      <c r="AS306" s="114" t="str">
        <f>_xlfn.IFNA(VLOOKUP($AI306,Programma!$F$3:$P$1101,11,0),"")</f>
        <v>5w</v>
      </c>
      <c r="AT306" s="114" t="str">
        <f>_xlfn.IFNA(VLOOKUP($AI306,Programma!$F$3:$Q$1101,12,0),"")</f>
        <v>1w</v>
      </c>
      <c r="AU306" s="114" t="str">
        <f>_xlfn.IFNA(VLOOKUP($AI306,Programma!$F$3:$R$1101,13,0),"")</f>
        <v>1w</v>
      </c>
      <c r="AV306" s="114" t="str">
        <f>_xlfn.IFNA(VLOOKUP($AI306,Programma!$F$3:$S$1101,14,0),"")</f>
        <v>1m</v>
      </c>
      <c r="AW306" s="114" t="str">
        <f>_xlfn.IFNA(VLOOKUP($AI306,Programma!$F$3:$T$1101,15,0),"")</f>
        <v>2j</v>
      </c>
      <c r="AX306" s="114" t="str">
        <f>_xlfn.IFNA(VLOOKUP($AI306,Programma!$F$3:$U$1101,16,0),"")</f>
        <v>1j</v>
      </c>
      <c r="AY306" s="114" t="str">
        <f>_xlfn.IFNA(VLOOKUP($AI306,Programma!$F$3:$V$1101,17,0),"")</f>
        <v>_</v>
      </c>
      <c r="AZ306" s="114" t="str">
        <f>_xlfn.IFNA(VLOOKUP($AI306,Programma!$F$3:$W$1101,18,0),"")</f>
        <v>_</v>
      </c>
      <c r="BA306" s="114" t="str">
        <f>_xlfn.IFNA(VLOOKUP($AI306,Programma!$F$3:$X$1101,19,0),"")</f>
        <v>_</v>
      </c>
      <c r="BB306" s="114" t="str">
        <f>_xlfn.IFNA(VLOOKUP($AI306,Programma!$F$3:$Y$1101,20,0),"")</f>
        <v>_</v>
      </c>
      <c r="BC306" s="111"/>
      <c r="BD306" s="110" t="str">
        <f>IF(Ruimtestaat[[#This Row],[Frequentie weekend]]="","",_xlfn.CONCAT(Ruimtestaat[[#This Row],[Ruimte code]],"-",Ruimtestaat[[#This Row],[Frequentie weekend]]," ",Ruimtestaat[[#This Row],[Vloer code]]))</f>
        <v/>
      </c>
      <c r="BE306" s="114" t="str">
        <f>_xlfn.IFNA(VLOOKUP($BD306,Programma!$F$3:$G$1101,2,0),"")</f>
        <v/>
      </c>
      <c r="BF306" s="114" t="str">
        <f>_xlfn.IFNA(VLOOKUP($BD306,Programma!$F$3:$H$1101,3,0),"")</f>
        <v/>
      </c>
      <c r="BG306" s="114" t="str">
        <f>_xlfn.IFNA(VLOOKUP($BD306,Programma!$F$3:$I$1101,4,0),"")</f>
        <v/>
      </c>
      <c r="BH306" s="114" t="str">
        <f>_xlfn.IFNA(VLOOKUP($BD306,Programma!$F$3:$J$1101,5,0),"")</f>
        <v/>
      </c>
      <c r="BI306" s="114" t="str">
        <f>_xlfn.IFNA(VLOOKUP($BD306,Programma!$F$3:$K$1101,6,0),"")</f>
        <v/>
      </c>
      <c r="BJ306" s="114" t="str">
        <f>_xlfn.IFNA(VLOOKUP($BD306,Programma!$F$3:$L$1101,7,0),"")</f>
        <v/>
      </c>
      <c r="BK306" s="114" t="str">
        <f>_xlfn.IFNA(VLOOKUP($BD306,Programma!$F$3:$M$1101,8,0),"")</f>
        <v/>
      </c>
      <c r="BL306" s="114" t="str">
        <f>_xlfn.IFNA(VLOOKUP($BD306,Programma!$F$3:$N$1101,9,0),"")</f>
        <v/>
      </c>
      <c r="BM306" s="114" t="str">
        <f>_xlfn.IFNA(VLOOKUP($BD306,Programma!$F$3:$O$1101,10,0),"")</f>
        <v/>
      </c>
      <c r="BN306" s="114" t="str">
        <f>_xlfn.IFNA(VLOOKUP($BD306,Programma!$F$3:$P$1101,11,0),"")</f>
        <v/>
      </c>
      <c r="BO306" s="114" t="str">
        <f>_xlfn.IFNA(VLOOKUP($BD306,Programma!$F$3:$Q$1101,12,0),"")</f>
        <v/>
      </c>
      <c r="BP306" s="114" t="str">
        <f>_xlfn.IFNA(VLOOKUP($BD306,Programma!$F$3:$R$1101,13,0),"")</f>
        <v/>
      </c>
      <c r="BQ306" s="114" t="str">
        <f>_xlfn.IFNA(VLOOKUP($BD306,Programma!$F$3:$S$1101,14,0),"")</f>
        <v/>
      </c>
      <c r="BR306" s="114" t="str">
        <f>_xlfn.IFNA(VLOOKUP($BD306,Programma!$F$3:$T$1101,15,0),"")</f>
        <v/>
      </c>
      <c r="BS306" s="114" t="str">
        <f>_xlfn.IFNA(VLOOKUP($BD306,Programma!$F$3:$U$1101,16,0),"")</f>
        <v/>
      </c>
      <c r="BT306" s="114" t="str">
        <f>_xlfn.IFNA(VLOOKUP($BD306,Programma!$F$3:$V$1101,17,0),"")</f>
        <v/>
      </c>
      <c r="BU306" s="114" t="str">
        <f>_xlfn.IFNA(VLOOKUP($BD306,Programma!$F$3:$W$1101,18,0),"")</f>
        <v/>
      </c>
      <c r="BV306" s="114" t="str">
        <f>_xlfn.IFNA(VLOOKUP($BD306,Programma!$F$3:$X$1101,19,0),"")</f>
        <v/>
      </c>
      <c r="BW306" s="114" t="str">
        <f>_xlfn.IFNA(VLOOKUP($BD306,Programma!$F$3:$Y$1101,20,0),"")</f>
        <v/>
      </c>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8"/>
      <c r="FH306" s="28"/>
      <c r="FI306" s="28"/>
      <c r="FJ306" s="28"/>
      <c r="FK306" s="28"/>
      <c r="FL306" s="28"/>
      <c r="FM306" s="28"/>
      <c r="FN306" s="28"/>
      <c r="FO306" s="28"/>
      <c r="FP306" s="28"/>
      <c r="FQ306" s="28"/>
      <c r="FR306" s="28"/>
      <c r="FS306" s="28"/>
      <c r="FT306" s="28"/>
      <c r="FU306" s="28"/>
      <c r="FV306" s="28"/>
      <c r="FW306" s="28"/>
      <c r="FX306" s="28"/>
      <c r="FY306" s="28"/>
      <c r="FZ306" s="28"/>
      <c r="GA306" s="28"/>
      <c r="GB306" s="28"/>
      <c r="GC306" s="28"/>
      <c r="GD306" s="28"/>
      <c r="GE306" s="28"/>
      <c r="GF306" s="28"/>
      <c r="GG306" s="28"/>
      <c r="GH306" s="28"/>
      <c r="GI306" s="28"/>
      <c r="GJ306" s="28"/>
      <c r="GK306" s="28"/>
      <c r="GL306" s="28"/>
      <c r="GM306" s="28"/>
      <c r="GN306" s="28"/>
      <c r="GO306" s="28"/>
      <c r="GP306" s="28"/>
      <c r="GQ306" s="28"/>
      <c r="GR306" s="28"/>
      <c r="GS306" s="28"/>
      <c r="GT306" s="28"/>
      <c r="GU306" s="28"/>
      <c r="GV306" s="28"/>
      <c r="GW306" s="28"/>
      <c r="GX306" s="28"/>
      <c r="GY306" s="28"/>
      <c r="GZ306" s="28"/>
      <c r="HA306" s="28"/>
      <c r="HB306" s="28"/>
      <c r="HC306" s="28"/>
      <c r="HD306" s="28"/>
      <c r="HE306" s="28"/>
      <c r="HF306" s="28"/>
      <c r="HG306" s="28"/>
      <c r="HH306" s="28"/>
      <c r="HI306" s="28"/>
      <c r="HJ306" s="28"/>
      <c r="HK306" s="28"/>
      <c r="HL306" s="28"/>
    </row>
    <row r="307" spans="1:220" ht="15" customHeight="1">
      <c r="A307" s="31">
        <v>6</v>
      </c>
      <c r="B307" s="105" t="str">
        <f>VLOOKUP(Ruimtestaat[[#This Row],[Code]],Locaties[[Code]:[Locatie]],2,FALSE)</f>
        <v>IKC Joannes</v>
      </c>
      <c r="C307" s="105" t="str">
        <f>VLOOKUP(Ruimtestaat[[#This Row],[Code]],Locaties[[#All],[Code]:[Adres]],4,FALSE)</f>
        <v>Kerkakkers 4</v>
      </c>
      <c r="D307" s="105" t="str">
        <f>VLOOKUP(Ruimtestaat[[#This Row],[Code]],Locaties[[#All],[Code]:[Postcode]],5,FALSE)</f>
        <v>6923 BZ</v>
      </c>
      <c r="E307" s="105" t="str">
        <f>VLOOKUP(Ruimtestaat[[#This Row],[Code]],Locaties[#All],6,FALSE)</f>
        <v>Groessen</v>
      </c>
      <c r="F307" s="113"/>
      <c r="G307" s="31" t="s">
        <v>1645</v>
      </c>
      <c r="H307" s="31" t="s">
        <v>1681</v>
      </c>
      <c r="I307" s="113" t="s">
        <v>1658</v>
      </c>
      <c r="J307" s="31">
        <v>16</v>
      </c>
      <c r="K307" s="113" t="str">
        <f>VLOOKUP(Ruimtestaat[[#This Row],[Ruimte code]],Ruimtegroepen[[#All],[Code]:[Ruimte omschrijving]],2,FALSE)</f>
        <v>Leslokalen</v>
      </c>
      <c r="L307" s="31" t="s">
        <v>99</v>
      </c>
      <c r="M307" s="31" t="s">
        <v>36</v>
      </c>
      <c r="N307" s="106">
        <v>58.08</v>
      </c>
      <c r="O307" s="112"/>
      <c r="P307" s="112"/>
      <c r="Q307" s="107" t="str">
        <f>VLOOKUP(Ruimtestaat[[#This Row],[Ruimte code]],Ruimtegroepen[],4,FALSE)</f>
        <v>Le</v>
      </c>
      <c r="R307" s="73">
        <v>40</v>
      </c>
      <c r="S307" s="73" t="s">
        <v>2</v>
      </c>
      <c r="T307" s="73">
        <f>IF(R307&gt;0,IF(RIGHT(Ruimtestaat[[#This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7" s="73">
        <f>IF(T307&gt;0,VLOOKUP($J307,Ruimtegroepen[],3,FALSE)*VLOOKUP($L307,Vloersoorten[],3,FALSE)*VLOOKUP($S307,Frequenties[],3,FALSE)*VLOOKUP($A307,Locaties[],3,FALSE),0)</f>
        <v>0</v>
      </c>
      <c r="V307" s="73">
        <f>Ruimtestaat[[#This Row],[Uitvoeringen werkdagen]]*Ruimtestaat[[#This Row],[Oppervlak (netto)]]</f>
        <v>11616</v>
      </c>
      <c r="W307" s="108">
        <f>IF(U307&gt;0,Ruimtestaat[[#This Row],[Prest. (m2 /jaar) werkdagen]]/Ruimtestaat[[#This Row],[Norm (m2/uur) werkdagen]],0)</f>
        <v>0</v>
      </c>
      <c r="X307" s="109">
        <f>Ruimtestaat[[#This Row],[uren / jaar werkdagen]]*Tariefsopbouw!$E$35</f>
        <v>0</v>
      </c>
      <c r="Y307" s="73"/>
      <c r="Z307" s="73">
        <f>IF(Ruimtestaat[[#This Row],[Frequentie weekend]]&gt;0,VALUE(LEFT(Y307,1))*R307,0)</f>
        <v>0</v>
      </c>
      <c r="AA307" s="72">
        <f>IF($Z307&gt;0,VLOOKUP($J307,Ruimtegroepen[],3,FALSE)*VLOOKUP($L307,Vloersoorten[],3,FALSE)*VLOOKUP($Y307,Frequenties[],3,FALSE)*VLOOKUP(Ruimtestaat[[#This Row],[Code]],Locaties[],3,FALSE),0)</f>
        <v>0</v>
      </c>
      <c r="AB307" s="72">
        <f>Ruimtestaat[[#This Row],[Uitvoeringen weekend]]*Ruimtestaat[[#This Row],[Oppervlak (netto)]]</f>
        <v>0</v>
      </c>
      <c r="AC307" s="72">
        <f>IF(AA307&gt;0,Ruimtestaat[[#This Row],[Prest. (m2 /jaar) weekend]]/Ruimtestaat[[#This Row],[Norm (m2/uur) weekend]],0)</f>
        <v>0</v>
      </c>
      <c r="AD307" s="109">
        <f>Ruimtestaat[[#This Row],[uren / jaar weekend]]*Tariefsopbouw!$D$40</f>
        <v>0</v>
      </c>
      <c r="AE307" s="108">
        <f>Ruimtestaat[[#This Row],[Prest. (m2 /jaar) weekend]]+Ruimtestaat[[#This Row],[Prest. (m2 /jaar) werkdagen]]</f>
        <v>11616</v>
      </c>
      <c r="AF307" s="108">
        <f>Ruimtestaat[[#This Row],[uren / jaar weekend]]+Ruimtestaat[[#This Row],[uren / jaar werkdagen]]</f>
        <v>0</v>
      </c>
      <c r="AG307" s="103">
        <f>Ruimtestaat[[#This Row],[kosten / jaar weekend]]+Ruimtestaat[[#This Row],[kosten / jaar werkdagen]]</f>
        <v>0</v>
      </c>
      <c r="AH307" s="103"/>
      <c r="AI307" s="110" t="str">
        <f>IF(Ruimtestaat[[#This Row],[Frequentie werkdagen]]="","",_xlfn.CONCAT(Ruimtestaat[[#This Row],[Ruimte code]],"-",Ruimtestaat[[#This Row],[Frequentie werkdagen]]," ",Ruimtestaat[[#This Row],[Vloer code]]))</f>
        <v>16-5w T</v>
      </c>
      <c r="AJ307" s="114" t="str">
        <f>_xlfn.IFNA(VLOOKUP($AI307,Programma!$F$3:$G$1101,2,0),"")</f>
        <v>3w</v>
      </c>
      <c r="AK307" s="114" t="str">
        <f>_xlfn.IFNA(VLOOKUP($AI307,Programma!$F$3:$H$1101,3,0),"")</f>
        <v>2w</v>
      </c>
      <c r="AL307" s="114" t="str">
        <f>_xlfn.IFNA(VLOOKUP($AI307,Programma!$F$3:$I$1101,4,0),"")</f>
        <v>_</v>
      </c>
      <c r="AM307" s="114" t="str">
        <f>_xlfn.IFNA(VLOOKUP($AI307,Programma!$F$3:$J$1101,5,0),"")</f>
        <v>_</v>
      </c>
      <c r="AN307" s="114" t="str">
        <f>_xlfn.IFNA(VLOOKUP($AI307,Programma!$F$3:$K$1101,6,0),"")</f>
        <v>_</v>
      </c>
      <c r="AO307" s="114" t="str">
        <f>_xlfn.IFNA(VLOOKUP($AI307,Programma!$F$3:$L$1101,7,0),"")</f>
        <v>_</v>
      </c>
      <c r="AP307" s="114" t="str">
        <f>_xlfn.IFNA(VLOOKUP($AI307,Programma!$F$3:$M$1101,8,0),"")</f>
        <v>_</v>
      </c>
      <c r="AQ307" s="114" t="str">
        <f>_xlfn.IFNA(VLOOKUP($AI307,Programma!$F$3:$N$1101,9,0),"")</f>
        <v>_</v>
      </c>
      <c r="AR307" s="114" t="str">
        <f>_xlfn.IFNA(VLOOKUP($AI307,Programma!$F$3:$O$1101,10,0),"")</f>
        <v>5w</v>
      </c>
      <c r="AS307" s="114" t="str">
        <f>_xlfn.IFNA(VLOOKUP($AI307,Programma!$F$3:$P$1101,11,0),"")</f>
        <v>5w</v>
      </c>
      <c r="AT307" s="114" t="str">
        <f>_xlfn.IFNA(VLOOKUP($AI307,Programma!$F$3:$Q$1101,12,0),"")</f>
        <v>1w</v>
      </c>
      <c r="AU307" s="114" t="str">
        <f>_xlfn.IFNA(VLOOKUP($AI307,Programma!$F$3:$R$1101,13,0),"")</f>
        <v>1w</v>
      </c>
      <c r="AV307" s="114" t="str">
        <f>_xlfn.IFNA(VLOOKUP($AI307,Programma!$F$3:$S$1101,14,0),"")</f>
        <v>1m</v>
      </c>
      <c r="AW307" s="114" t="str">
        <f>_xlfn.IFNA(VLOOKUP($AI307,Programma!$F$3:$T$1101,15,0),"")</f>
        <v>2j</v>
      </c>
      <c r="AX307" s="114" t="str">
        <f>_xlfn.IFNA(VLOOKUP($AI307,Programma!$F$3:$U$1101,16,0),"")</f>
        <v>1j</v>
      </c>
      <c r="AY307" s="114" t="str">
        <f>_xlfn.IFNA(VLOOKUP($AI307,Programma!$F$3:$V$1101,17,0),"")</f>
        <v>_</v>
      </c>
      <c r="AZ307" s="114" t="str">
        <f>_xlfn.IFNA(VLOOKUP($AI307,Programma!$F$3:$W$1101,18,0),"")</f>
        <v>_</v>
      </c>
      <c r="BA307" s="114" t="str">
        <f>_xlfn.IFNA(VLOOKUP($AI307,Programma!$F$3:$X$1101,19,0),"")</f>
        <v>_</v>
      </c>
      <c r="BB307" s="114" t="str">
        <f>_xlfn.IFNA(VLOOKUP($AI307,Programma!$F$3:$Y$1101,20,0),"")</f>
        <v>_</v>
      </c>
      <c r="BC307" s="111"/>
      <c r="BD307" s="110" t="str">
        <f>IF(Ruimtestaat[[#This Row],[Frequentie weekend]]="","",_xlfn.CONCAT(Ruimtestaat[[#This Row],[Ruimte code]],"-",Ruimtestaat[[#This Row],[Frequentie weekend]]," ",Ruimtestaat[[#This Row],[Vloer code]]))</f>
        <v/>
      </c>
      <c r="BE307" s="114" t="str">
        <f>_xlfn.IFNA(VLOOKUP($BD307,Programma!$F$3:$G$1101,2,0),"")</f>
        <v/>
      </c>
      <c r="BF307" s="114" t="str">
        <f>_xlfn.IFNA(VLOOKUP($BD307,Programma!$F$3:$H$1101,3,0),"")</f>
        <v/>
      </c>
      <c r="BG307" s="114" t="str">
        <f>_xlfn.IFNA(VLOOKUP($BD307,Programma!$F$3:$I$1101,4,0),"")</f>
        <v/>
      </c>
      <c r="BH307" s="114" t="str">
        <f>_xlfn.IFNA(VLOOKUP($BD307,Programma!$F$3:$J$1101,5,0),"")</f>
        <v/>
      </c>
      <c r="BI307" s="114" t="str">
        <f>_xlfn.IFNA(VLOOKUP($BD307,Programma!$F$3:$K$1101,6,0),"")</f>
        <v/>
      </c>
      <c r="BJ307" s="114" t="str">
        <f>_xlfn.IFNA(VLOOKUP($BD307,Programma!$F$3:$L$1101,7,0),"")</f>
        <v/>
      </c>
      <c r="BK307" s="114" t="str">
        <f>_xlfn.IFNA(VLOOKUP($BD307,Programma!$F$3:$M$1101,8,0),"")</f>
        <v/>
      </c>
      <c r="BL307" s="114" t="str">
        <f>_xlfn.IFNA(VLOOKUP($BD307,Programma!$F$3:$N$1101,9,0),"")</f>
        <v/>
      </c>
      <c r="BM307" s="114" t="str">
        <f>_xlfn.IFNA(VLOOKUP($BD307,Programma!$F$3:$O$1101,10,0),"")</f>
        <v/>
      </c>
      <c r="BN307" s="114" t="str">
        <f>_xlfn.IFNA(VLOOKUP($BD307,Programma!$F$3:$P$1101,11,0),"")</f>
        <v/>
      </c>
      <c r="BO307" s="114" t="str">
        <f>_xlfn.IFNA(VLOOKUP($BD307,Programma!$F$3:$Q$1101,12,0),"")</f>
        <v/>
      </c>
      <c r="BP307" s="114" t="str">
        <f>_xlfn.IFNA(VLOOKUP($BD307,Programma!$F$3:$R$1101,13,0),"")</f>
        <v/>
      </c>
      <c r="BQ307" s="114" t="str">
        <f>_xlfn.IFNA(VLOOKUP($BD307,Programma!$F$3:$S$1101,14,0),"")</f>
        <v/>
      </c>
      <c r="BR307" s="114" t="str">
        <f>_xlfn.IFNA(VLOOKUP($BD307,Programma!$F$3:$T$1101,15,0),"")</f>
        <v/>
      </c>
      <c r="BS307" s="114" t="str">
        <f>_xlfn.IFNA(VLOOKUP($BD307,Programma!$F$3:$U$1101,16,0),"")</f>
        <v/>
      </c>
      <c r="BT307" s="114" t="str">
        <f>_xlfn.IFNA(VLOOKUP($BD307,Programma!$F$3:$V$1101,17,0),"")</f>
        <v/>
      </c>
      <c r="BU307" s="114" t="str">
        <f>_xlfn.IFNA(VLOOKUP($BD307,Programma!$F$3:$W$1101,18,0),"")</f>
        <v/>
      </c>
      <c r="BV307" s="114" t="str">
        <f>_xlfn.IFNA(VLOOKUP($BD307,Programma!$F$3:$X$1101,19,0),"")</f>
        <v/>
      </c>
      <c r="BW307" s="114" t="str">
        <f>_xlfn.IFNA(VLOOKUP($BD307,Programma!$F$3:$Y$1101,20,0),"")</f>
        <v/>
      </c>
      <c r="BX307" s="28"/>
      <c r="BY307" s="28"/>
      <c r="BZ307" s="28"/>
      <c r="CA307" s="28"/>
      <c r="CB307" s="28"/>
      <c r="CC307" s="28"/>
      <c r="CD307" s="28"/>
      <c r="CE307" s="28"/>
      <c r="CF307" s="28"/>
      <c r="CG307" s="28"/>
      <c r="CH307" s="28"/>
      <c r="CI307" s="28"/>
      <c r="CJ307" s="28"/>
      <c r="CK307" s="28"/>
      <c r="CL307" s="28"/>
      <c r="CM307" s="28"/>
      <c r="CN307" s="28"/>
      <c r="CO307" s="28"/>
      <c r="CP307" s="28"/>
      <c r="CQ307" s="28"/>
      <c r="CR307" s="28"/>
      <c r="CS307" s="28"/>
      <c r="CT307" s="28"/>
      <c r="CU307" s="28"/>
      <c r="CV307" s="28"/>
      <c r="CW307" s="28"/>
      <c r="CX307" s="28"/>
      <c r="CY307" s="28"/>
      <c r="CZ307" s="28"/>
      <c r="DA307" s="28"/>
      <c r="DB307" s="28"/>
      <c r="DC307" s="28"/>
      <c r="DD307" s="28"/>
      <c r="DE307" s="28"/>
      <c r="DF307" s="28"/>
      <c r="DG307" s="28"/>
      <c r="DH307" s="28"/>
      <c r="DI307" s="28"/>
      <c r="DJ307" s="28"/>
      <c r="DK307" s="28"/>
      <c r="DL307" s="28"/>
      <c r="DM307" s="28"/>
      <c r="DN307" s="28"/>
      <c r="DO307" s="28"/>
      <c r="DP307" s="28"/>
      <c r="DQ307" s="28"/>
      <c r="DR307" s="28"/>
      <c r="DS307" s="28"/>
      <c r="DT307" s="28"/>
      <c r="DU307" s="28"/>
      <c r="DV307" s="28"/>
      <c r="DW307" s="28"/>
      <c r="DX307" s="28"/>
      <c r="DY307" s="28"/>
      <c r="DZ307" s="28"/>
      <c r="EA307" s="28"/>
      <c r="EB307" s="28"/>
      <c r="EC307" s="28"/>
      <c r="ED307" s="28"/>
      <c r="EE307" s="28"/>
      <c r="EF307" s="28"/>
      <c r="EG307" s="28"/>
      <c r="EH307" s="28"/>
      <c r="EI307" s="28"/>
      <c r="EJ307" s="28"/>
      <c r="EK307" s="28"/>
      <c r="EL307" s="28"/>
      <c r="EM307" s="28"/>
      <c r="EN307" s="28"/>
      <c r="EO307" s="28"/>
      <c r="EP307" s="28"/>
      <c r="EQ307" s="28"/>
      <c r="ER307" s="28"/>
      <c r="ES307" s="28"/>
      <c r="ET307" s="28"/>
      <c r="EU307" s="28"/>
      <c r="EV307" s="28"/>
      <c r="EW307" s="28"/>
      <c r="EX307" s="28"/>
      <c r="EY307" s="28"/>
      <c r="EZ307" s="28"/>
      <c r="FA307" s="28"/>
      <c r="FB307" s="28"/>
      <c r="FC307" s="28"/>
      <c r="FD307" s="28"/>
      <c r="FE307" s="28"/>
      <c r="FF307" s="28"/>
      <c r="FG307" s="28"/>
      <c r="FH307" s="28"/>
      <c r="FI307" s="28"/>
      <c r="FJ307" s="28"/>
      <c r="FK307" s="28"/>
      <c r="FL307" s="28"/>
      <c r="FM307" s="28"/>
      <c r="FN307" s="28"/>
      <c r="FO307" s="28"/>
      <c r="FP307" s="28"/>
      <c r="FQ307" s="28"/>
      <c r="FR307" s="28"/>
      <c r="FS307" s="28"/>
      <c r="FT307" s="28"/>
      <c r="FU307" s="28"/>
      <c r="FV307" s="28"/>
      <c r="FW307" s="28"/>
      <c r="FX307" s="28"/>
      <c r="FY307" s="28"/>
      <c r="FZ307" s="28"/>
      <c r="GA307" s="28"/>
      <c r="GB307" s="28"/>
      <c r="GC307" s="28"/>
      <c r="GD307" s="28"/>
      <c r="GE307" s="28"/>
      <c r="GF307" s="28"/>
      <c r="GG307" s="28"/>
      <c r="GH307" s="28"/>
      <c r="GI307" s="28"/>
      <c r="GJ307" s="28"/>
      <c r="GK307" s="28"/>
      <c r="GL307" s="28"/>
      <c r="GM307" s="28"/>
      <c r="GN307" s="28"/>
      <c r="GO307" s="28"/>
      <c r="GP307" s="28"/>
      <c r="GQ307" s="28"/>
      <c r="GR307" s="28"/>
      <c r="GS307" s="28"/>
      <c r="GT307" s="28"/>
      <c r="GU307" s="28"/>
      <c r="GV307" s="28"/>
      <c r="GW307" s="28"/>
      <c r="GX307" s="28"/>
      <c r="GY307" s="28"/>
      <c r="GZ307" s="28"/>
      <c r="HA307" s="28"/>
      <c r="HB307" s="28"/>
      <c r="HC307" s="28"/>
      <c r="HD307" s="28"/>
      <c r="HE307" s="28"/>
      <c r="HF307" s="28"/>
      <c r="HG307" s="28"/>
      <c r="HH307" s="28"/>
      <c r="HI307" s="28"/>
      <c r="HJ307" s="28"/>
      <c r="HK307" s="28"/>
      <c r="HL307" s="28"/>
    </row>
    <row r="308" spans="1:220" ht="15" customHeight="1">
      <c r="A308" s="31">
        <v>6</v>
      </c>
      <c r="B308" s="105" t="str">
        <f>VLOOKUP(Ruimtestaat[[#This Row],[Code]],Locaties[[Code]:[Locatie]],2,FALSE)</f>
        <v>IKC Joannes</v>
      </c>
      <c r="C308" s="105" t="str">
        <f>VLOOKUP(Ruimtestaat[[#This Row],[Code]],Locaties[[#All],[Code]:[Adres]],4,FALSE)</f>
        <v>Kerkakkers 4</v>
      </c>
      <c r="D308" s="105" t="str">
        <f>VLOOKUP(Ruimtestaat[[#This Row],[Code]],Locaties[[#All],[Code]:[Postcode]],5,FALSE)</f>
        <v>6923 BZ</v>
      </c>
      <c r="E308" s="105" t="str">
        <f>VLOOKUP(Ruimtestaat[[#This Row],[Code]],Locaties[#All],6,FALSE)</f>
        <v>Groessen</v>
      </c>
      <c r="F308" s="113"/>
      <c r="G308" s="31" t="s">
        <v>1645</v>
      </c>
      <c r="H308" s="31" t="s">
        <v>1682</v>
      </c>
      <c r="I308" s="113" t="s">
        <v>1662</v>
      </c>
      <c r="J308" s="31">
        <v>16</v>
      </c>
      <c r="K308" s="113" t="str">
        <f>VLOOKUP(Ruimtestaat[[#This Row],[Ruimte code]],Ruimtegroepen[[#All],[Code]:[Ruimte omschrijving]],2,FALSE)</f>
        <v>Leslokalen</v>
      </c>
      <c r="L308" s="31" t="s">
        <v>99</v>
      </c>
      <c r="M308" s="31" t="s">
        <v>36</v>
      </c>
      <c r="N308" s="106">
        <v>58.08</v>
      </c>
      <c r="O308" s="112"/>
      <c r="P308" s="112"/>
      <c r="Q308" s="107" t="str">
        <f>VLOOKUP(Ruimtestaat[[#This Row],[Ruimte code]],Ruimtegroepen[],4,FALSE)</f>
        <v>Le</v>
      </c>
      <c r="R308" s="73">
        <v>40</v>
      </c>
      <c r="S308" s="73" t="s">
        <v>2</v>
      </c>
      <c r="T308" s="73">
        <f>IF(R308&gt;0,IF(RIGHT(Ruimtestaat[[#This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8" s="73">
        <f>IF(T308&gt;0,VLOOKUP($J308,Ruimtegroepen[],3,FALSE)*VLOOKUP($L308,Vloersoorten[],3,FALSE)*VLOOKUP($S308,Frequenties[],3,FALSE)*VLOOKUP($A308,Locaties[],3,FALSE),0)</f>
        <v>0</v>
      </c>
      <c r="V308" s="73">
        <f>Ruimtestaat[[#This Row],[Uitvoeringen werkdagen]]*Ruimtestaat[[#This Row],[Oppervlak (netto)]]</f>
        <v>11616</v>
      </c>
      <c r="W308" s="108">
        <f>IF(U308&gt;0,Ruimtestaat[[#This Row],[Prest. (m2 /jaar) werkdagen]]/Ruimtestaat[[#This Row],[Norm (m2/uur) werkdagen]],0)</f>
        <v>0</v>
      </c>
      <c r="X308" s="109">
        <f>Ruimtestaat[[#This Row],[uren / jaar werkdagen]]*Tariefsopbouw!$E$35</f>
        <v>0</v>
      </c>
      <c r="Y308" s="73"/>
      <c r="Z308" s="73">
        <f>IF(Ruimtestaat[[#This Row],[Frequentie weekend]]&gt;0,VALUE(LEFT(Y308,1))*R308,0)</f>
        <v>0</v>
      </c>
      <c r="AA308" s="72">
        <f>IF($Z308&gt;0,VLOOKUP($J308,Ruimtegroepen[],3,FALSE)*VLOOKUP($L308,Vloersoorten[],3,FALSE)*VLOOKUP($Y308,Frequenties[],3,FALSE)*VLOOKUP(Ruimtestaat[[#This Row],[Code]],Locaties[],3,FALSE),0)</f>
        <v>0</v>
      </c>
      <c r="AB308" s="72">
        <f>Ruimtestaat[[#This Row],[Uitvoeringen weekend]]*Ruimtestaat[[#This Row],[Oppervlak (netto)]]</f>
        <v>0</v>
      </c>
      <c r="AC308" s="72">
        <f>IF(AA308&gt;0,Ruimtestaat[[#This Row],[Prest. (m2 /jaar) weekend]]/Ruimtestaat[[#This Row],[Norm (m2/uur) weekend]],0)</f>
        <v>0</v>
      </c>
      <c r="AD308" s="109">
        <f>Ruimtestaat[[#This Row],[uren / jaar weekend]]*Tariefsopbouw!$D$40</f>
        <v>0</v>
      </c>
      <c r="AE308" s="108">
        <f>Ruimtestaat[[#This Row],[Prest. (m2 /jaar) weekend]]+Ruimtestaat[[#This Row],[Prest. (m2 /jaar) werkdagen]]</f>
        <v>11616</v>
      </c>
      <c r="AF308" s="108">
        <f>Ruimtestaat[[#This Row],[uren / jaar weekend]]+Ruimtestaat[[#This Row],[uren / jaar werkdagen]]</f>
        <v>0</v>
      </c>
      <c r="AG308" s="103">
        <f>Ruimtestaat[[#This Row],[kosten / jaar weekend]]+Ruimtestaat[[#This Row],[kosten / jaar werkdagen]]</f>
        <v>0</v>
      </c>
      <c r="AH308" s="103"/>
      <c r="AI308" s="110" t="str">
        <f>IF(Ruimtestaat[[#This Row],[Frequentie werkdagen]]="","",_xlfn.CONCAT(Ruimtestaat[[#This Row],[Ruimte code]],"-",Ruimtestaat[[#This Row],[Frequentie werkdagen]]," ",Ruimtestaat[[#This Row],[Vloer code]]))</f>
        <v>16-5w T</v>
      </c>
      <c r="AJ308" s="114" t="str">
        <f>_xlfn.IFNA(VLOOKUP($AI308,Programma!$F$3:$G$1101,2,0),"")</f>
        <v>3w</v>
      </c>
      <c r="AK308" s="114" t="str">
        <f>_xlfn.IFNA(VLOOKUP($AI308,Programma!$F$3:$H$1101,3,0),"")</f>
        <v>2w</v>
      </c>
      <c r="AL308" s="114" t="str">
        <f>_xlfn.IFNA(VLOOKUP($AI308,Programma!$F$3:$I$1101,4,0),"")</f>
        <v>_</v>
      </c>
      <c r="AM308" s="114" t="str">
        <f>_xlfn.IFNA(VLOOKUP($AI308,Programma!$F$3:$J$1101,5,0),"")</f>
        <v>_</v>
      </c>
      <c r="AN308" s="114" t="str">
        <f>_xlfn.IFNA(VLOOKUP($AI308,Programma!$F$3:$K$1101,6,0),"")</f>
        <v>_</v>
      </c>
      <c r="AO308" s="114" t="str">
        <f>_xlfn.IFNA(VLOOKUP($AI308,Programma!$F$3:$L$1101,7,0),"")</f>
        <v>_</v>
      </c>
      <c r="AP308" s="114" t="str">
        <f>_xlfn.IFNA(VLOOKUP($AI308,Programma!$F$3:$M$1101,8,0),"")</f>
        <v>_</v>
      </c>
      <c r="AQ308" s="114" t="str">
        <f>_xlfn.IFNA(VLOOKUP($AI308,Programma!$F$3:$N$1101,9,0),"")</f>
        <v>_</v>
      </c>
      <c r="AR308" s="114" t="str">
        <f>_xlfn.IFNA(VLOOKUP($AI308,Programma!$F$3:$O$1101,10,0),"")</f>
        <v>5w</v>
      </c>
      <c r="AS308" s="114" t="str">
        <f>_xlfn.IFNA(VLOOKUP($AI308,Programma!$F$3:$P$1101,11,0),"")</f>
        <v>5w</v>
      </c>
      <c r="AT308" s="114" t="str">
        <f>_xlfn.IFNA(VLOOKUP($AI308,Programma!$F$3:$Q$1101,12,0),"")</f>
        <v>1w</v>
      </c>
      <c r="AU308" s="114" t="str">
        <f>_xlfn.IFNA(VLOOKUP($AI308,Programma!$F$3:$R$1101,13,0),"")</f>
        <v>1w</v>
      </c>
      <c r="AV308" s="114" t="str">
        <f>_xlfn.IFNA(VLOOKUP($AI308,Programma!$F$3:$S$1101,14,0),"")</f>
        <v>1m</v>
      </c>
      <c r="AW308" s="114" t="str">
        <f>_xlfn.IFNA(VLOOKUP($AI308,Programma!$F$3:$T$1101,15,0),"")</f>
        <v>2j</v>
      </c>
      <c r="AX308" s="114" t="str">
        <f>_xlfn.IFNA(VLOOKUP($AI308,Programma!$F$3:$U$1101,16,0),"")</f>
        <v>1j</v>
      </c>
      <c r="AY308" s="114" t="str">
        <f>_xlfn.IFNA(VLOOKUP($AI308,Programma!$F$3:$V$1101,17,0),"")</f>
        <v>_</v>
      </c>
      <c r="AZ308" s="114" t="str">
        <f>_xlfn.IFNA(VLOOKUP($AI308,Programma!$F$3:$W$1101,18,0),"")</f>
        <v>_</v>
      </c>
      <c r="BA308" s="114" t="str">
        <f>_xlfn.IFNA(VLOOKUP($AI308,Programma!$F$3:$X$1101,19,0),"")</f>
        <v>_</v>
      </c>
      <c r="BB308" s="114" t="str">
        <f>_xlfn.IFNA(VLOOKUP($AI308,Programma!$F$3:$Y$1101,20,0),"")</f>
        <v>_</v>
      </c>
      <c r="BC308" s="111"/>
      <c r="BD308" s="110" t="str">
        <f>IF(Ruimtestaat[[#This Row],[Frequentie weekend]]="","",_xlfn.CONCAT(Ruimtestaat[[#This Row],[Ruimte code]],"-",Ruimtestaat[[#This Row],[Frequentie weekend]]," ",Ruimtestaat[[#This Row],[Vloer code]]))</f>
        <v/>
      </c>
      <c r="BE308" s="114" t="str">
        <f>_xlfn.IFNA(VLOOKUP($BD308,Programma!$F$3:$G$1101,2,0),"")</f>
        <v/>
      </c>
      <c r="BF308" s="114" t="str">
        <f>_xlfn.IFNA(VLOOKUP($BD308,Programma!$F$3:$H$1101,3,0),"")</f>
        <v/>
      </c>
      <c r="BG308" s="114" t="str">
        <f>_xlfn.IFNA(VLOOKUP($BD308,Programma!$F$3:$I$1101,4,0),"")</f>
        <v/>
      </c>
      <c r="BH308" s="114" t="str">
        <f>_xlfn.IFNA(VLOOKUP($BD308,Programma!$F$3:$J$1101,5,0),"")</f>
        <v/>
      </c>
      <c r="BI308" s="114" t="str">
        <f>_xlfn.IFNA(VLOOKUP($BD308,Programma!$F$3:$K$1101,6,0),"")</f>
        <v/>
      </c>
      <c r="BJ308" s="114" t="str">
        <f>_xlfn.IFNA(VLOOKUP($BD308,Programma!$F$3:$L$1101,7,0),"")</f>
        <v/>
      </c>
      <c r="BK308" s="114" t="str">
        <f>_xlfn.IFNA(VLOOKUP($BD308,Programma!$F$3:$M$1101,8,0),"")</f>
        <v/>
      </c>
      <c r="BL308" s="114" t="str">
        <f>_xlfn.IFNA(VLOOKUP($BD308,Programma!$F$3:$N$1101,9,0),"")</f>
        <v/>
      </c>
      <c r="BM308" s="114" t="str">
        <f>_xlfn.IFNA(VLOOKUP($BD308,Programma!$F$3:$O$1101,10,0),"")</f>
        <v/>
      </c>
      <c r="BN308" s="114" t="str">
        <f>_xlfn.IFNA(VLOOKUP($BD308,Programma!$F$3:$P$1101,11,0),"")</f>
        <v/>
      </c>
      <c r="BO308" s="114" t="str">
        <f>_xlfn.IFNA(VLOOKUP($BD308,Programma!$F$3:$Q$1101,12,0),"")</f>
        <v/>
      </c>
      <c r="BP308" s="114" t="str">
        <f>_xlfn.IFNA(VLOOKUP($BD308,Programma!$F$3:$R$1101,13,0),"")</f>
        <v/>
      </c>
      <c r="BQ308" s="114" t="str">
        <f>_xlfn.IFNA(VLOOKUP($BD308,Programma!$F$3:$S$1101,14,0),"")</f>
        <v/>
      </c>
      <c r="BR308" s="114" t="str">
        <f>_xlfn.IFNA(VLOOKUP($BD308,Programma!$F$3:$T$1101,15,0),"")</f>
        <v/>
      </c>
      <c r="BS308" s="114" t="str">
        <f>_xlfn.IFNA(VLOOKUP($BD308,Programma!$F$3:$U$1101,16,0),"")</f>
        <v/>
      </c>
      <c r="BT308" s="114" t="str">
        <f>_xlfn.IFNA(VLOOKUP($BD308,Programma!$F$3:$V$1101,17,0),"")</f>
        <v/>
      </c>
      <c r="BU308" s="114" t="str">
        <f>_xlfn.IFNA(VLOOKUP($BD308,Programma!$F$3:$W$1101,18,0),"")</f>
        <v/>
      </c>
      <c r="BV308" s="114" t="str">
        <f>_xlfn.IFNA(VLOOKUP($BD308,Programma!$F$3:$X$1101,19,0),"")</f>
        <v/>
      </c>
      <c r="BW308" s="114" t="str">
        <f>_xlfn.IFNA(VLOOKUP($BD308,Programma!$F$3:$Y$1101,20,0),"")</f>
        <v/>
      </c>
      <c r="BX308" s="28"/>
      <c r="BY308" s="28"/>
      <c r="BZ308" s="28"/>
      <c r="CA308" s="28"/>
      <c r="CB308" s="28"/>
      <c r="CC308" s="28"/>
      <c r="CD308" s="28"/>
      <c r="CE308" s="28"/>
      <c r="CF308" s="28"/>
      <c r="CG308" s="28"/>
      <c r="CH308" s="28"/>
      <c r="CI308" s="28"/>
      <c r="CJ308" s="28"/>
      <c r="CK308" s="28"/>
      <c r="CL308" s="28"/>
      <c r="CM308" s="28"/>
      <c r="CN308" s="28"/>
      <c r="CO308" s="28"/>
      <c r="CP308" s="28"/>
      <c r="CQ308" s="28"/>
      <c r="CR308" s="28"/>
      <c r="CS308" s="28"/>
      <c r="CT308" s="28"/>
      <c r="CU308" s="28"/>
      <c r="CV308" s="28"/>
      <c r="CW308" s="28"/>
      <c r="CX308" s="28"/>
      <c r="CY308" s="28"/>
      <c r="CZ308" s="28"/>
      <c r="DA308" s="28"/>
      <c r="DB308" s="28"/>
      <c r="DC308" s="28"/>
      <c r="DD308" s="28"/>
      <c r="DE308" s="28"/>
      <c r="DF308" s="28"/>
      <c r="DG308" s="28"/>
      <c r="DH308" s="28"/>
      <c r="DI308" s="28"/>
      <c r="DJ308" s="28"/>
      <c r="DK308" s="28"/>
      <c r="DL308" s="28"/>
      <c r="DM308" s="28"/>
      <c r="DN308" s="28"/>
      <c r="DO308" s="28"/>
      <c r="DP308" s="28"/>
      <c r="DQ308" s="28"/>
      <c r="DR308" s="28"/>
      <c r="DS308" s="28"/>
      <c r="DT308" s="28"/>
      <c r="DU308" s="28"/>
      <c r="DV308" s="28"/>
      <c r="DW308" s="28"/>
      <c r="DX308" s="28"/>
      <c r="DY308" s="28"/>
      <c r="DZ308" s="28"/>
      <c r="EA308" s="28"/>
      <c r="EB308" s="28"/>
      <c r="EC308" s="28"/>
      <c r="ED308" s="28"/>
      <c r="EE308" s="28"/>
      <c r="EF308" s="28"/>
      <c r="EG308" s="28"/>
      <c r="EH308" s="28"/>
      <c r="EI308" s="28"/>
      <c r="EJ308" s="28"/>
      <c r="EK308" s="28"/>
      <c r="EL308" s="28"/>
      <c r="EM308" s="28"/>
      <c r="EN308" s="28"/>
      <c r="EO308" s="28"/>
      <c r="EP308" s="28"/>
      <c r="EQ308" s="28"/>
      <c r="ER308" s="28"/>
      <c r="ES308" s="28"/>
      <c r="ET308" s="28"/>
      <c r="EU308" s="28"/>
      <c r="EV308" s="28"/>
      <c r="EW308" s="28"/>
      <c r="EX308" s="28"/>
      <c r="EY308" s="28"/>
      <c r="EZ308" s="28"/>
      <c r="FA308" s="28"/>
      <c r="FB308" s="28"/>
      <c r="FC308" s="28"/>
      <c r="FD308" s="28"/>
      <c r="FE308" s="28"/>
      <c r="FF308" s="28"/>
      <c r="FG308" s="28"/>
      <c r="FH308" s="28"/>
      <c r="FI308" s="28"/>
      <c r="FJ308" s="28"/>
      <c r="FK308" s="28"/>
      <c r="FL308" s="28"/>
      <c r="FM308" s="28"/>
      <c r="FN308" s="28"/>
      <c r="FO308" s="28"/>
      <c r="FP308" s="28"/>
      <c r="FQ308" s="28"/>
      <c r="FR308" s="28"/>
      <c r="FS308" s="28"/>
      <c r="FT308" s="28"/>
      <c r="FU308" s="28"/>
      <c r="FV308" s="28"/>
      <c r="FW308" s="28"/>
      <c r="FX308" s="28"/>
      <c r="FY308" s="28"/>
      <c r="FZ308" s="28"/>
      <c r="GA308" s="28"/>
      <c r="GB308" s="28"/>
      <c r="GC308" s="28"/>
      <c r="GD308" s="28"/>
      <c r="GE308" s="28"/>
      <c r="GF308" s="28"/>
      <c r="GG308" s="28"/>
      <c r="GH308" s="28"/>
      <c r="GI308" s="28"/>
      <c r="GJ308" s="28"/>
      <c r="GK308" s="28"/>
      <c r="GL308" s="28"/>
      <c r="GM308" s="28"/>
      <c r="GN308" s="28"/>
      <c r="GO308" s="28"/>
      <c r="GP308" s="28"/>
      <c r="GQ308" s="28"/>
      <c r="GR308" s="28"/>
      <c r="GS308" s="28"/>
      <c r="GT308" s="28"/>
      <c r="GU308" s="28"/>
      <c r="GV308" s="28"/>
      <c r="GW308" s="28"/>
      <c r="GX308" s="28"/>
      <c r="GY308" s="28"/>
      <c r="GZ308" s="28"/>
      <c r="HA308" s="28"/>
      <c r="HB308" s="28"/>
      <c r="HC308" s="28"/>
      <c r="HD308" s="28"/>
      <c r="HE308" s="28"/>
      <c r="HF308" s="28"/>
      <c r="HG308" s="28"/>
      <c r="HH308" s="28"/>
      <c r="HI308" s="28"/>
      <c r="HJ308" s="28"/>
      <c r="HK308" s="28"/>
      <c r="HL308" s="28"/>
    </row>
    <row r="309" spans="1:220" ht="15" customHeight="1">
      <c r="A309" s="31">
        <v>6</v>
      </c>
      <c r="B309" s="105" t="str">
        <f>VLOOKUP(Ruimtestaat[[#This Row],[Code]],Locaties[[Code]:[Locatie]],2,FALSE)</f>
        <v>IKC Joannes</v>
      </c>
      <c r="C309" s="105" t="str">
        <f>VLOOKUP(Ruimtestaat[[#This Row],[Code]],Locaties[[#All],[Code]:[Adres]],4,FALSE)</f>
        <v>Kerkakkers 4</v>
      </c>
      <c r="D309" s="105" t="str">
        <f>VLOOKUP(Ruimtestaat[[#This Row],[Code]],Locaties[[#All],[Code]:[Postcode]],5,FALSE)</f>
        <v>6923 BZ</v>
      </c>
      <c r="E309" s="105" t="str">
        <f>VLOOKUP(Ruimtestaat[[#This Row],[Code]],Locaties[#All],6,FALSE)</f>
        <v>Groessen</v>
      </c>
      <c r="F309" s="113"/>
      <c r="G309" s="31" t="s">
        <v>1645</v>
      </c>
      <c r="H309" s="31" t="s">
        <v>1683</v>
      </c>
      <c r="I309" s="113" t="s">
        <v>1746</v>
      </c>
      <c r="J309" s="31">
        <v>16</v>
      </c>
      <c r="K309" s="113" t="str">
        <f>VLOOKUP(Ruimtestaat[[#This Row],[Ruimte code]],Ruimtegroepen[[#All],[Code]:[Ruimte omschrijving]],2,FALSE)</f>
        <v>Leslokalen</v>
      </c>
      <c r="L309" s="31" t="s">
        <v>99</v>
      </c>
      <c r="M309" s="31" t="s">
        <v>36</v>
      </c>
      <c r="N309" s="106">
        <v>55.04</v>
      </c>
      <c r="O309" s="112"/>
      <c r="P309" s="112"/>
      <c r="Q309" s="107" t="str">
        <f>VLOOKUP(Ruimtestaat[[#This Row],[Ruimte code]],Ruimtegroepen[],4,FALSE)</f>
        <v>Le</v>
      </c>
      <c r="R309" s="73">
        <v>40</v>
      </c>
      <c r="S309" s="73" t="s">
        <v>2</v>
      </c>
      <c r="T309" s="73">
        <f>IF(R309&gt;0,IF(RIGHT(Ruimtestaat[[#This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9" s="73">
        <f>IF(T309&gt;0,VLOOKUP($J309,Ruimtegroepen[],3,FALSE)*VLOOKUP($L309,Vloersoorten[],3,FALSE)*VLOOKUP($S309,Frequenties[],3,FALSE)*VLOOKUP($A309,Locaties[],3,FALSE),0)</f>
        <v>0</v>
      </c>
      <c r="V309" s="73">
        <f>Ruimtestaat[[#This Row],[Uitvoeringen werkdagen]]*Ruimtestaat[[#This Row],[Oppervlak (netto)]]</f>
        <v>11008</v>
      </c>
      <c r="W309" s="108">
        <f>IF(U309&gt;0,Ruimtestaat[[#This Row],[Prest. (m2 /jaar) werkdagen]]/Ruimtestaat[[#This Row],[Norm (m2/uur) werkdagen]],0)</f>
        <v>0</v>
      </c>
      <c r="X309" s="109">
        <f>Ruimtestaat[[#This Row],[uren / jaar werkdagen]]*Tariefsopbouw!$E$35</f>
        <v>0</v>
      </c>
      <c r="Y309" s="73"/>
      <c r="Z309" s="73">
        <f>IF(Ruimtestaat[[#This Row],[Frequentie weekend]]&gt;0,VALUE(LEFT(Y309,1))*R309,0)</f>
        <v>0</v>
      </c>
      <c r="AA309" s="72">
        <f>IF($Z309&gt;0,VLOOKUP($J309,Ruimtegroepen[],3,FALSE)*VLOOKUP($L309,Vloersoorten[],3,FALSE)*VLOOKUP($Y309,Frequenties[],3,FALSE)*VLOOKUP(Ruimtestaat[[#This Row],[Code]],Locaties[],3,FALSE),0)</f>
        <v>0</v>
      </c>
      <c r="AB309" s="72">
        <f>Ruimtestaat[[#This Row],[Uitvoeringen weekend]]*Ruimtestaat[[#This Row],[Oppervlak (netto)]]</f>
        <v>0</v>
      </c>
      <c r="AC309" s="72">
        <f>IF(AA309&gt;0,Ruimtestaat[[#This Row],[Prest. (m2 /jaar) weekend]]/Ruimtestaat[[#This Row],[Norm (m2/uur) weekend]],0)</f>
        <v>0</v>
      </c>
      <c r="AD309" s="109">
        <f>Ruimtestaat[[#This Row],[uren / jaar weekend]]*Tariefsopbouw!$D$40</f>
        <v>0</v>
      </c>
      <c r="AE309" s="108">
        <f>Ruimtestaat[[#This Row],[Prest. (m2 /jaar) weekend]]+Ruimtestaat[[#This Row],[Prest. (m2 /jaar) werkdagen]]</f>
        <v>11008</v>
      </c>
      <c r="AF309" s="108">
        <f>Ruimtestaat[[#This Row],[uren / jaar weekend]]+Ruimtestaat[[#This Row],[uren / jaar werkdagen]]</f>
        <v>0</v>
      </c>
      <c r="AG309" s="103">
        <f>Ruimtestaat[[#This Row],[kosten / jaar weekend]]+Ruimtestaat[[#This Row],[kosten / jaar werkdagen]]</f>
        <v>0</v>
      </c>
      <c r="AH309" s="103"/>
      <c r="AI309" s="110" t="str">
        <f>IF(Ruimtestaat[[#This Row],[Frequentie werkdagen]]="","",_xlfn.CONCAT(Ruimtestaat[[#This Row],[Ruimte code]],"-",Ruimtestaat[[#This Row],[Frequentie werkdagen]]," ",Ruimtestaat[[#This Row],[Vloer code]]))</f>
        <v>16-5w T</v>
      </c>
      <c r="AJ309" s="114" t="str">
        <f>_xlfn.IFNA(VLOOKUP($AI309,Programma!$F$3:$G$1101,2,0),"")</f>
        <v>3w</v>
      </c>
      <c r="AK309" s="114" t="str">
        <f>_xlfn.IFNA(VLOOKUP($AI309,Programma!$F$3:$H$1101,3,0),"")</f>
        <v>2w</v>
      </c>
      <c r="AL309" s="114" t="str">
        <f>_xlfn.IFNA(VLOOKUP($AI309,Programma!$F$3:$I$1101,4,0),"")</f>
        <v>_</v>
      </c>
      <c r="AM309" s="114" t="str">
        <f>_xlfn.IFNA(VLOOKUP($AI309,Programma!$F$3:$J$1101,5,0),"")</f>
        <v>_</v>
      </c>
      <c r="AN309" s="114" t="str">
        <f>_xlfn.IFNA(VLOOKUP($AI309,Programma!$F$3:$K$1101,6,0),"")</f>
        <v>_</v>
      </c>
      <c r="AO309" s="114" t="str">
        <f>_xlfn.IFNA(VLOOKUP($AI309,Programma!$F$3:$L$1101,7,0),"")</f>
        <v>_</v>
      </c>
      <c r="AP309" s="114" t="str">
        <f>_xlfn.IFNA(VLOOKUP($AI309,Programma!$F$3:$M$1101,8,0),"")</f>
        <v>_</v>
      </c>
      <c r="AQ309" s="114" t="str">
        <f>_xlfn.IFNA(VLOOKUP($AI309,Programma!$F$3:$N$1101,9,0),"")</f>
        <v>_</v>
      </c>
      <c r="AR309" s="114" t="str">
        <f>_xlfn.IFNA(VLOOKUP($AI309,Programma!$F$3:$O$1101,10,0),"")</f>
        <v>5w</v>
      </c>
      <c r="AS309" s="114" t="str">
        <f>_xlfn.IFNA(VLOOKUP($AI309,Programma!$F$3:$P$1101,11,0),"")</f>
        <v>5w</v>
      </c>
      <c r="AT309" s="114" t="str">
        <f>_xlfn.IFNA(VLOOKUP($AI309,Programma!$F$3:$Q$1101,12,0),"")</f>
        <v>1w</v>
      </c>
      <c r="AU309" s="114" t="str">
        <f>_xlfn.IFNA(VLOOKUP($AI309,Programma!$F$3:$R$1101,13,0),"")</f>
        <v>1w</v>
      </c>
      <c r="AV309" s="114" t="str">
        <f>_xlfn.IFNA(VLOOKUP($AI309,Programma!$F$3:$S$1101,14,0),"")</f>
        <v>1m</v>
      </c>
      <c r="AW309" s="114" t="str">
        <f>_xlfn.IFNA(VLOOKUP($AI309,Programma!$F$3:$T$1101,15,0),"")</f>
        <v>2j</v>
      </c>
      <c r="AX309" s="114" t="str">
        <f>_xlfn.IFNA(VLOOKUP($AI309,Programma!$F$3:$U$1101,16,0),"")</f>
        <v>1j</v>
      </c>
      <c r="AY309" s="114" t="str">
        <f>_xlfn.IFNA(VLOOKUP($AI309,Programma!$F$3:$V$1101,17,0),"")</f>
        <v>_</v>
      </c>
      <c r="AZ309" s="114" t="str">
        <f>_xlfn.IFNA(VLOOKUP($AI309,Programma!$F$3:$W$1101,18,0),"")</f>
        <v>_</v>
      </c>
      <c r="BA309" s="114" t="str">
        <f>_xlfn.IFNA(VLOOKUP($AI309,Programma!$F$3:$X$1101,19,0),"")</f>
        <v>_</v>
      </c>
      <c r="BB309" s="114" t="str">
        <f>_xlfn.IFNA(VLOOKUP($AI309,Programma!$F$3:$Y$1101,20,0),"")</f>
        <v>_</v>
      </c>
      <c r="BC309" s="111"/>
      <c r="BD309" s="110" t="str">
        <f>IF(Ruimtestaat[[#This Row],[Frequentie weekend]]="","",_xlfn.CONCAT(Ruimtestaat[[#This Row],[Ruimte code]],"-",Ruimtestaat[[#This Row],[Frequentie weekend]]," ",Ruimtestaat[[#This Row],[Vloer code]]))</f>
        <v/>
      </c>
      <c r="BE309" s="114" t="str">
        <f>_xlfn.IFNA(VLOOKUP($BD309,Programma!$F$3:$G$1101,2,0),"")</f>
        <v/>
      </c>
      <c r="BF309" s="114" t="str">
        <f>_xlfn.IFNA(VLOOKUP($BD309,Programma!$F$3:$H$1101,3,0),"")</f>
        <v/>
      </c>
      <c r="BG309" s="114" t="str">
        <f>_xlfn.IFNA(VLOOKUP($BD309,Programma!$F$3:$I$1101,4,0),"")</f>
        <v/>
      </c>
      <c r="BH309" s="114" t="str">
        <f>_xlfn.IFNA(VLOOKUP($BD309,Programma!$F$3:$J$1101,5,0),"")</f>
        <v/>
      </c>
      <c r="BI309" s="114" t="str">
        <f>_xlfn.IFNA(VLOOKUP($BD309,Programma!$F$3:$K$1101,6,0),"")</f>
        <v/>
      </c>
      <c r="BJ309" s="114" t="str">
        <f>_xlfn.IFNA(VLOOKUP($BD309,Programma!$F$3:$L$1101,7,0),"")</f>
        <v/>
      </c>
      <c r="BK309" s="114" t="str">
        <f>_xlfn.IFNA(VLOOKUP($BD309,Programma!$F$3:$M$1101,8,0),"")</f>
        <v/>
      </c>
      <c r="BL309" s="114" t="str">
        <f>_xlfn.IFNA(VLOOKUP($BD309,Programma!$F$3:$N$1101,9,0),"")</f>
        <v/>
      </c>
      <c r="BM309" s="114" t="str">
        <f>_xlfn.IFNA(VLOOKUP($BD309,Programma!$F$3:$O$1101,10,0),"")</f>
        <v/>
      </c>
      <c r="BN309" s="114" t="str">
        <f>_xlfn.IFNA(VLOOKUP($BD309,Programma!$F$3:$P$1101,11,0),"")</f>
        <v/>
      </c>
      <c r="BO309" s="114" t="str">
        <f>_xlfn.IFNA(VLOOKUP($BD309,Programma!$F$3:$Q$1101,12,0),"")</f>
        <v/>
      </c>
      <c r="BP309" s="114" t="str">
        <f>_xlfn.IFNA(VLOOKUP($BD309,Programma!$F$3:$R$1101,13,0),"")</f>
        <v/>
      </c>
      <c r="BQ309" s="114" t="str">
        <f>_xlfn.IFNA(VLOOKUP($BD309,Programma!$F$3:$S$1101,14,0),"")</f>
        <v/>
      </c>
      <c r="BR309" s="114" t="str">
        <f>_xlfn.IFNA(VLOOKUP($BD309,Programma!$F$3:$T$1101,15,0),"")</f>
        <v/>
      </c>
      <c r="BS309" s="114" t="str">
        <f>_xlfn.IFNA(VLOOKUP($BD309,Programma!$F$3:$U$1101,16,0),"")</f>
        <v/>
      </c>
      <c r="BT309" s="114" t="str">
        <f>_xlfn.IFNA(VLOOKUP($BD309,Programma!$F$3:$V$1101,17,0),"")</f>
        <v/>
      </c>
      <c r="BU309" s="114" t="str">
        <f>_xlfn.IFNA(VLOOKUP($BD309,Programma!$F$3:$W$1101,18,0),"")</f>
        <v/>
      </c>
      <c r="BV309" s="114" t="str">
        <f>_xlfn.IFNA(VLOOKUP($BD309,Programma!$F$3:$X$1101,19,0),"")</f>
        <v/>
      </c>
      <c r="BW309" s="114" t="str">
        <f>_xlfn.IFNA(VLOOKUP($BD309,Programma!$F$3:$Y$1101,20,0),"")</f>
        <v/>
      </c>
      <c r="BX309" s="28"/>
      <c r="BY309" s="28"/>
      <c r="BZ309" s="28"/>
      <c r="CA309" s="28"/>
      <c r="CB309" s="28"/>
      <c r="CC309" s="28"/>
      <c r="CD309" s="28"/>
      <c r="CE309" s="28"/>
      <c r="CF309" s="28"/>
      <c r="CG309" s="28"/>
      <c r="CH309" s="28"/>
      <c r="CI309" s="28"/>
      <c r="CJ309" s="28"/>
      <c r="CK309" s="28"/>
      <c r="CL309" s="28"/>
      <c r="CM309" s="28"/>
      <c r="CN309" s="28"/>
      <c r="CO309" s="28"/>
      <c r="CP309" s="28"/>
      <c r="CQ309" s="28"/>
      <c r="CR309" s="28"/>
      <c r="CS309" s="28"/>
      <c r="CT309" s="28"/>
      <c r="CU309" s="28"/>
      <c r="CV309" s="28"/>
      <c r="CW309" s="28"/>
      <c r="CX309" s="28"/>
      <c r="CY309" s="28"/>
      <c r="CZ309" s="28"/>
      <c r="DA309" s="28"/>
      <c r="DB309" s="28"/>
      <c r="DC309" s="28"/>
      <c r="DD309" s="28"/>
      <c r="DE309" s="28"/>
      <c r="DF309" s="28"/>
      <c r="DG309" s="28"/>
      <c r="DH309" s="28"/>
      <c r="DI309" s="28"/>
      <c r="DJ309" s="28"/>
      <c r="DK309" s="28"/>
      <c r="DL309" s="28"/>
      <c r="DM309" s="28"/>
      <c r="DN309" s="28"/>
      <c r="DO309" s="28"/>
      <c r="DP309" s="28"/>
      <c r="DQ309" s="28"/>
      <c r="DR309" s="28"/>
      <c r="DS309" s="28"/>
      <c r="DT309" s="28"/>
      <c r="DU309" s="28"/>
      <c r="DV309" s="28"/>
      <c r="DW309" s="28"/>
      <c r="DX309" s="28"/>
      <c r="DY309" s="28"/>
      <c r="DZ309" s="28"/>
      <c r="EA309" s="28"/>
      <c r="EB309" s="28"/>
      <c r="EC309" s="28"/>
      <c r="ED309" s="28"/>
      <c r="EE309" s="28"/>
      <c r="EF309" s="28"/>
      <c r="EG309" s="28"/>
      <c r="EH309" s="28"/>
      <c r="EI309" s="28"/>
      <c r="EJ309" s="28"/>
      <c r="EK309" s="28"/>
      <c r="EL309" s="28"/>
      <c r="EM309" s="28"/>
      <c r="EN309" s="28"/>
      <c r="EO309" s="28"/>
      <c r="EP309" s="28"/>
      <c r="EQ309" s="28"/>
      <c r="ER309" s="28"/>
      <c r="ES309" s="28"/>
      <c r="ET309" s="28"/>
      <c r="EU309" s="28"/>
      <c r="EV309" s="28"/>
      <c r="EW309" s="28"/>
      <c r="EX309" s="28"/>
      <c r="EY309" s="28"/>
      <c r="EZ309" s="28"/>
      <c r="FA309" s="28"/>
      <c r="FB309" s="28"/>
      <c r="FC309" s="28"/>
      <c r="FD309" s="28"/>
      <c r="FE309" s="28"/>
      <c r="FF309" s="28"/>
      <c r="FG309" s="28"/>
      <c r="FH309" s="28"/>
      <c r="FI309" s="28"/>
      <c r="FJ309" s="28"/>
      <c r="FK309" s="28"/>
      <c r="FL309" s="28"/>
      <c r="FM309" s="28"/>
      <c r="FN309" s="28"/>
      <c r="FO309" s="28"/>
      <c r="FP309" s="28"/>
      <c r="FQ309" s="28"/>
      <c r="FR309" s="28"/>
      <c r="FS309" s="28"/>
      <c r="FT309" s="28"/>
      <c r="FU309" s="28"/>
      <c r="FV309" s="28"/>
      <c r="FW309" s="28"/>
      <c r="FX309" s="28"/>
      <c r="FY309" s="28"/>
      <c r="FZ309" s="28"/>
      <c r="GA309" s="28"/>
      <c r="GB309" s="28"/>
      <c r="GC309" s="28"/>
      <c r="GD309" s="28"/>
      <c r="GE309" s="28"/>
      <c r="GF309" s="28"/>
      <c r="GG309" s="28"/>
      <c r="GH309" s="28"/>
      <c r="GI309" s="28"/>
      <c r="GJ309" s="28"/>
      <c r="GK309" s="28"/>
      <c r="GL309" s="28"/>
      <c r="GM309" s="28"/>
      <c r="GN309" s="28"/>
      <c r="GO309" s="28"/>
      <c r="GP309" s="28"/>
      <c r="GQ309" s="28"/>
      <c r="GR309" s="28"/>
      <c r="GS309" s="28"/>
      <c r="GT309" s="28"/>
      <c r="GU309" s="28"/>
      <c r="GV309" s="28"/>
      <c r="GW309" s="28"/>
      <c r="GX309" s="28"/>
      <c r="GY309" s="28"/>
      <c r="GZ309" s="28"/>
      <c r="HA309" s="28"/>
      <c r="HB309" s="28"/>
      <c r="HC309" s="28"/>
      <c r="HD309" s="28"/>
      <c r="HE309" s="28"/>
      <c r="HF309" s="28"/>
      <c r="HG309" s="28"/>
      <c r="HH309" s="28"/>
      <c r="HI309" s="28"/>
      <c r="HJ309" s="28"/>
      <c r="HK309" s="28"/>
      <c r="HL309" s="28"/>
    </row>
    <row r="310" spans="1:220" ht="15" customHeight="1">
      <c r="A310" s="31">
        <v>6</v>
      </c>
      <c r="B310" s="105" t="str">
        <f>VLOOKUP(Ruimtestaat[[#This Row],[Code]],Locaties[[Code]:[Locatie]],2,FALSE)</f>
        <v>IKC Joannes</v>
      </c>
      <c r="C310" s="105" t="str">
        <f>VLOOKUP(Ruimtestaat[[#This Row],[Code]],Locaties[[#All],[Code]:[Adres]],4,FALSE)</f>
        <v>Kerkakkers 4</v>
      </c>
      <c r="D310" s="105" t="str">
        <f>VLOOKUP(Ruimtestaat[[#This Row],[Code]],Locaties[[#All],[Code]:[Postcode]],5,FALSE)</f>
        <v>6923 BZ</v>
      </c>
      <c r="E310" s="105" t="str">
        <f>VLOOKUP(Ruimtestaat[[#This Row],[Code]],Locaties[#All],6,FALSE)</f>
        <v>Groessen</v>
      </c>
      <c r="F310" s="113"/>
      <c r="G310" s="31" t="s">
        <v>1645</v>
      </c>
      <c r="H310" s="31" t="s">
        <v>1684</v>
      </c>
      <c r="I310" s="113" t="s">
        <v>121</v>
      </c>
      <c r="J310" s="31">
        <v>15</v>
      </c>
      <c r="K310" s="113" t="str">
        <f>VLOOKUP(Ruimtestaat[[#This Row],[Ruimte code]],Ruimtegroepen[[#All],[Code]:[Ruimte omschrijving]],2,FALSE)</f>
        <v>Keuken/pantry</v>
      </c>
      <c r="L310" s="31" t="s">
        <v>100</v>
      </c>
      <c r="M310" s="31" t="s">
        <v>1975</v>
      </c>
      <c r="N310" s="106">
        <v>10.8</v>
      </c>
      <c r="O310" s="112"/>
      <c r="P310" s="112"/>
      <c r="Q310" s="107" t="str">
        <f>VLOOKUP(Ruimtestaat[[#This Row],[Ruimte code]],Ruimtegroepen[],4,FALSE)</f>
        <v>Ve</v>
      </c>
      <c r="R310" s="73">
        <v>40</v>
      </c>
      <c r="S310" s="73" t="s">
        <v>2</v>
      </c>
      <c r="T310" s="73">
        <f>IF(R310&gt;0,IF(RIGHT(Ruimtestaat[[#This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0" s="73">
        <f>IF(T310&gt;0,VLOOKUP($J310,Ruimtegroepen[],3,FALSE)*VLOOKUP($L310,Vloersoorten[],3,FALSE)*VLOOKUP($S310,Frequenties[],3,FALSE)*VLOOKUP($A310,Locaties[],3,FALSE),0)</f>
        <v>0</v>
      </c>
      <c r="V310" s="73">
        <f>Ruimtestaat[[#This Row],[Uitvoeringen werkdagen]]*Ruimtestaat[[#This Row],[Oppervlak (netto)]]</f>
        <v>2160</v>
      </c>
      <c r="W310" s="108">
        <f>IF(U310&gt;0,Ruimtestaat[[#This Row],[Prest. (m2 /jaar) werkdagen]]/Ruimtestaat[[#This Row],[Norm (m2/uur) werkdagen]],0)</f>
        <v>0</v>
      </c>
      <c r="X310" s="109">
        <f>Ruimtestaat[[#This Row],[uren / jaar werkdagen]]*Tariefsopbouw!$E$35</f>
        <v>0</v>
      </c>
      <c r="Y310" s="73"/>
      <c r="Z310" s="73">
        <f>IF(Ruimtestaat[[#This Row],[Frequentie weekend]]&gt;0,VALUE(LEFT(Y310,1))*R310,0)</f>
        <v>0</v>
      </c>
      <c r="AA310" s="72">
        <f>IF($Z310&gt;0,VLOOKUP($J310,Ruimtegroepen[],3,FALSE)*VLOOKUP($L310,Vloersoorten[],3,FALSE)*VLOOKUP($Y310,Frequenties[],3,FALSE)*VLOOKUP(Ruimtestaat[[#This Row],[Code]],Locaties[],3,FALSE),0)</f>
        <v>0</v>
      </c>
      <c r="AB310" s="72">
        <f>Ruimtestaat[[#This Row],[Uitvoeringen weekend]]*Ruimtestaat[[#This Row],[Oppervlak (netto)]]</f>
        <v>0</v>
      </c>
      <c r="AC310" s="72">
        <f>IF(AA310&gt;0,Ruimtestaat[[#This Row],[Prest. (m2 /jaar) weekend]]/Ruimtestaat[[#This Row],[Norm (m2/uur) weekend]],0)</f>
        <v>0</v>
      </c>
      <c r="AD310" s="109">
        <f>Ruimtestaat[[#This Row],[uren / jaar weekend]]*Tariefsopbouw!$D$40</f>
        <v>0</v>
      </c>
      <c r="AE310" s="108">
        <f>Ruimtestaat[[#This Row],[Prest. (m2 /jaar) weekend]]+Ruimtestaat[[#This Row],[Prest. (m2 /jaar) werkdagen]]</f>
        <v>2160</v>
      </c>
      <c r="AF310" s="108">
        <f>Ruimtestaat[[#This Row],[uren / jaar weekend]]+Ruimtestaat[[#This Row],[uren / jaar werkdagen]]</f>
        <v>0</v>
      </c>
      <c r="AG310" s="103">
        <f>Ruimtestaat[[#This Row],[kosten / jaar weekend]]+Ruimtestaat[[#This Row],[kosten / jaar werkdagen]]</f>
        <v>0</v>
      </c>
      <c r="AH310" s="103"/>
      <c r="AI310" s="110" t="str">
        <f>IF(Ruimtestaat[[#This Row],[Frequentie werkdagen]]="","",_xlfn.CONCAT(Ruimtestaat[[#This Row],[Ruimte code]],"-",Ruimtestaat[[#This Row],[Frequentie werkdagen]]," ",Ruimtestaat[[#This Row],[Vloer code]]))</f>
        <v>15-5w L</v>
      </c>
      <c r="AJ310" s="114" t="str">
        <f>_xlfn.IFNA(VLOOKUP($AI310,Programma!$F$3:$G$1101,2,0),"")</f>
        <v>_</v>
      </c>
      <c r="AK310" s="114" t="str">
        <f>_xlfn.IFNA(VLOOKUP($AI310,Programma!$F$3:$H$1101,3,0),"")</f>
        <v>_</v>
      </c>
      <c r="AL310" s="114" t="str">
        <f>_xlfn.IFNA(VLOOKUP($AI310,Programma!$F$3:$I$1101,4,0),"")</f>
        <v>_</v>
      </c>
      <c r="AM310" s="114" t="str">
        <f>_xlfn.IFNA(VLOOKUP($AI310,Programma!$F$3:$J$1101,5,0),"")</f>
        <v>5w</v>
      </c>
      <c r="AN310" s="114" t="str">
        <f>_xlfn.IFNA(VLOOKUP($AI310,Programma!$F$3:$K$1101,6,0),"")</f>
        <v>_</v>
      </c>
      <c r="AO310" s="114" t="str">
        <f>_xlfn.IFNA(VLOOKUP($AI310,Programma!$F$3:$L$1101,7,0),"")</f>
        <v>_</v>
      </c>
      <c r="AP310" s="114" t="str">
        <f>_xlfn.IFNA(VLOOKUP($AI310,Programma!$F$3:$M$1101,8,0),"")</f>
        <v>_</v>
      </c>
      <c r="AQ310" s="114" t="str">
        <f>_xlfn.IFNA(VLOOKUP($AI310,Programma!$F$3:$N$1101,9,0),"")</f>
        <v>_</v>
      </c>
      <c r="AR310" s="114" t="str">
        <f>_xlfn.IFNA(VLOOKUP($AI310,Programma!$F$3:$O$1101,10,0),"")</f>
        <v>5w</v>
      </c>
      <c r="AS310" s="114" t="str">
        <f>_xlfn.IFNA(VLOOKUP($AI310,Programma!$F$3:$P$1101,11,0),"")</f>
        <v>5w</v>
      </c>
      <c r="AT310" s="114" t="str">
        <f>_xlfn.IFNA(VLOOKUP($AI310,Programma!$F$3:$Q$1101,12,0),"")</f>
        <v>1w</v>
      </c>
      <c r="AU310" s="114" t="str">
        <f>_xlfn.IFNA(VLOOKUP($AI310,Programma!$F$3:$R$1101,13,0),"")</f>
        <v>1w</v>
      </c>
      <c r="AV310" s="114" t="str">
        <f>_xlfn.IFNA(VLOOKUP($AI310,Programma!$F$3:$S$1101,14,0),"")</f>
        <v>1m</v>
      </c>
      <c r="AW310" s="114" t="str">
        <f>_xlfn.IFNA(VLOOKUP($AI310,Programma!$F$3:$T$1101,15,0),"")</f>
        <v>2j</v>
      </c>
      <c r="AX310" s="114" t="str">
        <f>_xlfn.IFNA(VLOOKUP($AI310,Programma!$F$3:$U$1101,16,0),"")</f>
        <v>1j</v>
      </c>
      <c r="AY310" s="114" t="str">
        <f>_xlfn.IFNA(VLOOKUP($AI310,Programma!$F$3:$V$1101,17,0),"")</f>
        <v>_</v>
      </c>
      <c r="AZ310" s="114" t="str">
        <f>_xlfn.IFNA(VLOOKUP($AI310,Programma!$F$3:$W$1101,18,0),"")</f>
        <v>_</v>
      </c>
      <c r="BA310" s="114" t="str">
        <f>_xlfn.IFNA(VLOOKUP($AI310,Programma!$F$3:$X$1101,19,0),"")</f>
        <v>_</v>
      </c>
      <c r="BB310" s="114" t="str">
        <f>_xlfn.IFNA(VLOOKUP($AI310,Programma!$F$3:$Y$1101,20,0),"")</f>
        <v>_</v>
      </c>
      <c r="BC310" s="111"/>
      <c r="BD310" s="110" t="str">
        <f>IF(Ruimtestaat[[#This Row],[Frequentie weekend]]="","",_xlfn.CONCAT(Ruimtestaat[[#This Row],[Ruimte code]],"-",Ruimtestaat[[#This Row],[Frequentie weekend]]," ",Ruimtestaat[[#This Row],[Vloer code]]))</f>
        <v/>
      </c>
      <c r="BE310" s="114" t="str">
        <f>_xlfn.IFNA(VLOOKUP($BD310,Programma!$F$3:$G$1101,2,0),"")</f>
        <v/>
      </c>
      <c r="BF310" s="114" t="str">
        <f>_xlfn.IFNA(VLOOKUP($BD310,Programma!$F$3:$H$1101,3,0),"")</f>
        <v/>
      </c>
      <c r="BG310" s="114" t="str">
        <f>_xlfn.IFNA(VLOOKUP($BD310,Programma!$F$3:$I$1101,4,0),"")</f>
        <v/>
      </c>
      <c r="BH310" s="114" t="str">
        <f>_xlfn.IFNA(VLOOKUP($BD310,Programma!$F$3:$J$1101,5,0),"")</f>
        <v/>
      </c>
      <c r="BI310" s="114" t="str">
        <f>_xlfn.IFNA(VLOOKUP($BD310,Programma!$F$3:$K$1101,6,0),"")</f>
        <v/>
      </c>
      <c r="BJ310" s="114" t="str">
        <f>_xlfn.IFNA(VLOOKUP($BD310,Programma!$F$3:$L$1101,7,0),"")</f>
        <v/>
      </c>
      <c r="BK310" s="114" t="str">
        <f>_xlfn.IFNA(VLOOKUP($BD310,Programma!$F$3:$M$1101,8,0),"")</f>
        <v/>
      </c>
      <c r="BL310" s="114" t="str">
        <f>_xlfn.IFNA(VLOOKUP($BD310,Programma!$F$3:$N$1101,9,0),"")</f>
        <v/>
      </c>
      <c r="BM310" s="114" t="str">
        <f>_xlfn.IFNA(VLOOKUP($BD310,Programma!$F$3:$O$1101,10,0),"")</f>
        <v/>
      </c>
      <c r="BN310" s="114" t="str">
        <f>_xlfn.IFNA(VLOOKUP($BD310,Programma!$F$3:$P$1101,11,0),"")</f>
        <v/>
      </c>
      <c r="BO310" s="114" t="str">
        <f>_xlfn.IFNA(VLOOKUP($BD310,Programma!$F$3:$Q$1101,12,0),"")</f>
        <v/>
      </c>
      <c r="BP310" s="114" t="str">
        <f>_xlfn.IFNA(VLOOKUP($BD310,Programma!$F$3:$R$1101,13,0),"")</f>
        <v/>
      </c>
      <c r="BQ310" s="114" t="str">
        <f>_xlfn.IFNA(VLOOKUP($BD310,Programma!$F$3:$S$1101,14,0),"")</f>
        <v/>
      </c>
      <c r="BR310" s="114" t="str">
        <f>_xlfn.IFNA(VLOOKUP($BD310,Programma!$F$3:$T$1101,15,0),"")</f>
        <v/>
      </c>
      <c r="BS310" s="114" t="str">
        <f>_xlfn.IFNA(VLOOKUP($BD310,Programma!$F$3:$U$1101,16,0),"")</f>
        <v/>
      </c>
      <c r="BT310" s="114" t="str">
        <f>_xlfn.IFNA(VLOOKUP($BD310,Programma!$F$3:$V$1101,17,0),"")</f>
        <v/>
      </c>
      <c r="BU310" s="114" t="str">
        <f>_xlfn.IFNA(VLOOKUP($BD310,Programma!$F$3:$W$1101,18,0),"")</f>
        <v/>
      </c>
      <c r="BV310" s="114" t="str">
        <f>_xlfn.IFNA(VLOOKUP($BD310,Programma!$F$3:$X$1101,19,0),"")</f>
        <v/>
      </c>
      <c r="BW310" s="114" t="str">
        <f>_xlfn.IFNA(VLOOKUP($BD310,Programma!$F$3:$Y$1101,20,0),"")</f>
        <v/>
      </c>
      <c r="BX310" s="28"/>
      <c r="BY310" s="28"/>
      <c r="BZ310" s="28"/>
      <c r="CA310" s="28"/>
      <c r="CB310" s="28"/>
      <c r="CC310" s="28"/>
      <c r="CD310" s="28"/>
      <c r="CE310" s="28"/>
      <c r="CF310" s="28"/>
      <c r="CG310" s="28"/>
      <c r="CH310" s="28"/>
      <c r="CI310" s="28"/>
      <c r="CJ310" s="28"/>
      <c r="CK310" s="28"/>
      <c r="CL310" s="28"/>
      <c r="CM310" s="28"/>
      <c r="CN310" s="28"/>
      <c r="CO310" s="28"/>
      <c r="CP310" s="28"/>
      <c r="CQ310" s="28"/>
      <c r="CR310" s="28"/>
      <c r="CS310" s="28"/>
      <c r="CT310" s="28"/>
      <c r="CU310" s="28"/>
      <c r="CV310" s="28"/>
      <c r="CW310" s="28"/>
      <c r="CX310" s="28"/>
      <c r="CY310" s="28"/>
      <c r="CZ310" s="28"/>
      <c r="DA310" s="28"/>
      <c r="DB310" s="28"/>
      <c r="DC310" s="28"/>
      <c r="DD310" s="28"/>
      <c r="DE310" s="28"/>
      <c r="DF310" s="28"/>
      <c r="DG310" s="28"/>
      <c r="DH310" s="28"/>
      <c r="DI310" s="28"/>
      <c r="DJ310" s="28"/>
      <c r="DK310" s="28"/>
      <c r="DL310" s="28"/>
      <c r="DM310" s="28"/>
      <c r="DN310" s="28"/>
      <c r="DO310" s="28"/>
      <c r="DP310" s="28"/>
      <c r="DQ310" s="28"/>
      <c r="DR310" s="28"/>
      <c r="DS310" s="28"/>
      <c r="DT310" s="28"/>
      <c r="DU310" s="28"/>
      <c r="DV310" s="28"/>
      <c r="DW310" s="28"/>
      <c r="DX310" s="28"/>
      <c r="DY310" s="28"/>
      <c r="DZ310" s="28"/>
      <c r="EA310" s="28"/>
      <c r="EB310" s="28"/>
      <c r="EC310" s="28"/>
      <c r="ED310" s="28"/>
      <c r="EE310" s="28"/>
      <c r="EF310" s="28"/>
      <c r="EG310" s="28"/>
      <c r="EH310" s="28"/>
      <c r="EI310" s="28"/>
      <c r="EJ310" s="28"/>
      <c r="EK310" s="28"/>
      <c r="EL310" s="28"/>
      <c r="EM310" s="28"/>
      <c r="EN310" s="28"/>
      <c r="EO310" s="28"/>
      <c r="EP310" s="28"/>
      <c r="EQ310" s="28"/>
      <c r="ER310" s="28"/>
      <c r="ES310" s="28"/>
      <c r="ET310" s="28"/>
      <c r="EU310" s="28"/>
      <c r="EV310" s="28"/>
      <c r="EW310" s="28"/>
      <c r="EX310" s="28"/>
      <c r="EY310" s="28"/>
      <c r="EZ310" s="28"/>
      <c r="FA310" s="28"/>
      <c r="FB310" s="28"/>
      <c r="FC310" s="28"/>
      <c r="FD310" s="28"/>
      <c r="FE310" s="28"/>
      <c r="FF310" s="28"/>
      <c r="FG310" s="28"/>
      <c r="FH310" s="28"/>
      <c r="FI310" s="28"/>
      <c r="FJ310" s="28"/>
      <c r="FK310" s="28"/>
      <c r="FL310" s="28"/>
      <c r="FM310" s="28"/>
      <c r="FN310" s="28"/>
      <c r="FO310" s="28"/>
      <c r="FP310" s="28"/>
      <c r="FQ310" s="28"/>
      <c r="FR310" s="28"/>
      <c r="FS310" s="28"/>
      <c r="FT310" s="28"/>
      <c r="FU310" s="28"/>
      <c r="FV310" s="28"/>
      <c r="FW310" s="28"/>
      <c r="FX310" s="28"/>
      <c r="FY310" s="28"/>
      <c r="FZ310" s="28"/>
      <c r="GA310" s="28"/>
      <c r="GB310" s="28"/>
      <c r="GC310" s="28"/>
      <c r="GD310" s="28"/>
      <c r="GE310" s="28"/>
      <c r="GF310" s="28"/>
      <c r="GG310" s="28"/>
      <c r="GH310" s="28"/>
      <c r="GI310" s="28"/>
      <c r="GJ310" s="28"/>
      <c r="GK310" s="28"/>
      <c r="GL310" s="28"/>
      <c r="GM310" s="28"/>
      <c r="GN310" s="28"/>
      <c r="GO310" s="28"/>
      <c r="GP310" s="28"/>
      <c r="GQ310" s="28"/>
      <c r="GR310" s="28"/>
      <c r="GS310" s="28"/>
      <c r="GT310" s="28"/>
      <c r="GU310" s="28"/>
      <c r="GV310" s="28"/>
      <c r="GW310" s="28"/>
      <c r="GX310" s="28"/>
      <c r="GY310" s="28"/>
      <c r="GZ310" s="28"/>
      <c r="HA310" s="28"/>
      <c r="HB310" s="28"/>
      <c r="HC310" s="28"/>
      <c r="HD310" s="28"/>
      <c r="HE310" s="28"/>
      <c r="HF310" s="28"/>
      <c r="HG310" s="28"/>
      <c r="HH310" s="28"/>
      <c r="HI310" s="28"/>
      <c r="HJ310" s="28"/>
      <c r="HK310" s="28"/>
      <c r="HL310" s="28"/>
    </row>
    <row r="311" spans="1:220" ht="15" customHeight="1">
      <c r="A311" s="31">
        <v>6</v>
      </c>
      <c r="B311" s="105" t="str">
        <f>VLOOKUP(Ruimtestaat[[#This Row],[Code]],Locaties[[Code]:[Locatie]],2,FALSE)</f>
        <v>IKC Joannes</v>
      </c>
      <c r="C311" s="105" t="str">
        <f>VLOOKUP(Ruimtestaat[[#This Row],[Code]],Locaties[[#All],[Code]:[Adres]],4,FALSE)</f>
        <v>Kerkakkers 4</v>
      </c>
      <c r="D311" s="105" t="str">
        <f>VLOOKUP(Ruimtestaat[[#This Row],[Code]],Locaties[[#All],[Code]:[Postcode]],5,FALSE)</f>
        <v>6923 BZ</v>
      </c>
      <c r="E311" s="105" t="str">
        <f>VLOOKUP(Ruimtestaat[[#This Row],[Code]],Locaties[#All],6,FALSE)</f>
        <v>Groessen</v>
      </c>
      <c r="F311" s="113"/>
      <c r="G311" s="31" t="s">
        <v>1645</v>
      </c>
      <c r="H311" s="31" t="s">
        <v>1685</v>
      </c>
      <c r="I311" s="113" t="s">
        <v>1648</v>
      </c>
      <c r="J311" s="31">
        <v>13</v>
      </c>
      <c r="K311" s="113" t="str">
        <f>VLOOKUP(Ruimtestaat[[#This Row],[Ruimte code]],Ruimtegroepen[[#All],[Code]:[Ruimte omschrijving]],2,FALSE)</f>
        <v>Personeelskamer</v>
      </c>
      <c r="L311" s="31" t="s">
        <v>100</v>
      </c>
      <c r="M311" s="31" t="s">
        <v>1975</v>
      </c>
      <c r="N311" s="106">
        <v>39.6</v>
      </c>
      <c r="O311" s="112"/>
      <c r="P311" s="112"/>
      <c r="Q311" s="107" t="str">
        <f>VLOOKUP(Ruimtestaat[[#This Row],[Ruimte code]],Ruimtegroepen[],4,FALSE)</f>
        <v>Ve</v>
      </c>
      <c r="R311" s="73">
        <v>40</v>
      </c>
      <c r="S311" s="73" t="s">
        <v>18</v>
      </c>
      <c r="T311" s="73">
        <f>IF(R311&gt;0,IF(RIGHT(Ruimtestaat[[#This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11" s="73">
        <f>IF(T311&gt;0,VLOOKUP($J311,Ruimtegroepen[],3,FALSE)*VLOOKUP($L311,Vloersoorten[],3,FALSE)*VLOOKUP($S311,Frequenties[],3,FALSE)*VLOOKUP($A311,Locaties[],3,FALSE),0)</f>
        <v>0</v>
      </c>
      <c r="V311" s="73">
        <f>Ruimtestaat[[#This Row],[Uitvoeringen werkdagen]]*Ruimtestaat[[#This Row],[Oppervlak (netto)]]</f>
        <v>4752</v>
      </c>
      <c r="W311" s="108">
        <f>IF(U311&gt;0,Ruimtestaat[[#This Row],[Prest. (m2 /jaar) werkdagen]]/Ruimtestaat[[#This Row],[Norm (m2/uur) werkdagen]],0)</f>
        <v>0</v>
      </c>
      <c r="X311" s="109">
        <f>Ruimtestaat[[#This Row],[uren / jaar werkdagen]]*Tariefsopbouw!$E$35</f>
        <v>0</v>
      </c>
      <c r="Y311" s="73"/>
      <c r="Z311" s="73">
        <f>IF(Ruimtestaat[[#This Row],[Frequentie weekend]]&gt;0,VALUE(LEFT(Y311,1))*R311,0)</f>
        <v>0</v>
      </c>
      <c r="AA311" s="72">
        <f>IF($Z311&gt;0,VLOOKUP($J311,Ruimtegroepen[],3,FALSE)*VLOOKUP($L311,Vloersoorten[],3,FALSE)*VLOOKUP($Y311,Frequenties[],3,FALSE)*VLOOKUP(Ruimtestaat[[#This Row],[Code]],Locaties[],3,FALSE),0)</f>
        <v>0</v>
      </c>
      <c r="AB311" s="72">
        <f>Ruimtestaat[[#This Row],[Uitvoeringen weekend]]*Ruimtestaat[[#This Row],[Oppervlak (netto)]]</f>
        <v>0</v>
      </c>
      <c r="AC311" s="72">
        <f>IF(AA311&gt;0,Ruimtestaat[[#This Row],[Prest. (m2 /jaar) weekend]]/Ruimtestaat[[#This Row],[Norm (m2/uur) weekend]],0)</f>
        <v>0</v>
      </c>
      <c r="AD311" s="109">
        <f>Ruimtestaat[[#This Row],[uren / jaar weekend]]*Tariefsopbouw!$D$40</f>
        <v>0</v>
      </c>
      <c r="AE311" s="108">
        <f>Ruimtestaat[[#This Row],[Prest. (m2 /jaar) weekend]]+Ruimtestaat[[#This Row],[Prest. (m2 /jaar) werkdagen]]</f>
        <v>4752</v>
      </c>
      <c r="AF311" s="108">
        <f>Ruimtestaat[[#This Row],[uren / jaar weekend]]+Ruimtestaat[[#This Row],[uren / jaar werkdagen]]</f>
        <v>0</v>
      </c>
      <c r="AG311" s="103">
        <f>Ruimtestaat[[#This Row],[kosten / jaar weekend]]+Ruimtestaat[[#This Row],[kosten / jaar werkdagen]]</f>
        <v>0</v>
      </c>
      <c r="AH311" s="103"/>
      <c r="AI311" s="110" t="str">
        <f>IF(Ruimtestaat[[#This Row],[Frequentie werkdagen]]="","",_xlfn.CONCAT(Ruimtestaat[[#This Row],[Ruimte code]],"-",Ruimtestaat[[#This Row],[Frequentie werkdagen]]," ",Ruimtestaat[[#This Row],[Vloer code]]))</f>
        <v>13-3w L</v>
      </c>
      <c r="AJ311" s="114" t="str">
        <f>_xlfn.IFNA(VLOOKUP($AI311,Programma!$F$3:$G$1101,2,0),"")</f>
        <v>_</v>
      </c>
      <c r="AK311" s="114" t="str">
        <f>_xlfn.IFNA(VLOOKUP($AI311,Programma!$F$3:$H$1101,3,0),"")</f>
        <v>_</v>
      </c>
      <c r="AL311" s="114" t="str">
        <f>_xlfn.IFNA(VLOOKUP($AI311,Programma!$F$3:$I$1101,4,0),"")</f>
        <v>2w</v>
      </c>
      <c r="AM311" s="114" t="str">
        <f>_xlfn.IFNA(VLOOKUP($AI311,Programma!$F$3:$J$1101,5,0),"")</f>
        <v>1w</v>
      </c>
      <c r="AN311" s="114" t="str">
        <f>_xlfn.IFNA(VLOOKUP($AI311,Programma!$F$3:$K$1101,6,0),"")</f>
        <v>_</v>
      </c>
      <c r="AO311" s="114" t="str">
        <f>_xlfn.IFNA(VLOOKUP($AI311,Programma!$F$3:$L$1101,7,0),"")</f>
        <v>_</v>
      </c>
      <c r="AP311" s="114" t="str">
        <f>_xlfn.IFNA(VLOOKUP($AI311,Programma!$F$3:$M$1101,8,0),"")</f>
        <v>_</v>
      </c>
      <c r="AQ311" s="114" t="str">
        <f>_xlfn.IFNA(VLOOKUP($AI311,Programma!$F$3:$N$1101,9,0),"")</f>
        <v>_</v>
      </c>
      <c r="AR311" s="114" t="str">
        <f>_xlfn.IFNA(VLOOKUP($AI311,Programma!$F$3:$O$1101,10,0),"")</f>
        <v>3w</v>
      </c>
      <c r="AS311" s="114" t="str">
        <f>_xlfn.IFNA(VLOOKUP($AI311,Programma!$F$3:$P$1101,11,0),"")</f>
        <v>3w</v>
      </c>
      <c r="AT311" s="114" t="str">
        <f>_xlfn.IFNA(VLOOKUP($AI311,Programma!$F$3:$Q$1101,12,0),"")</f>
        <v>1w</v>
      </c>
      <c r="AU311" s="114" t="str">
        <f>_xlfn.IFNA(VLOOKUP($AI311,Programma!$F$3:$R$1101,13,0),"")</f>
        <v>1w</v>
      </c>
      <c r="AV311" s="114" t="str">
        <f>_xlfn.IFNA(VLOOKUP($AI311,Programma!$F$3:$S$1101,14,0),"")</f>
        <v>1m</v>
      </c>
      <c r="AW311" s="114" t="str">
        <f>_xlfn.IFNA(VLOOKUP($AI311,Programma!$F$3:$T$1101,15,0),"")</f>
        <v>2j</v>
      </c>
      <c r="AX311" s="114" t="str">
        <f>_xlfn.IFNA(VLOOKUP($AI311,Programma!$F$3:$U$1101,16,0),"")</f>
        <v>1j</v>
      </c>
      <c r="AY311" s="114" t="str">
        <f>_xlfn.IFNA(VLOOKUP($AI311,Programma!$F$3:$V$1101,17,0),"")</f>
        <v>_</v>
      </c>
      <c r="AZ311" s="114" t="str">
        <f>_xlfn.IFNA(VLOOKUP($AI311,Programma!$F$3:$W$1101,18,0),"")</f>
        <v>_</v>
      </c>
      <c r="BA311" s="114" t="str">
        <f>_xlfn.IFNA(VLOOKUP($AI311,Programma!$F$3:$X$1101,19,0),"")</f>
        <v>_</v>
      </c>
      <c r="BB311" s="114" t="str">
        <f>_xlfn.IFNA(VLOOKUP($AI311,Programma!$F$3:$Y$1101,20,0),"")</f>
        <v>_</v>
      </c>
      <c r="BC311" s="111"/>
      <c r="BD311" s="110" t="str">
        <f>IF(Ruimtestaat[[#This Row],[Frequentie weekend]]="","",_xlfn.CONCAT(Ruimtestaat[[#This Row],[Ruimte code]],"-",Ruimtestaat[[#This Row],[Frequentie weekend]]," ",Ruimtestaat[[#This Row],[Vloer code]]))</f>
        <v/>
      </c>
      <c r="BE311" s="114" t="str">
        <f>_xlfn.IFNA(VLOOKUP($BD311,Programma!$F$3:$G$1101,2,0),"")</f>
        <v/>
      </c>
      <c r="BF311" s="114" t="str">
        <f>_xlfn.IFNA(VLOOKUP($BD311,Programma!$F$3:$H$1101,3,0),"")</f>
        <v/>
      </c>
      <c r="BG311" s="114" t="str">
        <f>_xlfn.IFNA(VLOOKUP($BD311,Programma!$F$3:$I$1101,4,0),"")</f>
        <v/>
      </c>
      <c r="BH311" s="114" t="str">
        <f>_xlfn.IFNA(VLOOKUP($BD311,Programma!$F$3:$J$1101,5,0),"")</f>
        <v/>
      </c>
      <c r="BI311" s="114" t="str">
        <f>_xlfn.IFNA(VLOOKUP($BD311,Programma!$F$3:$K$1101,6,0),"")</f>
        <v/>
      </c>
      <c r="BJ311" s="114" t="str">
        <f>_xlfn.IFNA(VLOOKUP($BD311,Programma!$F$3:$L$1101,7,0),"")</f>
        <v/>
      </c>
      <c r="BK311" s="114" t="str">
        <f>_xlfn.IFNA(VLOOKUP($BD311,Programma!$F$3:$M$1101,8,0),"")</f>
        <v/>
      </c>
      <c r="BL311" s="114" t="str">
        <f>_xlfn.IFNA(VLOOKUP($BD311,Programma!$F$3:$N$1101,9,0),"")</f>
        <v/>
      </c>
      <c r="BM311" s="114" t="str">
        <f>_xlfn.IFNA(VLOOKUP($BD311,Programma!$F$3:$O$1101,10,0),"")</f>
        <v/>
      </c>
      <c r="BN311" s="114" t="str">
        <f>_xlfn.IFNA(VLOOKUP($BD311,Programma!$F$3:$P$1101,11,0),"")</f>
        <v/>
      </c>
      <c r="BO311" s="114" t="str">
        <f>_xlfn.IFNA(VLOOKUP($BD311,Programma!$F$3:$Q$1101,12,0),"")</f>
        <v/>
      </c>
      <c r="BP311" s="114" t="str">
        <f>_xlfn.IFNA(VLOOKUP($BD311,Programma!$F$3:$R$1101,13,0),"")</f>
        <v/>
      </c>
      <c r="BQ311" s="114" t="str">
        <f>_xlfn.IFNA(VLOOKUP($BD311,Programma!$F$3:$S$1101,14,0),"")</f>
        <v/>
      </c>
      <c r="BR311" s="114" t="str">
        <f>_xlfn.IFNA(VLOOKUP($BD311,Programma!$F$3:$T$1101,15,0),"")</f>
        <v/>
      </c>
      <c r="BS311" s="114" t="str">
        <f>_xlfn.IFNA(VLOOKUP($BD311,Programma!$F$3:$U$1101,16,0),"")</f>
        <v/>
      </c>
      <c r="BT311" s="114" t="str">
        <f>_xlfn.IFNA(VLOOKUP($BD311,Programma!$F$3:$V$1101,17,0),"")</f>
        <v/>
      </c>
      <c r="BU311" s="114" t="str">
        <f>_xlfn.IFNA(VLOOKUP($BD311,Programma!$F$3:$W$1101,18,0),"")</f>
        <v/>
      </c>
      <c r="BV311" s="114" t="str">
        <f>_xlfn.IFNA(VLOOKUP($BD311,Programma!$F$3:$X$1101,19,0),"")</f>
        <v/>
      </c>
      <c r="BW311" s="114" t="str">
        <f>_xlfn.IFNA(VLOOKUP($BD311,Programma!$F$3:$Y$1101,20,0),"")</f>
        <v/>
      </c>
      <c r="BX311" s="28"/>
      <c r="BY311" s="28"/>
      <c r="BZ311" s="28"/>
      <c r="CA311" s="28"/>
      <c r="CB311" s="28"/>
      <c r="CC311" s="28"/>
      <c r="CD311" s="28"/>
      <c r="CE311" s="28"/>
      <c r="CF311" s="28"/>
      <c r="CG311" s="28"/>
      <c r="CH311" s="28"/>
      <c r="CI311" s="28"/>
      <c r="CJ311" s="28"/>
      <c r="CK311" s="28"/>
      <c r="CL311" s="28"/>
      <c r="CM311" s="28"/>
      <c r="CN311" s="28"/>
      <c r="CO311" s="28"/>
      <c r="CP311" s="28"/>
      <c r="CQ311" s="28"/>
      <c r="CR311" s="28"/>
      <c r="CS311" s="28"/>
      <c r="CT311" s="28"/>
      <c r="CU311" s="28"/>
      <c r="CV311" s="28"/>
      <c r="CW311" s="28"/>
      <c r="CX311" s="28"/>
      <c r="CY311" s="28"/>
      <c r="CZ311" s="28"/>
      <c r="DA311" s="28"/>
      <c r="DB311" s="28"/>
      <c r="DC311" s="28"/>
      <c r="DD311" s="28"/>
      <c r="DE311" s="28"/>
      <c r="DF311" s="28"/>
      <c r="DG311" s="28"/>
      <c r="DH311" s="28"/>
      <c r="DI311" s="28"/>
      <c r="DJ311" s="28"/>
      <c r="DK311" s="28"/>
      <c r="DL311" s="28"/>
      <c r="DM311" s="28"/>
      <c r="DN311" s="28"/>
      <c r="DO311" s="28"/>
      <c r="DP311" s="28"/>
      <c r="DQ311" s="28"/>
      <c r="DR311" s="28"/>
      <c r="DS311" s="28"/>
      <c r="DT311" s="28"/>
      <c r="DU311" s="28"/>
      <c r="DV311" s="28"/>
      <c r="DW311" s="28"/>
      <c r="DX311" s="28"/>
      <c r="DY311" s="28"/>
      <c r="DZ311" s="28"/>
      <c r="EA311" s="28"/>
      <c r="EB311" s="28"/>
      <c r="EC311" s="28"/>
      <c r="ED311" s="28"/>
      <c r="EE311" s="28"/>
      <c r="EF311" s="28"/>
      <c r="EG311" s="28"/>
      <c r="EH311" s="28"/>
      <c r="EI311" s="28"/>
      <c r="EJ311" s="28"/>
      <c r="EK311" s="28"/>
      <c r="EL311" s="28"/>
      <c r="EM311" s="28"/>
      <c r="EN311" s="28"/>
      <c r="EO311" s="28"/>
      <c r="EP311" s="28"/>
      <c r="EQ311" s="28"/>
      <c r="ER311" s="28"/>
      <c r="ES311" s="28"/>
      <c r="ET311" s="28"/>
      <c r="EU311" s="28"/>
      <c r="EV311" s="28"/>
      <c r="EW311" s="28"/>
      <c r="EX311" s="28"/>
      <c r="EY311" s="28"/>
      <c r="EZ311" s="28"/>
      <c r="FA311" s="28"/>
      <c r="FB311" s="28"/>
      <c r="FC311" s="28"/>
      <c r="FD311" s="28"/>
      <c r="FE311" s="28"/>
      <c r="FF311" s="28"/>
      <c r="FG311" s="28"/>
      <c r="FH311" s="28"/>
      <c r="FI311" s="28"/>
      <c r="FJ311" s="28"/>
      <c r="FK311" s="28"/>
      <c r="FL311" s="28"/>
      <c r="FM311" s="28"/>
      <c r="FN311" s="28"/>
      <c r="FO311" s="28"/>
      <c r="FP311" s="28"/>
      <c r="FQ311" s="28"/>
      <c r="FR311" s="28"/>
      <c r="FS311" s="28"/>
      <c r="FT311" s="28"/>
      <c r="FU311" s="28"/>
      <c r="FV311" s="28"/>
      <c r="FW311" s="28"/>
      <c r="FX311" s="28"/>
      <c r="FY311" s="28"/>
      <c r="FZ311" s="28"/>
      <c r="GA311" s="28"/>
      <c r="GB311" s="28"/>
      <c r="GC311" s="28"/>
      <c r="GD311" s="28"/>
      <c r="GE311" s="28"/>
      <c r="GF311" s="28"/>
      <c r="GG311" s="28"/>
      <c r="GH311" s="28"/>
      <c r="GI311" s="28"/>
      <c r="GJ311" s="28"/>
      <c r="GK311" s="28"/>
      <c r="GL311" s="28"/>
      <c r="GM311" s="28"/>
      <c r="GN311" s="28"/>
      <c r="GO311" s="28"/>
      <c r="GP311" s="28"/>
      <c r="GQ311" s="28"/>
      <c r="GR311" s="28"/>
      <c r="GS311" s="28"/>
      <c r="GT311" s="28"/>
      <c r="GU311" s="28"/>
      <c r="GV311" s="28"/>
      <c r="GW311" s="28"/>
      <c r="GX311" s="28"/>
      <c r="GY311" s="28"/>
      <c r="GZ311" s="28"/>
      <c r="HA311" s="28"/>
      <c r="HB311" s="28"/>
      <c r="HC311" s="28"/>
      <c r="HD311" s="28"/>
      <c r="HE311" s="28"/>
      <c r="HF311" s="28"/>
      <c r="HG311" s="28"/>
      <c r="HH311" s="28"/>
      <c r="HI311" s="28"/>
      <c r="HJ311" s="28"/>
      <c r="HK311" s="28"/>
      <c r="HL311" s="28"/>
    </row>
    <row r="312" spans="1:220" ht="15" customHeight="1">
      <c r="A312" s="31">
        <v>6</v>
      </c>
      <c r="B312" s="105" t="str">
        <f>VLOOKUP(Ruimtestaat[[#This Row],[Code]],Locaties[[Code]:[Locatie]],2,FALSE)</f>
        <v>IKC Joannes</v>
      </c>
      <c r="C312" s="105" t="str">
        <f>VLOOKUP(Ruimtestaat[[#This Row],[Code]],Locaties[[#All],[Code]:[Adres]],4,FALSE)</f>
        <v>Kerkakkers 4</v>
      </c>
      <c r="D312" s="105" t="str">
        <f>VLOOKUP(Ruimtestaat[[#This Row],[Code]],Locaties[[#All],[Code]:[Postcode]],5,FALSE)</f>
        <v>6923 BZ</v>
      </c>
      <c r="E312" s="105" t="str">
        <f>VLOOKUP(Ruimtestaat[[#This Row],[Code]],Locaties[#All],6,FALSE)</f>
        <v>Groessen</v>
      </c>
      <c r="F312" s="113"/>
      <c r="G312" s="31" t="s">
        <v>1645</v>
      </c>
      <c r="H312" s="31" t="s">
        <v>1686</v>
      </c>
      <c r="I312" s="113" t="s">
        <v>1791</v>
      </c>
      <c r="J312" s="31">
        <v>5</v>
      </c>
      <c r="K312" s="113" t="str">
        <f>VLOOKUP(Ruimtestaat[[#This Row],[Ruimte code]],Ruimtegroepen[[#All],[Code]:[Ruimte omschrijving]],2,FALSE)</f>
        <v>Sanitair</v>
      </c>
      <c r="L312" s="31" t="s">
        <v>100</v>
      </c>
      <c r="M312" s="31" t="s">
        <v>1975</v>
      </c>
      <c r="N312" s="106">
        <v>1.7999999999999998</v>
      </c>
      <c r="O312" s="112"/>
      <c r="P312" s="112"/>
      <c r="Q312" s="107" t="str">
        <f>VLOOKUP(Ruimtestaat[[#This Row],[Ruimte code]],Ruimtegroepen[],4,FALSE)</f>
        <v>Sa</v>
      </c>
      <c r="R312" s="73">
        <v>40</v>
      </c>
      <c r="S312" s="73" t="s">
        <v>2</v>
      </c>
      <c r="T312" s="73">
        <f>IF(R312&gt;0,IF(RIGHT(Ruimtestaat[[#This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2" s="73">
        <f>IF(T312&gt;0,VLOOKUP($J312,Ruimtegroepen[],3,FALSE)*VLOOKUP($L312,Vloersoorten[],3,FALSE)*VLOOKUP($S312,Frequenties[],3,FALSE)*VLOOKUP($A312,Locaties[],3,FALSE),0)</f>
        <v>0</v>
      </c>
      <c r="V312" s="73">
        <f>Ruimtestaat[[#This Row],[Uitvoeringen werkdagen]]*Ruimtestaat[[#This Row],[Oppervlak (netto)]]</f>
        <v>359.99999999999994</v>
      </c>
      <c r="W312" s="108">
        <f>IF(U312&gt;0,Ruimtestaat[[#This Row],[Prest. (m2 /jaar) werkdagen]]/Ruimtestaat[[#This Row],[Norm (m2/uur) werkdagen]],0)</f>
        <v>0</v>
      </c>
      <c r="X312" s="109">
        <f>Ruimtestaat[[#This Row],[uren / jaar werkdagen]]*Tariefsopbouw!$E$35</f>
        <v>0</v>
      </c>
      <c r="Y312" s="73"/>
      <c r="Z312" s="73">
        <f>IF(Ruimtestaat[[#This Row],[Frequentie weekend]]&gt;0,VALUE(LEFT(Y312,1))*R312,0)</f>
        <v>0</v>
      </c>
      <c r="AA312" s="72">
        <f>IF($Z312&gt;0,VLOOKUP($J312,Ruimtegroepen[],3,FALSE)*VLOOKUP($L312,Vloersoorten[],3,FALSE)*VLOOKUP($Y312,Frequenties[],3,FALSE)*VLOOKUP(Ruimtestaat[[#This Row],[Code]],Locaties[],3,FALSE),0)</f>
        <v>0</v>
      </c>
      <c r="AB312" s="72">
        <f>Ruimtestaat[[#This Row],[Uitvoeringen weekend]]*Ruimtestaat[[#This Row],[Oppervlak (netto)]]</f>
        <v>0</v>
      </c>
      <c r="AC312" s="72">
        <f>IF(AA312&gt;0,Ruimtestaat[[#This Row],[Prest. (m2 /jaar) weekend]]/Ruimtestaat[[#This Row],[Norm (m2/uur) weekend]],0)</f>
        <v>0</v>
      </c>
      <c r="AD312" s="109">
        <f>Ruimtestaat[[#This Row],[uren / jaar weekend]]*Tariefsopbouw!$D$40</f>
        <v>0</v>
      </c>
      <c r="AE312" s="108">
        <f>Ruimtestaat[[#This Row],[Prest. (m2 /jaar) weekend]]+Ruimtestaat[[#This Row],[Prest. (m2 /jaar) werkdagen]]</f>
        <v>359.99999999999994</v>
      </c>
      <c r="AF312" s="108">
        <f>Ruimtestaat[[#This Row],[uren / jaar weekend]]+Ruimtestaat[[#This Row],[uren / jaar werkdagen]]</f>
        <v>0</v>
      </c>
      <c r="AG312" s="103">
        <f>Ruimtestaat[[#This Row],[kosten / jaar weekend]]+Ruimtestaat[[#This Row],[kosten / jaar werkdagen]]</f>
        <v>0</v>
      </c>
      <c r="AH312" s="103"/>
      <c r="AI312" s="110" t="str">
        <f>IF(Ruimtestaat[[#This Row],[Frequentie werkdagen]]="","",_xlfn.CONCAT(Ruimtestaat[[#This Row],[Ruimte code]],"-",Ruimtestaat[[#This Row],[Frequentie werkdagen]]," ",Ruimtestaat[[#This Row],[Vloer code]]))</f>
        <v>5-5w L</v>
      </c>
      <c r="AJ312" s="114" t="str">
        <f>_xlfn.IFNA(VLOOKUP($AI312,Programma!$F$3:$G$1101,2,0),"")</f>
        <v>_</v>
      </c>
      <c r="AK312" s="114" t="str">
        <f>_xlfn.IFNA(VLOOKUP($AI312,Programma!$F$3:$H$1101,3,0),"")</f>
        <v>_</v>
      </c>
      <c r="AL312" s="114" t="str">
        <f>_xlfn.IFNA(VLOOKUP($AI312,Programma!$F$3:$I$1101,4,0),"")</f>
        <v>_</v>
      </c>
      <c r="AM312" s="114" t="str">
        <f>_xlfn.IFNA(VLOOKUP($AI312,Programma!$F$3:$J$1101,5,0),"")</f>
        <v>4w</v>
      </c>
      <c r="AN312" s="114" t="str">
        <f>_xlfn.IFNA(VLOOKUP($AI312,Programma!$F$3:$K$1101,6,0),"")</f>
        <v>1w</v>
      </c>
      <c r="AO312" s="114" t="str">
        <f>_xlfn.IFNA(VLOOKUP($AI312,Programma!$F$3:$L$1101,7,0),"")</f>
        <v>_</v>
      </c>
      <c r="AP312" s="114" t="str">
        <f>_xlfn.IFNA(VLOOKUP($AI312,Programma!$F$3:$M$1101,8,0),"")</f>
        <v>_</v>
      </c>
      <c r="AQ312" s="114" t="str">
        <f>_xlfn.IFNA(VLOOKUP($AI312,Programma!$F$3:$N$1101,9,0),"")</f>
        <v>_</v>
      </c>
      <c r="AR312" s="114" t="str">
        <f>_xlfn.IFNA(VLOOKUP($AI312,Programma!$F$3:$O$1101,10,0),"")</f>
        <v>_</v>
      </c>
      <c r="AS312" s="114" t="str">
        <f>_xlfn.IFNA(VLOOKUP($AI312,Programma!$F$3:$P$1101,11,0),"")</f>
        <v>_</v>
      </c>
      <c r="AT312" s="114" t="str">
        <f>_xlfn.IFNA(VLOOKUP($AI312,Programma!$F$3:$Q$1101,12,0),"")</f>
        <v>_</v>
      </c>
      <c r="AU312" s="114" t="str">
        <f>_xlfn.IFNA(VLOOKUP($AI312,Programma!$F$3:$R$1101,13,0),"")</f>
        <v>_</v>
      </c>
      <c r="AV312" s="114" t="str">
        <f>_xlfn.IFNA(VLOOKUP($AI312,Programma!$F$3:$S$1101,14,0),"")</f>
        <v>_</v>
      </c>
      <c r="AW312" s="114" t="str">
        <f>_xlfn.IFNA(VLOOKUP($AI312,Programma!$F$3:$T$1101,15,0),"")</f>
        <v>_</v>
      </c>
      <c r="AX312" s="114" t="str">
        <f>_xlfn.IFNA(VLOOKUP($AI312,Programma!$F$3:$U$1101,16,0),"")</f>
        <v>_</v>
      </c>
      <c r="AY312" s="114" t="str">
        <f>_xlfn.IFNA(VLOOKUP($AI312,Programma!$F$3:$V$1101,17,0),"")</f>
        <v>_</v>
      </c>
      <c r="AZ312" s="114" t="str">
        <f>_xlfn.IFNA(VLOOKUP($AI312,Programma!$F$3:$W$1101,18,0),"")</f>
        <v>4w</v>
      </c>
      <c r="BA312" s="114" t="str">
        <f>_xlfn.IFNA(VLOOKUP($AI312,Programma!$F$3:$X$1101,19,0),"")</f>
        <v>1w</v>
      </c>
      <c r="BB312" s="114" t="str">
        <f>_xlfn.IFNA(VLOOKUP($AI312,Programma!$F$3:$Y$1101,20,0),"")</f>
        <v>_</v>
      </c>
      <c r="BC312" s="111"/>
      <c r="BD312" s="110" t="str">
        <f>IF(Ruimtestaat[[#This Row],[Frequentie weekend]]="","",_xlfn.CONCAT(Ruimtestaat[[#This Row],[Ruimte code]],"-",Ruimtestaat[[#This Row],[Frequentie weekend]]," ",Ruimtestaat[[#This Row],[Vloer code]]))</f>
        <v/>
      </c>
      <c r="BE312" s="114" t="str">
        <f>_xlfn.IFNA(VLOOKUP($BD312,Programma!$F$3:$G$1101,2,0),"")</f>
        <v/>
      </c>
      <c r="BF312" s="114" t="str">
        <f>_xlfn.IFNA(VLOOKUP($BD312,Programma!$F$3:$H$1101,3,0),"")</f>
        <v/>
      </c>
      <c r="BG312" s="114" t="str">
        <f>_xlfn.IFNA(VLOOKUP($BD312,Programma!$F$3:$I$1101,4,0),"")</f>
        <v/>
      </c>
      <c r="BH312" s="114" t="str">
        <f>_xlfn.IFNA(VLOOKUP($BD312,Programma!$F$3:$J$1101,5,0),"")</f>
        <v/>
      </c>
      <c r="BI312" s="114" t="str">
        <f>_xlfn.IFNA(VLOOKUP($BD312,Programma!$F$3:$K$1101,6,0),"")</f>
        <v/>
      </c>
      <c r="BJ312" s="114" t="str">
        <f>_xlfn.IFNA(VLOOKUP($BD312,Programma!$F$3:$L$1101,7,0),"")</f>
        <v/>
      </c>
      <c r="BK312" s="114" t="str">
        <f>_xlfn.IFNA(VLOOKUP($BD312,Programma!$F$3:$M$1101,8,0),"")</f>
        <v/>
      </c>
      <c r="BL312" s="114" t="str">
        <f>_xlfn.IFNA(VLOOKUP($BD312,Programma!$F$3:$N$1101,9,0),"")</f>
        <v/>
      </c>
      <c r="BM312" s="114" t="str">
        <f>_xlfn.IFNA(VLOOKUP($BD312,Programma!$F$3:$O$1101,10,0),"")</f>
        <v/>
      </c>
      <c r="BN312" s="114" t="str">
        <f>_xlfn.IFNA(VLOOKUP($BD312,Programma!$F$3:$P$1101,11,0),"")</f>
        <v/>
      </c>
      <c r="BO312" s="114" t="str">
        <f>_xlfn.IFNA(VLOOKUP($BD312,Programma!$F$3:$Q$1101,12,0),"")</f>
        <v/>
      </c>
      <c r="BP312" s="114" t="str">
        <f>_xlfn.IFNA(VLOOKUP($BD312,Programma!$F$3:$R$1101,13,0),"")</f>
        <v/>
      </c>
      <c r="BQ312" s="114" t="str">
        <f>_xlfn.IFNA(VLOOKUP($BD312,Programma!$F$3:$S$1101,14,0),"")</f>
        <v/>
      </c>
      <c r="BR312" s="114" t="str">
        <f>_xlfn.IFNA(VLOOKUP($BD312,Programma!$F$3:$T$1101,15,0),"")</f>
        <v/>
      </c>
      <c r="BS312" s="114" t="str">
        <f>_xlfn.IFNA(VLOOKUP($BD312,Programma!$F$3:$U$1101,16,0),"")</f>
        <v/>
      </c>
      <c r="BT312" s="114" t="str">
        <f>_xlfn.IFNA(VLOOKUP($BD312,Programma!$F$3:$V$1101,17,0),"")</f>
        <v/>
      </c>
      <c r="BU312" s="114" t="str">
        <f>_xlfn.IFNA(VLOOKUP($BD312,Programma!$F$3:$W$1101,18,0),"")</f>
        <v/>
      </c>
      <c r="BV312" s="114" t="str">
        <f>_xlfn.IFNA(VLOOKUP($BD312,Programma!$F$3:$X$1101,19,0),"")</f>
        <v/>
      </c>
      <c r="BW312" s="114" t="str">
        <f>_xlfn.IFNA(VLOOKUP($BD312,Programma!$F$3:$Y$1101,20,0),"")</f>
        <v/>
      </c>
      <c r="BX312" s="28"/>
      <c r="BY312" s="28"/>
      <c r="BZ312" s="28"/>
      <c r="CA312" s="28"/>
      <c r="CB312" s="28"/>
      <c r="CC312" s="28"/>
      <c r="CD312" s="28"/>
      <c r="CE312" s="28"/>
      <c r="CF312" s="28"/>
      <c r="CG312" s="28"/>
      <c r="CH312" s="28"/>
      <c r="CI312" s="28"/>
      <c r="CJ312" s="28"/>
      <c r="CK312" s="28"/>
      <c r="CL312" s="28"/>
      <c r="CM312" s="28"/>
      <c r="CN312" s="28"/>
      <c r="CO312" s="28"/>
      <c r="CP312" s="28"/>
      <c r="CQ312" s="28"/>
      <c r="CR312" s="28"/>
      <c r="CS312" s="28"/>
      <c r="CT312" s="28"/>
      <c r="CU312" s="28"/>
      <c r="CV312" s="28"/>
      <c r="CW312" s="28"/>
      <c r="CX312" s="28"/>
      <c r="CY312" s="28"/>
      <c r="CZ312" s="28"/>
      <c r="DA312" s="28"/>
      <c r="DB312" s="28"/>
      <c r="DC312" s="28"/>
      <c r="DD312" s="28"/>
      <c r="DE312" s="28"/>
      <c r="DF312" s="28"/>
      <c r="DG312" s="28"/>
      <c r="DH312" s="28"/>
      <c r="DI312" s="28"/>
      <c r="DJ312" s="28"/>
      <c r="DK312" s="28"/>
      <c r="DL312" s="28"/>
      <c r="DM312" s="28"/>
      <c r="DN312" s="28"/>
      <c r="DO312" s="28"/>
      <c r="DP312" s="28"/>
      <c r="DQ312" s="28"/>
      <c r="DR312" s="28"/>
      <c r="DS312" s="28"/>
      <c r="DT312" s="28"/>
      <c r="DU312" s="28"/>
      <c r="DV312" s="28"/>
      <c r="DW312" s="28"/>
      <c r="DX312" s="28"/>
      <c r="DY312" s="28"/>
      <c r="DZ312" s="28"/>
      <c r="EA312" s="28"/>
      <c r="EB312" s="28"/>
      <c r="EC312" s="28"/>
      <c r="ED312" s="28"/>
      <c r="EE312" s="28"/>
      <c r="EF312" s="28"/>
      <c r="EG312" s="28"/>
      <c r="EH312" s="28"/>
      <c r="EI312" s="28"/>
      <c r="EJ312" s="28"/>
      <c r="EK312" s="28"/>
      <c r="EL312" s="28"/>
      <c r="EM312" s="28"/>
      <c r="EN312" s="28"/>
      <c r="EO312" s="28"/>
      <c r="EP312" s="28"/>
      <c r="EQ312" s="28"/>
      <c r="ER312" s="28"/>
      <c r="ES312" s="28"/>
      <c r="ET312" s="28"/>
      <c r="EU312" s="28"/>
      <c r="EV312" s="28"/>
      <c r="EW312" s="28"/>
      <c r="EX312" s="28"/>
      <c r="EY312" s="28"/>
      <c r="EZ312" s="28"/>
      <c r="FA312" s="28"/>
      <c r="FB312" s="28"/>
      <c r="FC312" s="28"/>
      <c r="FD312" s="28"/>
      <c r="FE312" s="28"/>
      <c r="FF312" s="28"/>
      <c r="FG312" s="28"/>
      <c r="FH312" s="28"/>
      <c r="FI312" s="28"/>
      <c r="FJ312" s="28"/>
      <c r="FK312" s="28"/>
      <c r="FL312" s="28"/>
      <c r="FM312" s="28"/>
      <c r="FN312" s="28"/>
      <c r="FO312" s="28"/>
      <c r="FP312" s="28"/>
      <c r="FQ312" s="28"/>
      <c r="FR312" s="28"/>
      <c r="FS312" s="28"/>
      <c r="FT312" s="28"/>
      <c r="FU312" s="28"/>
      <c r="FV312" s="28"/>
      <c r="FW312" s="28"/>
      <c r="FX312" s="28"/>
      <c r="FY312" s="28"/>
      <c r="FZ312" s="28"/>
      <c r="GA312" s="28"/>
      <c r="GB312" s="28"/>
      <c r="GC312" s="28"/>
      <c r="GD312" s="28"/>
      <c r="GE312" s="28"/>
      <c r="GF312" s="28"/>
      <c r="GG312" s="28"/>
      <c r="GH312" s="28"/>
      <c r="GI312" s="28"/>
      <c r="GJ312" s="28"/>
      <c r="GK312" s="28"/>
      <c r="GL312" s="28"/>
      <c r="GM312" s="28"/>
      <c r="GN312" s="28"/>
      <c r="GO312" s="28"/>
      <c r="GP312" s="28"/>
      <c r="GQ312" s="28"/>
      <c r="GR312" s="28"/>
      <c r="GS312" s="28"/>
      <c r="GT312" s="28"/>
      <c r="GU312" s="28"/>
      <c r="GV312" s="28"/>
      <c r="GW312" s="28"/>
      <c r="GX312" s="28"/>
      <c r="GY312" s="28"/>
      <c r="GZ312" s="28"/>
      <c r="HA312" s="28"/>
      <c r="HB312" s="28"/>
      <c r="HC312" s="28"/>
      <c r="HD312" s="28"/>
      <c r="HE312" s="28"/>
      <c r="HF312" s="28"/>
      <c r="HG312" s="28"/>
      <c r="HH312" s="28"/>
      <c r="HI312" s="28"/>
      <c r="HJ312" s="28"/>
      <c r="HK312" s="28"/>
      <c r="HL312" s="28"/>
    </row>
    <row r="313" spans="1:220" ht="15" customHeight="1">
      <c r="A313" s="31">
        <v>6</v>
      </c>
      <c r="B313" s="105" t="str">
        <f>VLOOKUP(Ruimtestaat[[#This Row],[Code]],Locaties[[Code]:[Locatie]],2,FALSE)</f>
        <v>IKC Joannes</v>
      </c>
      <c r="C313" s="105" t="str">
        <f>VLOOKUP(Ruimtestaat[[#This Row],[Code]],Locaties[[#All],[Code]:[Adres]],4,FALSE)</f>
        <v>Kerkakkers 4</v>
      </c>
      <c r="D313" s="105" t="str">
        <f>VLOOKUP(Ruimtestaat[[#This Row],[Code]],Locaties[[#All],[Code]:[Postcode]],5,FALSE)</f>
        <v>6923 BZ</v>
      </c>
      <c r="E313" s="105" t="str">
        <f>VLOOKUP(Ruimtestaat[[#This Row],[Code]],Locaties[#All],6,FALSE)</f>
        <v>Groessen</v>
      </c>
      <c r="F313" s="113"/>
      <c r="G313" s="31" t="s">
        <v>1645</v>
      </c>
      <c r="H313" s="31" t="s">
        <v>1687</v>
      </c>
      <c r="I313" s="113" t="s">
        <v>1907</v>
      </c>
      <c r="J313" s="31">
        <v>5</v>
      </c>
      <c r="K313" s="113" t="str">
        <f>VLOOKUP(Ruimtestaat[[#This Row],[Ruimte code]],Ruimtegroepen[[#All],[Code]:[Ruimte omschrijving]],2,FALSE)</f>
        <v>Sanitair</v>
      </c>
      <c r="L313" s="31" t="s">
        <v>100</v>
      </c>
      <c r="M313" s="31" t="s">
        <v>1975</v>
      </c>
      <c r="N313" s="106">
        <v>9</v>
      </c>
      <c r="O313" s="112"/>
      <c r="P313" s="112"/>
      <c r="Q313" s="107" t="str">
        <f>VLOOKUP(Ruimtestaat[[#This Row],[Ruimte code]],Ruimtegroepen[],4,FALSE)</f>
        <v>Sa</v>
      </c>
      <c r="R313" s="73">
        <v>40</v>
      </c>
      <c r="S313" s="73" t="s">
        <v>2</v>
      </c>
      <c r="T313" s="73">
        <f>IF(R313&gt;0,IF(RIGHT(Ruimtestaat[[#This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3" s="73">
        <f>IF(T313&gt;0,VLOOKUP($J313,Ruimtegroepen[],3,FALSE)*VLOOKUP($L313,Vloersoorten[],3,FALSE)*VLOOKUP($S313,Frequenties[],3,FALSE)*VLOOKUP($A313,Locaties[],3,FALSE),0)</f>
        <v>0</v>
      </c>
      <c r="V313" s="73">
        <f>Ruimtestaat[[#This Row],[Uitvoeringen werkdagen]]*Ruimtestaat[[#This Row],[Oppervlak (netto)]]</f>
        <v>1800</v>
      </c>
      <c r="W313" s="108">
        <f>IF(U313&gt;0,Ruimtestaat[[#This Row],[Prest. (m2 /jaar) werkdagen]]/Ruimtestaat[[#This Row],[Norm (m2/uur) werkdagen]],0)</f>
        <v>0</v>
      </c>
      <c r="X313" s="109">
        <f>Ruimtestaat[[#This Row],[uren / jaar werkdagen]]*Tariefsopbouw!$E$35</f>
        <v>0</v>
      </c>
      <c r="Y313" s="73"/>
      <c r="Z313" s="73">
        <f>IF(Ruimtestaat[[#This Row],[Frequentie weekend]]&gt;0,VALUE(LEFT(Y313,1))*R313,0)</f>
        <v>0</v>
      </c>
      <c r="AA313" s="72">
        <f>IF($Z313&gt;0,VLOOKUP($J313,Ruimtegroepen[],3,FALSE)*VLOOKUP($L313,Vloersoorten[],3,FALSE)*VLOOKUP($Y313,Frequenties[],3,FALSE)*VLOOKUP(Ruimtestaat[[#This Row],[Code]],Locaties[],3,FALSE),0)</f>
        <v>0</v>
      </c>
      <c r="AB313" s="72">
        <f>Ruimtestaat[[#This Row],[Uitvoeringen weekend]]*Ruimtestaat[[#This Row],[Oppervlak (netto)]]</f>
        <v>0</v>
      </c>
      <c r="AC313" s="72">
        <f>IF(AA313&gt;0,Ruimtestaat[[#This Row],[Prest. (m2 /jaar) weekend]]/Ruimtestaat[[#This Row],[Norm (m2/uur) weekend]],0)</f>
        <v>0</v>
      </c>
      <c r="AD313" s="109">
        <f>Ruimtestaat[[#This Row],[uren / jaar weekend]]*Tariefsopbouw!$D$40</f>
        <v>0</v>
      </c>
      <c r="AE313" s="108">
        <f>Ruimtestaat[[#This Row],[Prest. (m2 /jaar) weekend]]+Ruimtestaat[[#This Row],[Prest. (m2 /jaar) werkdagen]]</f>
        <v>1800</v>
      </c>
      <c r="AF313" s="108">
        <f>Ruimtestaat[[#This Row],[uren / jaar weekend]]+Ruimtestaat[[#This Row],[uren / jaar werkdagen]]</f>
        <v>0</v>
      </c>
      <c r="AG313" s="103">
        <f>Ruimtestaat[[#This Row],[kosten / jaar weekend]]+Ruimtestaat[[#This Row],[kosten / jaar werkdagen]]</f>
        <v>0</v>
      </c>
      <c r="AH313" s="103"/>
      <c r="AI313" s="110" t="str">
        <f>IF(Ruimtestaat[[#This Row],[Frequentie werkdagen]]="","",_xlfn.CONCAT(Ruimtestaat[[#This Row],[Ruimte code]],"-",Ruimtestaat[[#This Row],[Frequentie werkdagen]]," ",Ruimtestaat[[#This Row],[Vloer code]]))</f>
        <v>5-5w L</v>
      </c>
      <c r="AJ313" s="114" t="str">
        <f>_xlfn.IFNA(VLOOKUP($AI313,Programma!$F$3:$G$1101,2,0),"")</f>
        <v>_</v>
      </c>
      <c r="AK313" s="114" t="str">
        <f>_xlfn.IFNA(VLOOKUP($AI313,Programma!$F$3:$H$1101,3,0),"")</f>
        <v>_</v>
      </c>
      <c r="AL313" s="114" t="str">
        <f>_xlfn.IFNA(VLOOKUP($AI313,Programma!$F$3:$I$1101,4,0),"")</f>
        <v>_</v>
      </c>
      <c r="AM313" s="114" t="str">
        <f>_xlfn.IFNA(VLOOKUP($AI313,Programma!$F$3:$J$1101,5,0),"")</f>
        <v>4w</v>
      </c>
      <c r="AN313" s="114" t="str">
        <f>_xlfn.IFNA(VLOOKUP($AI313,Programma!$F$3:$K$1101,6,0),"")</f>
        <v>1w</v>
      </c>
      <c r="AO313" s="114" t="str">
        <f>_xlfn.IFNA(VLOOKUP($AI313,Programma!$F$3:$L$1101,7,0),"")</f>
        <v>_</v>
      </c>
      <c r="AP313" s="114" t="str">
        <f>_xlfn.IFNA(VLOOKUP($AI313,Programma!$F$3:$M$1101,8,0),"")</f>
        <v>_</v>
      </c>
      <c r="AQ313" s="114" t="str">
        <f>_xlfn.IFNA(VLOOKUP($AI313,Programma!$F$3:$N$1101,9,0),"")</f>
        <v>_</v>
      </c>
      <c r="AR313" s="114" t="str">
        <f>_xlfn.IFNA(VLOOKUP($AI313,Programma!$F$3:$O$1101,10,0),"")</f>
        <v>_</v>
      </c>
      <c r="AS313" s="114" t="str">
        <f>_xlfn.IFNA(VLOOKUP($AI313,Programma!$F$3:$P$1101,11,0),"")</f>
        <v>_</v>
      </c>
      <c r="AT313" s="114" t="str">
        <f>_xlfn.IFNA(VLOOKUP($AI313,Programma!$F$3:$Q$1101,12,0),"")</f>
        <v>_</v>
      </c>
      <c r="AU313" s="114" t="str">
        <f>_xlfn.IFNA(VLOOKUP($AI313,Programma!$F$3:$R$1101,13,0),"")</f>
        <v>_</v>
      </c>
      <c r="AV313" s="114" t="str">
        <f>_xlfn.IFNA(VLOOKUP($AI313,Programma!$F$3:$S$1101,14,0),"")</f>
        <v>_</v>
      </c>
      <c r="AW313" s="114" t="str">
        <f>_xlfn.IFNA(VLOOKUP($AI313,Programma!$F$3:$T$1101,15,0),"")</f>
        <v>_</v>
      </c>
      <c r="AX313" s="114" t="str">
        <f>_xlfn.IFNA(VLOOKUP($AI313,Programma!$F$3:$U$1101,16,0),"")</f>
        <v>_</v>
      </c>
      <c r="AY313" s="114" t="str">
        <f>_xlfn.IFNA(VLOOKUP($AI313,Programma!$F$3:$V$1101,17,0),"")</f>
        <v>_</v>
      </c>
      <c r="AZ313" s="114" t="str">
        <f>_xlfn.IFNA(VLOOKUP($AI313,Programma!$F$3:$W$1101,18,0),"")</f>
        <v>4w</v>
      </c>
      <c r="BA313" s="114" t="str">
        <f>_xlfn.IFNA(VLOOKUP($AI313,Programma!$F$3:$X$1101,19,0),"")</f>
        <v>1w</v>
      </c>
      <c r="BB313" s="114" t="str">
        <f>_xlfn.IFNA(VLOOKUP($AI313,Programma!$F$3:$Y$1101,20,0),"")</f>
        <v>_</v>
      </c>
      <c r="BC313" s="111"/>
      <c r="BD313" s="110" t="str">
        <f>IF(Ruimtestaat[[#This Row],[Frequentie weekend]]="","",_xlfn.CONCAT(Ruimtestaat[[#This Row],[Ruimte code]],"-",Ruimtestaat[[#This Row],[Frequentie weekend]]," ",Ruimtestaat[[#This Row],[Vloer code]]))</f>
        <v/>
      </c>
      <c r="BE313" s="114" t="str">
        <f>_xlfn.IFNA(VLOOKUP($BD313,Programma!$F$3:$G$1101,2,0),"")</f>
        <v/>
      </c>
      <c r="BF313" s="114" t="str">
        <f>_xlfn.IFNA(VLOOKUP($BD313,Programma!$F$3:$H$1101,3,0),"")</f>
        <v/>
      </c>
      <c r="BG313" s="114" t="str">
        <f>_xlfn.IFNA(VLOOKUP($BD313,Programma!$F$3:$I$1101,4,0),"")</f>
        <v/>
      </c>
      <c r="BH313" s="114" t="str">
        <f>_xlfn.IFNA(VLOOKUP($BD313,Programma!$F$3:$J$1101,5,0),"")</f>
        <v/>
      </c>
      <c r="BI313" s="114" t="str">
        <f>_xlfn.IFNA(VLOOKUP($BD313,Programma!$F$3:$K$1101,6,0),"")</f>
        <v/>
      </c>
      <c r="BJ313" s="114" t="str">
        <f>_xlfn.IFNA(VLOOKUP($BD313,Programma!$F$3:$L$1101,7,0),"")</f>
        <v/>
      </c>
      <c r="BK313" s="114" t="str">
        <f>_xlfn.IFNA(VLOOKUP($BD313,Programma!$F$3:$M$1101,8,0),"")</f>
        <v/>
      </c>
      <c r="BL313" s="114" t="str">
        <f>_xlfn.IFNA(VLOOKUP($BD313,Programma!$F$3:$N$1101,9,0),"")</f>
        <v/>
      </c>
      <c r="BM313" s="114" t="str">
        <f>_xlfn.IFNA(VLOOKUP($BD313,Programma!$F$3:$O$1101,10,0),"")</f>
        <v/>
      </c>
      <c r="BN313" s="114" t="str">
        <f>_xlfn.IFNA(VLOOKUP($BD313,Programma!$F$3:$P$1101,11,0),"")</f>
        <v/>
      </c>
      <c r="BO313" s="114" t="str">
        <f>_xlfn.IFNA(VLOOKUP($BD313,Programma!$F$3:$Q$1101,12,0),"")</f>
        <v/>
      </c>
      <c r="BP313" s="114" t="str">
        <f>_xlfn.IFNA(VLOOKUP($BD313,Programma!$F$3:$R$1101,13,0),"")</f>
        <v/>
      </c>
      <c r="BQ313" s="114" t="str">
        <f>_xlfn.IFNA(VLOOKUP($BD313,Programma!$F$3:$S$1101,14,0),"")</f>
        <v/>
      </c>
      <c r="BR313" s="114" t="str">
        <f>_xlfn.IFNA(VLOOKUP($BD313,Programma!$F$3:$T$1101,15,0),"")</f>
        <v/>
      </c>
      <c r="BS313" s="114" t="str">
        <f>_xlfn.IFNA(VLOOKUP($BD313,Programma!$F$3:$U$1101,16,0),"")</f>
        <v/>
      </c>
      <c r="BT313" s="114" t="str">
        <f>_xlfn.IFNA(VLOOKUP($BD313,Programma!$F$3:$V$1101,17,0),"")</f>
        <v/>
      </c>
      <c r="BU313" s="114" t="str">
        <f>_xlfn.IFNA(VLOOKUP($BD313,Programma!$F$3:$W$1101,18,0),"")</f>
        <v/>
      </c>
      <c r="BV313" s="114" t="str">
        <f>_xlfn.IFNA(VLOOKUP($BD313,Programma!$F$3:$X$1101,19,0),"")</f>
        <v/>
      </c>
      <c r="BW313" s="114" t="str">
        <f>_xlfn.IFNA(VLOOKUP($BD313,Programma!$F$3:$Y$1101,20,0),"")</f>
        <v/>
      </c>
      <c r="BX313" s="28"/>
      <c r="BY313" s="28"/>
      <c r="BZ313" s="28"/>
      <c r="CA313" s="28"/>
      <c r="CB313" s="28"/>
      <c r="CC313" s="28"/>
      <c r="CD313" s="28"/>
      <c r="CE313" s="28"/>
      <c r="CF313" s="28"/>
      <c r="CG313" s="28"/>
      <c r="CH313" s="28"/>
      <c r="CI313" s="28"/>
      <c r="CJ313" s="28"/>
      <c r="CK313" s="28"/>
      <c r="CL313" s="28"/>
      <c r="CM313" s="28"/>
      <c r="CN313" s="28"/>
      <c r="CO313" s="28"/>
      <c r="CP313" s="28"/>
      <c r="CQ313" s="28"/>
      <c r="CR313" s="28"/>
      <c r="CS313" s="28"/>
      <c r="CT313" s="28"/>
      <c r="CU313" s="28"/>
      <c r="CV313" s="28"/>
      <c r="CW313" s="28"/>
      <c r="CX313" s="28"/>
      <c r="CY313" s="28"/>
      <c r="CZ313" s="28"/>
      <c r="DA313" s="28"/>
      <c r="DB313" s="28"/>
      <c r="DC313" s="28"/>
      <c r="DD313" s="28"/>
      <c r="DE313" s="28"/>
      <c r="DF313" s="28"/>
      <c r="DG313" s="28"/>
      <c r="DH313" s="28"/>
      <c r="DI313" s="28"/>
      <c r="DJ313" s="28"/>
      <c r="DK313" s="28"/>
      <c r="DL313" s="28"/>
      <c r="DM313" s="28"/>
      <c r="DN313" s="28"/>
      <c r="DO313" s="28"/>
      <c r="DP313" s="28"/>
      <c r="DQ313" s="28"/>
      <c r="DR313" s="28"/>
      <c r="DS313" s="28"/>
      <c r="DT313" s="28"/>
      <c r="DU313" s="28"/>
      <c r="DV313" s="28"/>
      <c r="DW313" s="28"/>
      <c r="DX313" s="28"/>
      <c r="DY313" s="28"/>
      <c r="DZ313" s="28"/>
      <c r="EA313" s="28"/>
      <c r="EB313" s="28"/>
      <c r="EC313" s="28"/>
      <c r="ED313" s="28"/>
      <c r="EE313" s="28"/>
      <c r="EF313" s="28"/>
      <c r="EG313" s="28"/>
      <c r="EH313" s="28"/>
      <c r="EI313" s="28"/>
      <c r="EJ313" s="28"/>
      <c r="EK313" s="28"/>
      <c r="EL313" s="28"/>
      <c r="EM313" s="28"/>
      <c r="EN313" s="28"/>
      <c r="EO313" s="28"/>
      <c r="EP313" s="28"/>
      <c r="EQ313" s="28"/>
      <c r="ER313" s="28"/>
      <c r="ES313" s="28"/>
      <c r="ET313" s="28"/>
      <c r="EU313" s="28"/>
      <c r="EV313" s="28"/>
      <c r="EW313" s="28"/>
      <c r="EX313" s="28"/>
      <c r="EY313" s="28"/>
      <c r="EZ313" s="28"/>
      <c r="FA313" s="28"/>
      <c r="FB313" s="28"/>
      <c r="FC313" s="28"/>
      <c r="FD313" s="28"/>
      <c r="FE313" s="28"/>
      <c r="FF313" s="28"/>
      <c r="FG313" s="28"/>
      <c r="FH313" s="28"/>
      <c r="FI313" s="28"/>
      <c r="FJ313" s="28"/>
      <c r="FK313" s="28"/>
      <c r="FL313" s="28"/>
      <c r="FM313" s="28"/>
      <c r="FN313" s="28"/>
      <c r="FO313" s="28"/>
      <c r="FP313" s="28"/>
      <c r="FQ313" s="28"/>
      <c r="FR313" s="28"/>
      <c r="FS313" s="28"/>
      <c r="FT313" s="28"/>
      <c r="FU313" s="28"/>
      <c r="FV313" s="28"/>
      <c r="FW313" s="28"/>
      <c r="FX313" s="28"/>
      <c r="FY313" s="28"/>
      <c r="FZ313" s="28"/>
      <c r="GA313" s="28"/>
      <c r="GB313" s="28"/>
      <c r="GC313" s="28"/>
      <c r="GD313" s="28"/>
      <c r="GE313" s="28"/>
      <c r="GF313" s="28"/>
      <c r="GG313" s="28"/>
      <c r="GH313" s="28"/>
      <c r="GI313" s="28"/>
      <c r="GJ313" s="28"/>
      <c r="GK313" s="28"/>
      <c r="GL313" s="28"/>
      <c r="GM313" s="28"/>
      <c r="GN313" s="28"/>
      <c r="GO313" s="28"/>
      <c r="GP313" s="28"/>
      <c r="GQ313" s="28"/>
      <c r="GR313" s="28"/>
      <c r="GS313" s="28"/>
      <c r="GT313" s="28"/>
      <c r="GU313" s="28"/>
      <c r="GV313" s="28"/>
      <c r="GW313" s="28"/>
      <c r="GX313" s="28"/>
      <c r="GY313" s="28"/>
      <c r="GZ313" s="28"/>
      <c r="HA313" s="28"/>
      <c r="HB313" s="28"/>
      <c r="HC313" s="28"/>
      <c r="HD313" s="28"/>
      <c r="HE313" s="28"/>
      <c r="HF313" s="28"/>
      <c r="HG313" s="28"/>
      <c r="HH313" s="28"/>
      <c r="HI313" s="28"/>
      <c r="HJ313" s="28"/>
      <c r="HK313" s="28"/>
      <c r="HL313" s="28"/>
    </row>
    <row r="314" spans="1:220" ht="15" customHeight="1">
      <c r="A314" s="31">
        <v>6</v>
      </c>
      <c r="B314" s="105" t="str">
        <f>VLOOKUP(Ruimtestaat[[#This Row],[Code]],Locaties[[Code]:[Locatie]],2,FALSE)</f>
        <v>IKC Joannes</v>
      </c>
      <c r="C314" s="105" t="str">
        <f>VLOOKUP(Ruimtestaat[[#This Row],[Code]],Locaties[[#All],[Code]:[Adres]],4,FALSE)</f>
        <v>Kerkakkers 4</v>
      </c>
      <c r="D314" s="105" t="str">
        <f>VLOOKUP(Ruimtestaat[[#This Row],[Code]],Locaties[[#All],[Code]:[Postcode]],5,FALSE)</f>
        <v>6923 BZ</v>
      </c>
      <c r="E314" s="105" t="str">
        <f>VLOOKUP(Ruimtestaat[[#This Row],[Code]],Locaties[#All],6,FALSE)</f>
        <v>Groessen</v>
      </c>
      <c r="F314" s="113"/>
      <c r="G314" s="31" t="s">
        <v>1645</v>
      </c>
      <c r="H314" s="31" t="s">
        <v>1688</v>
      </c>
      <c r="I314" s="113" t="s">
        <v>1784</v>
      </c>
      <c r="J314" s="31">
        <v>5</v>
      </c>
      <c r="K314" s="113" t="str">
        <f>VLOOKUP(Ruimtestaat[[#This Row],[Ruimte code]],Ruimtegroepen[[#All],[Code]:[Ruimte omschrijving]],2,FALSE)</f>
        <v>Sanitair</v>
      </c>
      <c r="L314" s="31" t="s">
        <v>100</v>
      </c>
      <c r="M314" s="31" t="s">
        <v>1975</v>
      </c>
      <c r="N314" s="106">
        <v>10.8</v>
      </c>
      <c r="O314" s="112"/>
      <c r="P314" s="112"/>
      <c r="Q314" s="107" t="str">
        <f>VLOOKUP(Ruimtestaat[[#This Row],[Ruimte code]],Ruimtegroepen[],4,FALSE)</f>
        <v>Sa</v>
      </c>
      <c r="R314" s="73">
        <v>40</v>
      </c>
      <c r="S314" s="73" t="s">
        <v>2</v>
      </c>
      <c r="T314" s="73">
        <f>IF(R314&gt;0,IF(RIGHT(Ruimtestaat[[#This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4" s="73">
        <f>IF(T314&gt;0,VLOOKUP($J314,Ruimtegroepen[],3,FALSE)*VLOOKUP($L314,Vloersoorten[],3,FALSE)*VLOOKUP($S314,Frequenties[],3,FALSE)*VLOOKUP($A314,Locaties[],3,FALSE),0)</f>
        <v>0</v>
      </c>
      <c r="V314" s="73">
        <f>Ruimtestaat[[#This Row],[Uitvoeringen werkdagen]]*Ruimtestaat[[#This Row],[Oppervlak (netto)]]</f>
        <v>2160</v>
      </c>
      <c r="W314" s="108">
        <f>IF(U314&gt;0,Ruimtestaat[[#This Row],[Prest. (m2 /jaar) werkdagen]]/Ruimtestaat[[#This Row],[Norm (m2/uur) werkdagen]],0)</f>
        <v>0</v>
      </c>
      <c r="X314" s="109">
        <f>Ruimtestaat[[#This Row],[uren / jaar werkdagen]]*Tariefsopbouw!$E$35</f>
        <v>0</v>
      </c>
      <c r="Y314" s="73"/>
      <c r="Z314" s="73">
        <f>IF(Ruimtestaat[[#This Row],[Frequentie weekend]]&gt;0,VALUE(LEFT(Y314,1))*R314,0)</f>
        <v>0</v>
      </c>
      <c r="AA314" s="72">
        <f>IF($Z314&gt;0,VLOOKUP($J314,Ruimtegroepen[],3,FALSE)*VLOOKUP($L314,Vloersoorten[],3,FALSE)*VLOOKUP($Y314,Frequenties[],3,FALSE)*VLOOKUP(Ruimtestaat[[#This Row],[Code]],Locaties[],3,FALSE),0)</f>
        <v>0</v>
      </c>
      <c r="AB314" s="72">
        <f>Ruimtestaat[[#This Row],[Uitvoeringen weekend]]*Ruimtestaat[[#This Row],[Oppervlak (netto)]]</f>
        <v>0</v>
      </c>
      <c r="AC314" s="72">
        <f>IF(AA314&gt;0,Ruimtestaat[[#This Row],[Prest. (m2 /jaar) weekend]]/Ruimtestaat[[#This Row],[Norm (m2/uur) weekend]],0)</f>
        <v>0</v>
      </c>
      <c r="AD314" s="109">
        <f>Ruimtestaat[[#This Row],[uren / jaar weekend]]*Tariefsopbouw!$D$40</f>
        <v>0</v>
      </c>
      <c r="AE314" s="108">
        <f>Ruimtestaat[[#This Row],[Prest. (m2 /jaar) weekend]]+Ruimtestaat[[#This Row],[Prest. (m2 /jaar) werkdagen]]</f>
        <v>2160</v>
      </c>
      <c r="AF314" s="108">
        <f>Ruimtestaat[[#This Row],[uren / jaar weekend]]+Ruimtestaat[[#This Row],[uren / jaar werkdagen]]</f>
        <v>0</v>
      </c>
      <c r="AG314" s="103">
        <f>Ruimtestaat[[#This Row],[kosten / jaar weekend]]+Ruimtestaat[[#This Row],[kosten / jaar werkdagen]]</f>
        <v>0</v>
      </c>
      <c r="AH314" s="103"/>
      <c r="AI314" s="110" t="str">
        <f>IF(Ruimtestaat[[#This Row],[Frequentie werkdagen]]="","",_xlfn.CONCAT(Ruimtestaat[[#This Row],[Ruimte code]],"-",Ruimtestaat[[#This Row],[Frequentie werkdagen]]," ",Ruimtestaat[[#This Row],[Vloer code]]))</f>
        <v>5-5w L</v>
      </c>
      <c r="AJ314" s="114" t="str">
        <f>_xlfn.IFNA(VLOOKUP($AI314,Programma!$F$3:$G$1101,2,0),"")</f>
        <v>_</v>
      </c>
      <c r="AK314" s="114" t="str">
        <f>_xlfn.IFNA(VLOOKUP($AI314,Programma!$F$3:$H$1101,3,0),"")</f>
        <v>_</v>
      </c>
      <c r="AL314" s="114" t="str">
        <f>_xlfn.IFNA(VLOOKUP($AI314,Programma!$F$3:$I$1101,4,0),"")</f>
        <v>_</v>
      </c>
      <c r="AM314" s="114" t="str">
        <f>_xlfn.IFNA(VLOOKUP($AI314,Programma!$F$3:$J$1101,5,0),"")</f>
        <v>4w</v>
      </c>
      <c r="AN314" s="114" t="str">
        <f>_xlfn.IFNA(VLOOKUP($AI314,Programma!$F$3:$K$1101,6,0),"")</f>
        <v>1w</v>
      </c>
      <c r="AO314" s="114" t="str">
        <f>_xlfn.IFNA(VLOOKUP($AI314,Programma!$F$3:$L$1101,7,0),"")</f>
        <v>_</v>
      </c>
      <c r="AP314" s="114" t="str">
        <f>_xlfn.IFNA(VLOOKUP($AI314,Programma!$F$3:$M$1101,8,0),"")</f>
        <v>_</v>
      </c>
      <c r="AQ314" s="114" t="str">
        <f>_xlfn.IFNA(VLOOKUP($AI314,Programma!$F$3:$N$1101,9,0),"")</f>
        <v>_</v>
      </c>
      <c r="AR314" s="114" t="str">
        <f>_xlfn.IFNA(VLOOKUP($AI314,Programma!$F$3:$O$1101,10,0),"")</f>
        <v>_</v>
      </c>
      <c r="AS314" s="114" t="str">
        <f>_xlfn.IFNA(VLOOKUP($AI314,Programma!$F$3:$P$1101,11,0),"")</f>
        <v>_</v>
      </c>
      <c r="AT314" s="114" t="str">
        <f>_xlfn.IFNA(VLOOKUP($AI314,Programma!$F$3:$Q$1101,12,0),"")</f>
        <v>_</v>
      </c>
      <c r="AU314" s="114" t="str">
        <f>_xlfn.IFNA(VLOOKUP($AI314,Programma!$F$3:$R$1101,13,0),"")</f>
        <v>_</v>
      </c>
      <c r="AV314" s="114" t="str">
        <f>_xlfn.IFNA(VLOOKUP($AI314,Programma!$F$3:$S$1101,14,0),"")</f>
        <v>_</v>
      </c>
      <c r="AW314" s="114" t="str">
        <f>_xlfn.IFNA(VLOOKUP($AI314,Programma!$F$3:$T$1101,15,0),"")</f>
        <v>_</v>
      </c>
      <c r="AX314" s="114" t="str">
        <f>_xlfn.IFNA(VLOOKUP($AI314,Programma!$F$3:$U$1101,16,0),"")</f>
        <v>_</v>
      </c>
      <c r="AY314" s="114" t="str">
        <f>_xlfn.IFNA(VLOOKUP($AI314,Programma!$F$3:$V$1101,17,0),"")</f>
        <v>_</v>
      </c>
      <c r="AZ314" s="114" t="str">
        <f>_xlfn.IFNA(VLOOKUP($AI314,Programma!$F$3:$W$1101,18,0),"")</f>
        <v>4w</v>
      </c>
      <c r="BA314" s="114" t="str">
        <f>_xlfn.IFNA(VLOOKUP($AI314,Programma!$F$3:$X$1101,19,0),"")</f>
        <v>1w</v>
      </c>
      <c r="BB314" s="114" t="str">
        <f>_xlfn.IFNA(VLOOKUP($AI314,Programma!$F$3:$Y$1101,20,0),"")</f>
        <v>_</v>
      </c>
      <c r="BC314" s="111"/>
      <c r="BD314" s="110" t="str">
        <f>IF(Ruimtestaat[[#This Row],[Frequentie weekend]]="","",_xlfn.CONCAT(Ruimtestaat[[#This Row],[Ruimte code]],"-",Ruimtestaat[[#This Row],[Frequentie weekend]]," ",Ruimtestaat[[#This Row],[Vloer code]]))</f>
        <v/>
      </c>
      <c r="BE314" s="114" t="str">
        <f>_xlfn.IFNA(VLOOKUP($BD314,Programma!$F$3:$G$1101,2,0),"")</f>
        <v/>
      </c>
      <c r="BF314" s="114" t="str">
        <f>_xlfn.IFNA(VLOOKUP($BD314,Programma!$F$3:$H$1101,3,0),"")</f>
        <v/>
      </c>
      <c r="BG314" s="114" t="str">
        <f>_xlfn.IFNA(VLOOKUP($BD314,Programma!$F$3:$I$1101,4,0),"")</f>
        <v/>
      </c>
      <c r="BH314" s="114" t="str">
        <f>_xlfn.IFNA(VLOOKUP($BD314,Programma!$F$3:$J$1101,5,0),"")</f>
        <v/>
      </c>
      <c r="BI314" s="114" t="str">
        <f>_xlfn.IFNA(VLOOKUP($BD314,Programma!$F$3:$K$1101,6,0),"")</f>
        <v/>
      </c>
      <c r="BJ314" s="114" t="str">
        <f>_xlfn.IFNA(VLOOKUP($BD314,Programma!$F$3:$L$1101,7,0),"")</f>
        <v/>
      </c>
      <c r="BK314" s="114" t="str">
        <f>_xlfn.IFNA(VLOOKUP($BD314,Programma!$F$3:$M$1101,8,0),"")</f>
        <v/>
      </c>
      <c r="BL314" s="114" t="str">
        <f>_xlfn.IFNA(VLOOKUP($BD314,Programma!$F$3:$N$1101,9,0),"")</f>
        <v/>
      </c>
      <c r="BM314" s="114" t="str">
        <f>_xlfn.IFNA(VLOOKUP($BD314,Programma!$F$3:$O$1101,10,0),"")</f>
        <v/>
      </c>
      <c r="BN314" s="114" t="str">
        <f>_xlfn.IFNA(VLOOKUP($BD314,Programma!$F$3:$P$1101,11,0),"")</f>
        <v/>
      </c>
      <c r="BO314" s="114" t="str">
        <f>_xlfn.IFNA(VLOOKUP($BD314,Programma!$F$3:$Q$1101,12,0),"")</f>
        <v/>
      </c>
      <c r="BP314" s="114" t="str">
        <f>_xlfn.IFNA(VLOOKUP($BD314,Programma!$F$3:$R$1101,13,0),"")</f>
        <v/>
      </c>
      <c r="BQ314" s="114" t="str">
        <f>_xlfn.IFNA(VLOOKUP($BD314,Programma!$F$3:$S$1101,14,0),"")</f>
        <v/>
      </c>
      <c r="BR314" s="114" t="str">
        <f>_xlfn.IFNA(VLOOKUP($BD314,Programma!$F$3:$T$1101,15,0),"")</f>
        <v/>
      </c>
      <c r="BS314" s="114" t="str">
        <f>_xlfn.IFNA(VLOOKUP($BD314,Programma!$F$3:$U$1101,16,0),"")</f>
        <v/>
      </c>
      <c r="BT314" s="114" t="str">
        <f>_xlfn.IFNA(VLOOKUP($BD314,Programma!$F$3:$V$1101,17,0),"")</f>
        <v/>
      </c>
      <c r="BU314" s="114" t="str">
        <f>_xlfn.IFNA(VLOOKUP($BD314,Programma!$F$3:$W$1101,18,0),"")</f>
        <v/>
      </c>
      <c r="BV314" s="114" t="str">
        <f>_xlfn.IFNA(VLOOKUP($BD314,Programma!$F$3:$X$1101,19,0),"")</f>
        <v/>
      </c>
      <c r="BW314" s="114" t="str">
        <f>_xlfn.IFNA(VLOOKUP($BD314,Programma!$F$3:$Y$1101,20,0),"")</f>
        <v/>
      </c>
      <c r="BX314" s="28"/>
      <c r="BY314" s="28"/>
      <c r="BZ314" s="28"/>
      <c r="CA314" s="28"/>
      <c r="CB314" s="28"/>
      <c r="CC314" s="28"/>
      <c r="CD314" s="28"/>
      <c r="CE314" s="28"/>
      <c r="CF314" s="28"/>
      <c r="CG314" s="28"/>
      <c r="CH314" s="28"/>
      <c r="CI314" s="28"/>
      <c r="CJ314" s="28"/>
      <c r="CK314" s="28"/>
      <c r="CL314" s="28"/>
      <c r="CM314" s="28"/>
      <c r="CN314" s="28"/>
      <c r="CO314" s="28"/>
      <c r="CP314" s="28"/>
      <c r="CQ314" s="28"/>
      <c r="CR314" s="28"/>
      <c r="CS314" s="28"/>
      <c r="CT314" s="28"/>
      <c r="CU314" s="28"/>
      <c r="CV314" s="28"/>
      <c r="CW314" s="28"/>
      <c r="CX314" s="28"/>
      <c r="CY314" s="28"/>
      <c r="CZ314" s="28"/>
      <c r="DA314" s="28"/>
      <c r="DB314" s="28"/>
      <c r="DC314" s="28"/>
      <c r="DD314" s="28"/>
      <c r="DE314" s="28"/>
      <c r="DF314" s="28"/>
      <c r="DG314" s="28"/>
      <c r="DH314" s="28"/>
      <c r="DI314" s="28"/>
      <c r="DJ314" s="28"/>
      <c r="DK314" s="28"/>
      <c r="DL314" s="28"/>
      <c r="DM314" s="28"/>
      <c r="DN314" s="28"/>
      <c r="DO314" s="28"/>
      <c r="DP314" s="28"/>
      <c r="DQ314" s="28"/>
      <c r="DR314" s="28"/>
      <c r="DS314" s="28"/>
      <c r="DT314" s="28"/>
      <c r="DU314" s="28"/>
      <c r="DV314" s="28"/>
      <c r="DW314" s="28"/>
      <c r="DX314" s="28"/>
      <c r="DY314" s="28"/>
      <c r="DZ314" s="28"/>
      <c r="EA314" s="28"/>
      <c r="EB314" s="28"/>
      <c r="EC314" s="28"/>
      <c r="ED314" s="28"/>
      <c r="EE314" s="28"/>
      <c r="EF314" s="28"/>
      <c r="EG314" s="28"/>
      <c r="EH314" s="28"/>
      <c r="EI314" s="28"/>
      <c r="EJ314" s="28"/>
      <c r="EK314" s="28"/>
      <c r="EL314" s="28"/>
      <c r="EM314" s="28"/>
      <c r="EN314" s="28"/>
      <c r="EO314" s="28"/>
      <c r="EP314" s="28"/>
      <c r="EQ314" s="28"/>
      <c r="ER314" s="28"/>
      <c r="ES314" s="28"/>
      <c r="ET314" s="28"/>
      <c r="EU314" s="28"/>
      <c r="EV314" s="28"/>
      <c r="EW314" s="28"/>
      <c r="EX314" s="28"/>
      <c r="EY314" s="28"/>
      <c r="EZ314" s="28"/>
      <c r="FA314" s="28"/>
      <c r="FB314" s="28"/>
      <c r="FC314" s="28"/>
      <c r="FD314" s="28"/>
      <c r="FE314" s="28"/>
      <c r="FF314" s="28"/>
      <c r="FG314" s="28"/>
      <c r="FH314" s="28"/>
      <c r="FI314" s="28"/>
      <c r="FJ314" s="28"/>
      <c r="FK314" s="28"/>
      <c r="FL314" s="28"/>
      <c r="FM314" s="28"/>
      <c r="FN314" s="28"/>
      <c r="FO314" s="28"/>
      <c r="FP314" s="28"/>
      <c r="FQ314" s="28"/>
      <c r="FR314" s="28"/>
      <c r="FS314" s="28"/>
      <c r="FT314" s="28"/>
      <c r="FU314" s="28"/>
      <c r="FV314" s="28"/>
      <c r="FW314" s="28"/>
      <c r="FX314" s="28"/>
      <c r="FY314" s="28"/>
      <c r="FZ314" s="28"/>
      <c r="GA314" s="28"/>
      <c r="GB314" s="28"/>
      <c r="GC314" s="28"/>
      <c r="GD314" s="28"/>
      <c r="GE314" s="28"/>
      <c r="GF314" s="28"/>
      <c r="GG314" s="28"/>
      <c r="GH314" s="28"/>
      <c r="GI314" s="28"/>
      <c r="GJ314" s="28"/>
      <c r="GK314" s="28"/>
      <c r="GL314" s="28"/>
      <c r="GM314" s="28"/>
      <c r="GN314" s="28"/>
      <c r="GO314" s="28"/>
      <c r="GP314" s="28"/>
      <c r="GQ314" s="28"/>
      <c r="GR314" s="28"/>
      <c r="GS314" s="28"/>
      <c r="GT314" s="28"/>
      <c r="GU314" s="28"/>
      <c r="GV314" s="28"/>
      <c r="GW314" s="28"/>
      <c r="GX314" s="28"/>
      <c r="GY314" s="28"/>
      <c r="GZ314" s="28"/>
      <c r="HA314" s="28"/>
      <c r="HB314" s="28"/>
      <c r="HC314" s="28"/>
      <c r="HD314" s="28"/>
      <c r="HE314" s="28"/>
      <c r="HF314" s="28"/>
      <c r="HG314" s="28"/>
      <c r="HH314" s="28"/>
      <c r="HI314" s="28"/>
      <c r="HJ314" s="28"/>
      <c r="HK314" s="28"/>
      <c r="HL314" s="28"/>
    </row>
    <row r="315" spans="1:220" ht="15" customHeight="1">
      <c r="A315" s="31">
        <v>6</v>
      </c>
      <c r="B315" s="105" t="str">
        <f>VLOOKUP(Ruimtestaat[[#This Row],[Code]],Locaties[[Code]:[Locatie]],2,FALSE)</f>
        <v>IKC Joannes</v>
      </c>
      <c r="C315" s="105" t="str">
        <f>VLOOKUP(Ruimtestaat[[#This Row],[Code]],Locaties[[#All],[Code]:[Adres]],4,FALSE)</f>
        <v>Kerkakkers 4</v>
      </c>
      <c r="D315" s="105" t="str">
        <f>VLOOKUP(Ruimtestaat[[#This Row],[Code]],Locaties[[#All],[Code]:[Postcode]],5,FALSE)</f>
        <v>6923 BZ</v>
      </c>
      <c r="E315" s="105" t="str">
        <f>VLOOKUP(Ruimtestaat[[#This Row],[Code]],Locaties[#All],6,FALSE)</f>
        <v>Groessen</v>
      </c>
      <c r="F315" s="113" t="s">
        <v>1921</v>
      </c>
      <c r="G315" s="31" t="s">
        <v>1645</v>
      </c>
      <c r="H315" s="31" t="s">
        <v>1941</v>
      </c>
      <c r="I315" s="113" t="s">
        <v>1908</v>
      </c>
      <c r="J315" s="31">
        <v>6</v>
      </c>
      <c r="K315" s="113" t="str">
        <f>VLOOKUP(Ruimtestaat[[#This Row],[Ruimte code]],Ruimtegroepen[[#All],[Code]:[Ruimte omschrijving]],2,FALSE)</f>
        <v>Gangen/hallen</v>
      </c>
      <c r="L315" s="31" t="s">
        <v>100</v>
      </c>
      <c r="M315" s="31" t="s">
        <v>1975</v>
      </c>
      <c r="N315" s="106">
        <v>30</v>
      </c>
      <c r="O315" s="112"/>
      <c r="P315" s="112"/>
      <c r="Q315" s="107" t="str">
        <f>VLOOKUP(Ruimtestaat[[#This Row],[Ruimte code]],Ruimtegroepen[],4,FALSE)</f>
        <v>Ve</v>
      </c>
      <c r="R315" s="73">
        <v>40</v>
      </c>
      <c r="S315" s="73" t="s">
        <v>2</v>
      </c>
      <c r="T315" s="73">
        <f>IF(R315&gt;0,IF(RIGHT(Ruimtestaat[[#This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5" s="73">
        <f>IF(T315&gt;0,VLOOKUP($J315,Ruimtegroepen[],3,FALSE)*VLOOKUP($L315,Vloersoorten[],3,FALSE)*VLOOKUP($S315,Frequenties[],3,FALSE)*VLOOKUP($A315,Locaties[],3,FALSE),0)</f>
        <v>0</v>
      </c>
      <c r="V315" s="73">
        <f>Ruimtestaat[[#This Row],[Uitvoeringen werkdagen]]*Ruimtestaat[[#This Row],[Oppervlak (netto)]]</f>
        <v>6000</v>
      </c>
      <c r="W315" s="108">
        <f>IF(U315&gt;0,Ruimtestaat[[#This Row],[Prest. (m2 /jaar) werkdagen]]/Ruimtestaat[[#This Row],[Norm (m2/uur) werkdagen]],0)</f>
        <v>0</v>
      </c>
      <c r="X315" s="109">
        <f>Ruimtestaat[[#This Row],[uren / jaar werkdagen]]*Tariefsopbouw!$E$35</f>
        <v>0</v>
      </c>
      <c r="Y315" s="73"/>
      <c r="Z315" s="73">
        <f>IF(Ruimtestaat[[#This Row],[Frequentie weekend]]&gt;0,VALUE(LEFT(Y315,1))*R315,0)</f>
        <v>0</v>
      </c>
      <c r="AA315" s="72">
        <f>IF($Z315&gt;0,VLOOKUP($J315,Ruimtegroepen[],3,FALSE)*VLOOKUP($L315,Vloersoorten[],3,FALSE)*VLOOKUP($Y315,Frequenties[],3,FALSE)*VLOOKUP(Ruimtestaat[[#This Row],[Code]],Locaties[],3,FALSE),0)</f>
        <v>0</v>
      </c>
      <c r="AB315" s="72">
        <f>Ruimtestaat[[#This Row],[Uitvoeringen weekend]]*Ruimtestaat[[#This Row],[Oppervlak (netto)]]</f>
        <v>0</v>
      </c>
      <c r="AC315" s="72">
        <f>IF(AA315&gt;0,Ruimtestaat[[#This Row],[Prest. (m2 /jaar) weekend]]/Ruimtestaat[[#This Row],[Norm (m2/uur) weekend]],0)</f>
        <v>0</v>
      </c>
      <c r="AD315" s="109">
        <f>Ruimtestaat[[#This Row],[uren / jaar weekend]]*Tariefsopbouw!$D$40</f>
        <v>0</v>
      </c>
      <c r="AE315" s="108">
        <f>Ruimtestaat[[#This Row],[Prest. (m2 /jaar) weekend]]+Ruimtestaat[[#This Row],[Prest. (m2 /jaar) werkdagen]]</f>
        <v>6000</v>
      </c>
      <c r="AF315" s="108">
        <f>Ruimtestaat[[#This Row],[uren / jaar weekend]]+Ruimtestaat[[#This Row],[uren / jaar werkdagen]]</f>
        <v>0</v>
      </c>
      <c r="AG315" s="103">
        <f>Ruimtestaat[[#This Row],[kosten / jaar weekend]]+Ruimtestaat[[#This Row],[kosten / jaar werkdagen]]</f>
        <v>0</v>
      </c>
      <c r="AH315" s="103"/>
      <c r="AI315" s="110" t="str">
        <f>IF(Ruimtestaat[[#This Row],[Frequentie werkdagen]]="","",_xlfn.CONCAT(Ruimtestaat[[#This Row],[Ruimte code]],"-",Ruimtestaat[[#This Row],[Frequentie werkdagen]]," ",Ruimtestaat[[#This Row],[Vloer code]]))</f>
        <v>6-5w L</v>
      </c>
      <c r="AJ315" s="114" t="str">
        <f>_xlfn.IFNA(VLOOKUP($AI315,Programma!$F$3:$G$1101,2,0),"")</f>
        <v>_</v>
      </c>
      <c r="AK315" s="114" t="str">
        <f>_xlfn.IFNA(VLOOKUP($AI315,Programma!$F$3:$H$1101,3,0),"")</f>
        <v>_</v>
      </c>
      <c r="AL315" s="114" t="str">
        <f>_xlfn.IFNA(VLOOKUP($AI315,Programma!$F$3:$I$1101,4,0),"")</f>
        <v>_</v>
      </c>
      <c r="AM315" s="114" t="str">
        <f>_xlfn.IFNA(VLOOKUP($AI315,Programma!$F$3:$J$1101,5,0),"")</f>
        <v>5w</v>
      </c>
      <c r="AN315" s="114" t="str">
        <f>_xlfn.IFNA(VLOOKUP($AI315,Programma!$F$3:$K$1101,6,0),"")</f>
        <v>_</v>
      </c>
      <c r="AO315" s="114" t="str">
        <f>_xlfn.IFNA(VLOOKUP($AI315,Programma!$F$3:$L$1101,7,0),"")</f>
        <v>_</v>
      </c>
      <c r="AP315" s="114" t="str">
        <f>_xlfn.IFNA(VLOOKUP($AI315,Programma!$F$3:$M$1101,8,0),"")</f>
        <v>_</v>
      </c>
      <c r="AQ315" s="114" t="str">
        <f>_xlfn.IFNA(VLOOKUP($AI315,Programma!$F$3:$N$1101,9,0),"")</f>
        <v>_</v>
      </c>
      <c r="AR315" s="114" t="str">
        <f>_xlfn.IFNA(VLOOKUP($AI315,Programma!$F$3:$O$1101,10,0),"")</f>
        <v>5w</v>
      </c>
      <c r="AS315" s="114" t="str">
        <f>_xlfn.IFNA(VLOOKUP($AI315,Programma!$F$3:$P$1101,11,0),"")</f>
        <v>5w</v>
      </c>
      <c r="AT315" s="114" t="str">
        <f>_xlfn.IFNA(VLOOKUP($AI315,Programma!$F$3:$Q$1101,12,0),"")</f>
        <v>1w</v>
      </c>
      <c r="AU315" s="114" t="str">
        <f>_xlfn.IFNA(VLOOKUP($AI315,Programma!$F$3:$R$1101,13,0),"")</f>
        <v>1w</v>
      </c>
      <c r="AV315" s="114" t="str">
        <f>_xlfn.IFNA(VLOOKUP($AI315,Programma!$F$3:$S$1101,14,0),"")</f>
        <v>1m</v>
      </c>
      <c r="AW315" s="114" t="str">
        <f>_xlfn.IFNA(VLOOKUP($AI315,Programma!$F$3:$T$1101,15,0),"")</f>
        <v>2j</v>
      </c>
      <c r="AX315" s="114" t="str">
        <f>_xlfn.IFNA(VLOOKUP($AI315,Programma!$F$3:$U$1101,16,0),"")</f>
        <v>1j</v>
      </c>
      <c r="AY315" s="114" t="str">
        <f>_xlfn.IFNA(VLOOKUP($AI315,Programma!$F$3:$V$1101,17,0),"")</f>
        <v>_</v>
      </c>
      <c r="AZ315" s="114" t="str">
        <f>_xlfn.IFNA(VLOOKUP($AI315,Programma!$F$3:$W$1101,18,0),"")</f>
        <v>_</v>
      </c>
      <c r="BA315" s="114" t="str">
        <f>_xlfn.IFNA(VLOOKUP($AI315,Programma!$F$3:$X$1101,19,0),"")</f>
        <v>_</v>
      </c>
      <c r="BB315" s="114" t="str">
        <f>_xlfn.IFNA(VLOOKUP($AI315,Programma!$F$3:$Y$1101,20,0),"")</f>
        <v>_</v>
      </c>
      <c r="BC315" s="111"/>
      <c r="BD315" s="110" t="str">
        <f>IF(Ruimtestaat[[#This Row],[Frequentie weekend]]="","",_xlfn.CONCAT(Ruimtestaat[[#This Row],[Ruimte code]],"-",Ruimtestaat[[#This Row],[Frequentie weekend]]," ",Ruimtestaat[[#This Row],[Vloer code]]))</f>
        <v/>
      </c>
      <c r="BE315" s="114" t="str">
        <f>_xlfn.IFNA(VLOOKUP($BD315,Programma!$F$3:$G$1101,2,0),"")</f>
        <v/>
      </c>
      <c r="BF315" s="114" t="str">
        <f>_xlfn.IFNA(VLOOKUP($BD315,Programma!$F$3:$H$1101,3,0),"")</f>
        <v/>
      </c>
      <c r="BG315" s="114" t="str">
        <f>_xlfn.IFNA(VLOOKUP($BD315,Programma!$F$3:$I$1101,4,0),"")</f>
        <v/>
      </c>
      <c r="BH315" s="114" t="str">
        <f>_xlfn.IFNA(VLOOKUP($BD315,Programma!$F$3:$J$1101,5,0),"")</f>
        <v/>
      </c>
      <c r="BI315" s="114" t="str">
        <f>_xlfn.IFNA(VLOOKUP($BD315,Programma!$F$3:$K$1101,6,0),"")</f>
        <v/>
      </c>
      <c r="BJ315" s="114" t="str">
        <f>_xlfn.IFNA(VLOOKUP($BD315,Programma!$F$3:$L$1101,7,0),"")</f>
        <v/>
      </c>
      <c r="BK315" s="114" t="str">
        <f>_xlfn.IFNA(VLOOKUP($BD315,Programma!$F$3:$M$1101,8,0),"")</f>
        <v/>
      </c>
      <c r="BL315" s="114" t="str">
        <f>_xlfn.IFNA(VLOOKUP($BD315,Programma!$F$3:$N$1101,9,0),"")</f>
        <v/>
      </c>
      <c r="BM315" s="114" t="str">
        <f>_xlfn.IFNA(VLOOKUP($BD315,Programma!$F$3:$O$1101,10,0),"")</f>
        <v/>
      </c>
      <c r="BN315" s="114" t="str">
        <f>_xlfn.IFNA(VLOOKUP($BD315,Programma!$F$3:$P$1101,11,0),"")</f>
        <v/>
      </c>
      <c r="BO315" s="114" t="str">
        <f>_xlfn.IFNA(VLOOKUP($BD315,Programma!$F$3:$Q$1101,12,0),"")</f>
        <v/>
      </c>
      <c r="BP315" s="114" t="str">
        <f>_xlfn.IFNA(VLOOKUP($BD315,Programma!$F$3:$R$1101,13,0),"")</f>
        <v/>
      </c>
      <c r="BQ315" s="114" t="str">
        <f>_xlfn.IFNA(VLOOKUP($BD315,Programma!$F$3:$S$1101,14,0),"")</f>
        <v/>
      </c>
      <c r="BR315" s="114" t="str">
        <f>_xlfn.IFNA(VLOOKUP($BD315,Programma!$F$3:$T$1101,15,0),"")</f>
        <v/>
      </c>
      <c r="BS315" s="114" t="str">
        <f>_xlfn.IFNA(VLOOKUP($BD315,Programma!$F$3:$U$1101,16,0),"")</f>
        <v/>
      </c>
      <c r="BT315" s="114" t="str">
        <f>_xlfn.IFNA(VLOOKUP($BD315,Programma!$F$3:$V$1101,17,0),"")</f>
        <v/>
      </c>
      <c r="BU315" s="114" t="str">
        <f>_xlfn.IFNA(VLOOKUP($BD315,Programma!$F$3:$W$1101,18,0),"")</f>
        <v/>
      </c>
      <c r="BV315" s="114" t="str">
        <f>_xlfn.IFNA(VLOOKUP($BD315,Programma!$F$3:$X$1101,19,0),"")</f>
        <v/>
      </c>
      <c r="BW315" s="114" t="str">
        <f>_xlfn.IFNA(VLOOKUP($BD315,Programma!$F$3:$Y$1101,20,0),"")</f>
        <v/>
      </c>
      <c r="BX315" s="28"/>
      <c r="BY315" s="28"/>
      <c r="BZ315" s="28"/>
      <c r="CA315" s="28"/>
      <c r="CB315" s="28"/>
      <c r="CC315" s="28"/>
      <c r="CD315" s="28"/>
      <c r="CE315" s="28"/>
      <c r="CF315" s="28"/>
      <c r="CG315" s="28"/>
      <c r="CH315" s="28"/>
      <c r="CI315" s="28"/>
      <c r="CJ315" s="28"/>
      <c r="CK315" s="28"/>
      <c r="CL315" s="28"/>
      <c r="CM315" s="28"/>
      <c r="CN315" s="28"/>
      <c r="CO315" s="28"/>
      <c r="CP315" s="28"/>
      <c r="CQ315" s="28"/>
      <c r="CR315" s="28"/>
      <c r="CS315" s="28"/>
      <c r="CT315" s="28"/>
      <c r="CU315" s="28"/>
      <c r="CV315" s="28"/>
      <c r="CW315" s="28"/>
      <c r="CX315" s="28"/>
      <c r="CY315" s="28"/>
      <c r="CZ315" s="28"/>
      <c r="DA315" s="28"/>
      <c r="DB315" s="28"/>
      <c r="DC315" s="28"/>
      <c r="DD315" s="28"/>
      <c r="DE315" s="28"/>
      <c r="DF315" s="28"/>
      <c r="DG315" s="28"/>
      <c r="DH315" s="28"/>
      <c r="DI315" s="28"/>
      <c r="DJ315" s="28"/>
      <c r="DK315" s="28"/>
      <c r="DL315" s="28"/>
      <c r="DM315" s="28"/>
      <c r="DN315" s="28"/>
      <c r="DO315" s="28"/>
      <c r="DP315" s="28"/>
      <c r="DQ315" s="28"/>
      <c r="DR315" s="28"/>
      <c r="DS315" s="28"/>
      <c r="DT315" s="28"/>
      <c r="DU315" s="28"/>
      <c r="DV315" s="28"/>
      <c r="DW315" s="28"/>
      <c r="DX315" s="28"/>
      <c r="DY315" s="28"/>
      <c r="DZ315" s="28"/>
      <c r="EA315" s="28"/>
      <c r="EB315" s="28"/>
      <c r="EC315" s="28"/>
      <c r="ED315" s="28"/>
      <c r="EE315" s="28"/>
      <c r="EF315" s="28"/>
      <c r="EG315" s="28"/>
      <c r="EH315" s="28"/>
      <c r="EI315" s="28"/>
      <c r="EJ315" s="28"/>
      <c r="EK315" s="28"/>
      <c r="EL315" s="28"/>
      <c r="EM315" s="28"/>
      <c r="EN315" s="28"/>
      <c r="EO315" s="28"/>
      <c r="EP315" s="28"/>
      <c r="EQ315" s="28"/>
      <c r="ER315" s="28"/>
      <c r="ES315" s="28"/>
      <c r="ET315" s="28"/>
      <c r="EU315" s="28"/>
      <c r="EV315" s="28"/>
      <c r="EW315" s="28"/>
      <c r="EX315" s="28"/>
      <c r="EY315" s="28"/>
      <c r="EZ315" s="28"/>
      <c r="FA315" s="28"/>
      <c r="FB315" s="28"/>
      <c r="FC315" s="28"/>
      <c r="FD315" s="28"/>
      <c r="FE315" s="28"/>
      <c r="FF315" s="28"/>
      <c r="FG315" s="28"/>
      <c r="FH315" s="28"/>
      <c r="FI315" s="28"/>
      <c r="FJ315" s="28"/>
      <c r="FK315" s="28"/>
      <c r="FL315" s="28"/>
      <c r="FM315" s="28"/>
      <c r="FN315" s="28"/>
      <c r="FO315" s="28"/>
      <c r="FP315" s="28"/>
      <c r="FQ315" s="28"/>
      <c r="FR315" s="28"/>
      <c r="FS315" s="28"/>
      <c r="FT315" s="28"/>
      <c r="FU315" s="28"/>
      <c r="FV315" s="28"/>
      <c r="FW315" s="28"/>
      <c r="FX315" s="28"/>
      <c r="FY315" s="28"/>
      <c r="FZ315" s="28"/>
      <c r="GA315" s="28"/>
      <c r="GB315" s="28"/>
      <c r="GC315" s="28"/>
      <c r="GD315" s="28"/>
      <c r="GE315" s="28"/>
      <c r="GF315" s="28"/>
      <c r="GG315" s="28"/>
      <c r="GH315" s="28"/>
      <c r="GI315" s="28"/>
      <c r="GJ315" s="28"/>
      <c r="GK315" s="28"/>
      <c r="GL315" s="28"/>
      <c r="GM315" s="28"/>
      <c r="GN315" s="28"/>
      <c r="GO315" s="28"/>
      <c r="GP315" s="28"/>
      <c r="GQ315" s="28"/>
      <c r="GR315" s="28"/>
      <c r="GS315" s="28"/>
      <c r="GT315" s="28"/>
      <c r="GU315" s="28"/>
      <c r="GV315" s="28"/>
      <c r="GW315" s="28"/>
      <c r="GX315" s="28"/>
      <c r="GY315" s="28"/>
      <c r="GZ315" s="28"/>
      <c r="HA315" s="28"/>
      <c r="HB315" s="28"/>
      <c r="HC315" s="28"/>
      <c r="HD315" s="28"/>
      <c r="HE315" s="28"/>
      <c r="HF315" s="28"/>
      <c r="HG315" s="28"/>
      <c r="HH315" s="28"/>
      <c r="HI315" s="28"/>
      <c r="HJ315" s="28"/>
      <c r="HK315" s="28"/>
      <c r="HL315" s="28"/>
    </row>
    <row r="316" spans="1:220" ht="15" customHeight="1">
      <c r="A316" s="31">
        <v>6</v>
      </c>
      <c r="B316" s="105" t="str">
        <f>VLOOKUP(Ruimtestaat[[#This Row],[Code]],Locaties[[Code]:[Locatie]],2,FALSE)</f>
        <v>IKC Joannes</v>
      </c>
      <c r="C316" s="105" t="str">
        <f>VLOOKUP(Ruimtestaat[[#This Row],[Code]],Locaties[[#All],[Code]:[Adres]],4,FALSE)</f>
        <v>Kerkakkers 4</v>
      </c>
      <c r="D316" s="105" t="str">
        <f>VLOOKUP(Ruimtestaat[[#This Row],[Code]],Locaties[[#All],[Code]:[Postcode]],5,FALSE)</f>
        <v>6923 BZ</v>
      </c>
      <c r="E316" s="105" t="str">
        <f>VLOOKUP(Ruimtestaat[[#This Row],[Code]],Locaties[#All],6,FALSE)</f>
        <v>Groessen</v>
      </c>
      <c r="F316" s="113" t="s">
        <v>1921</v>
      </c>
      <c r="G316" s="31" t="s">
        <v>1645</v>
      </c>
      <c r="H316" s="31" t="s">
        <v>1942</v>
      </c>
      <c r="I316" s="113" t="s">
        <v>1909</v>
      </c>
      <c r="J316" s="31">
        <v>19</v>
      </c>
      <c r="K316" s="113" t="str">
        <f>VLOOKUP(Ruimtestaat[[#This Row],[Ruimte code]],Ruimtegroepen[[#All],[Code]:[Ruimte omschrijving]],2,FALSE)</f>
        <v>Kleedruimten</v>
      </c>
      <c r="L316" s="31" t="s">
        <v>101</v>
      </c>
      <c r="M316" s="31" t="s">
        <v>1980</v>
      </c>
      <c r="N316" s="106">
        <v>22.799999999999997</v>
      </c>
      <c r="O316" s="112"/>
      <c r="P316" s="112"/>
      <c r="Q316" s="107" t="str">
        <f>VLOOKUP(Ruimtestaat[[#This Row],[Ruimte code]],Ruimtegroepen[],4,FALSE)</f>
        <v>Ve</v>
      </c>
      <c r="R316" s="73">
        <v>40</v>
      </c>
      <c r="S316" s="73" t="s">
        <v>2</v>
      </c>
      <c r="T316" s="73">
        <f>IF(R316&gt;0,IF(RIGHT(Ruimtestaat[[#This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6" s="73">
        <f>IF(T316&gt;0,VLOOKUP($J316,Ruimtegroepen[],3,FALSE)*VLOOKUP($L316,Vloersoorten[],3,FALSE)*VLOOKUP($S316,Frequenties[],3,FALSE)*VLOOKUP($A316,Locaties[],3,FALSE),0)</f>
        <v>0</v>
      </c>
      <c r="V316" s="73">
        <f>Ruimtestaat[[#This Row],[Uitvoeringen werkdagen]]*Ruimtestaat[[#This Row],[Oppervlak (netto)]]</f>
        <v>4559.9999999999991</v>
      </c>
      <c r="W316" s="108">
        <f>IF(U316&gt;0,Ruimtestaat[[#This Row],[Prest. (m2 /jaar) werkdagen]]/Ruimtestaat[[#This Row],[Norm (m2/uur) werkdagen]],0)</f>
        <v>0</v>
      </c>
      <c r="X316" s="109">
        <f>Ruimtestaat[[#This Row],[uren / jaar werkdagen]]*Tariefsopbouw!$E$35</f>
        <v>0</v>
      </c>
      <c r="Y316" s="73"/>
      <c r="Z316" s="73">
        <f>IF(Ruimtestaat[[#This Row],[Frequentie weekend]]&gt;0,VALUE(LEFT(Y316,1))*R316,0)</f>
        <v>0</v>
      </c>
      <c r="AA316" s="72">
        <f>IF($Z316&gt;0,VLOOKUP($J316,Ruimtegroepen[],3,FALSE)*VLOOKUP($L316,Vloersoorten[],3,FALSE)*VLOOKUP($Y316,Frequenties[],3,FALSE)*VLOOKUP(Ruimtestaat[[#This Row],[Code]],Locaties[],3,FALSE),0)</f>
        <v>0</v>
      </c>
      <c r="AB316" s="72">
        <f>Ruimtestaat[[#This Row],[Uitvoeringen weekend]]*Ruimtestaat[[#This Row],[Oppervlak (netto)]]</f>
        <v>0</v>
      </c>
      <c r="AC316" s="72">
        <f>IF(AA316&gt;0,Ruimtestaat[[#This Row],[Prest. (m2 /jaar) weekend]]/Ruimtestaat[[#This Row],[Norm (m2/uur) weekend]],0)</f>
        <v>0</v>
      </c>
      <c r="AD316" s="109">
        <f>Ruimtestaat[[#This Row],[uren / jaar weekend]]*Tariefsopbouw!$D$40</f>
        <v>0</v>
      </c>
      <c r="AE316" s="108">
        <f>Ruimtestaat[[#This Row],[Prest. (m2 /jaar) weekend]]+Ruimtestaat[[#This Row],[Prest. (m2 /jaar) werkdagen]]</f>
        <v>4559.9999999999991</v>
      </c>
      <c r="AF316" s="108">
        <f>Ruimtestaat[[#This Row],[uren / jaar weekend]]+Ruimtestaat[[#This Row],[uren / jaar werkdagen]]</f>
        <v>0</v>
      </c>
      <c r="AG316" s="103">
        <f>Ruimtestaat[[#This Row],[kosten / jaar weekend]]+Ruimtestaat[[#This Row],[kosten / jaar werkdagen]]</f>
        <v>0</v>
      </c>
      <c r="AH316" s="103"/>
      <c r="AI316" s="110" t="str">
        <f>IF(Ruimtestaat[[#This Row],[Frequentie werkdagen]]="","",_xlfn.CONCAT(Ruimtestaat[[#This Row],[Ruimte code]],"-",Ruimtestaat[[#This Row],[Frequentie werkdagen]]," ",Ruimtestaat[[#This Row],[Vloer code]]))</f>
        <v>19-5w S</v>
      </c>
      <c r="AJ316" s="114" t="str">
        <f>_xlfn.IFNA(VLOOKUP($AI316,Programma!$F$3:$G$1101,2,0),"")</f>
        <v>_</v>
      </c>
      <c r="AK316" s="114" t="str">
        <f>_xlfn.IFNA(VLOOKUP($AI316,Programma!$F$3:$H$1101,3,0),"")</f>
        <v>_</v>
      </c>
      <c r="AL316" s="114" t="str">
        <f>_xlfn.IFNA(VLOOKUP($AI316,Programma!$F$3:$I$1101,4,0),"")</f>
        <v>5w</v>
      </c>
      <c r="AM316" s="114" t="str">
        <f>_xlfn.IFNA(VLOOKUP($AI316,Programma!$F$3:$J$1101,5,0),"")</f>
        <v>_</v>
      </c>
      <c r="AN316" s="114" t="str">
        <f>_xlfn.IFNA(VLOOKUP($AI316,Programma!$F$3:$K$1101,6,0),"")</f>
        <v>5w</v>
      </c>
      <c r="AO316" s="114" t="str">
        <f>_xlfn.IFNA(VLOOKUP($AI316,Programma!$F$3:$L$1101,7,0),"")</f>
        <v>_</v>
      </c>
      <c r="AP316" s="114" t="str">
        <f>_xlfn.IFNA(VLOOKUP($AI316,Programma!$F$3:$M$1101,8,0),"")</f>
        <v>_</v>
      </c>
      <c r="AQ316" s="114" t="str">
        <f>_xlfn.IFNA(VLOOKUP($AI316,Programma!$F$3:$N$1101,9,0),"")</f>
        <v>_</v>
      </c>
      <c r="AR316" s="114" t="str">
        <f>_xlfn.IFNA(VLOOKUP($AI316,Programma!$F$3:$O$1101,10,0),"")</f>
        <v>5w</v>
      </c>
      <c r="AS316" s="114" t="str">
        <f>_xlfn.IFNA(VLOOKUP($AI316,Programma!$F$3:$P$1101,11,0),"")</f>
        <v>5w</v>
      </c>
      <c r="AT316" s="114" t="str">
        <f>_xlfn.IFNA(VLOOKUP($AI316,Programma!$F$3:$Q$1101,12,0),"")</f>
        <v>1w</v>
      </c>
      <c r="AU316" s="114" t="str">
        <f>_xlfn.IFNA(VLOOKUP($AI316,Programma!$F$3:$R$1101,13,0),"")</f>
        <v>1w</v>
      </c>
      <c r="AV316" s="114" t="str">
        <f>_xlfn.IFNA(VLOOKUP($AI316,Programma!$F$3:$S$1101,14,0),"")</f>
        <v>1m</v>
      </c>
      <c r="AW316" s="114" t="str">
        <f>_xlfn.IFNA(VLOOKUP($AI316,Programma!$F$3:$T$1101,15,0),"")</f>
        <v>2j</v>
      </c>
      <c r="AX316" s="114" t="str">
        <f>_xlfn.IFNA(VLOOKUP($AI316,Programma!$F$3:$U$1101,16,0),"")</f>
        <v>1j</v>
      </c>
      <c r="AY316" s="114" t="str">
        <f>_xlfn.IFNA(VLOOKUP($AI316,Programma!$F$3:$V$1101,17,0),"")</f>
        <v>_</v>
      </c>
      <c r="AZ316" s="114" t="str">
        <f>_xlfn.IFNA(VLOOKUP($AI316,Programma!$F$3:$W$1101,18,0),"")</f>
        <v>_</v>
      </c>
      <c r="BA316" s="114" t="str">
        <f>_xlfn.IFNA(VLOOKUP($AI316,Programma!$F$3:$X$1101,19,0),"")</f>
        <v>_</v>
      </c>
      <c r="BB316" s="114" t="str">
        <f>_xlfn.IFNA(VLOOKUP($AI316,Programma!$F$3:$Y$1101,20,0),"")</f>
        <v>_</v>
      </c>
      <c r="BC316" s="111"/>
      <c r="BD316" s="110" t="str">
        <f>IF(Ruimtestaat[[#This Row],[Frequentie weekend]]="","",_xlfn.CONCAT(Ruimtestaat[[#This Row],[Ruimte code]],"-",Ruimtestaat[[#This Row],[Frequentie weekend]]," ",Ruimtestaat[[#This Row],[Vloer code]]))</f>
        <v/>
      </c>
      <c r="BE316" s="114" t="str">
        <f>_xlfn.IFNA(VLOOKUP($BD316,Programma!$F$3:$G$1101,2,0),"")</f>
        <v/>
      </c>
      <c r="BF316" s="114" t="str">
        <f>_xlfn.IFNA(VLOOKUP($BD316,Programma!$F$3:$H$1101,3,0),"")</f>
        <v/>
      </c>
      <c r="BG316" s="114" t="str">
        <f>_xlfn.IFNA(VLOOKUP($BD316,Programma!$F$3:$I$1101,4,0),"")</f>
        <v/>
      </c>
      <c r="BH316" s="114" t="str">
        <f>_xlfn.IFNA(VLOOKUP($BD316,Programma!$F$3:$J$1101,5,0),"")</f>
        <v/>
      </c>
      <c r="BI316" s="114" t="str">
        <f>_xlfn.IFNA(VLOOKUP($BD316,Programma!$F$3:$K$1101,6,0),"")</f>
        <v/>
      </c>
      <c r="BJ316" s="114" t="str">
        <f>_xlfn.IFNA(VLOOKUP($BD316,Programma!$F$3:$L$1101,7,0),"")</f>
        <v/>
      </c>
      <c r="BK316" s="114" t="str">
        <f>_xlfn.IFNA(VLOOKUP($BD316,Programma!$F$3:$M$1101,8,0),"")</f>
        <v/>
      </c>
      <c r="BL316" s="114" t="str">
        <f>_xlfn.IFNA(VLOOKUP($BD316,Programma!$F$3:$N$1101,9,0),"")</f>
        <v/>
      </c>
      <c r="BM316" s="114" t="str">
        <f>_xlfn.IFNA(VLOOKUP($BD316,Programma!$F$3:$O$1101,10,0),"")</f>
        <v/>
      </c>
      <c r="BN316" s="114" t="str">
        <f>_xlfn.IFNA(VLOOKUP($BD316,Programma!$F$3:$P$1101,11,0),"")</f>
        <v/>
      </c>
      <c r="BO316" s="114" t="str">
        <f>_xlfn.IFNA(VLOOKUP($BD316,Programma!$F$3:$Q$1101,12,0),"")</f>
        <v/>
      </c>
      <c r="BP316" s="114" t="str">
        <f>_xlfn.IFNA(VLOOKUP($BD316,Programma!$F$3:$R$1101,13,0),"")</f>
        <v/>
      </c>
      <c r="BQ316" s="114" t="str">
        <f>_xlfn.IFNA(VLOOKUP($BD316,Programma!$F$3:$S$1101,14,0),"")</f>
        <v/>
      </c>
      <c r="BR316" s="114" t="str">
        <f>_xlfn.IFNA(VLOOKUP($BD316,Programma!$F$3:$T$1101,15,0),"")</f>
        <v/>
      </c>
      <c r="BS316" s="114" t="str">
        <f>_xlfn.IFNA(VLOOKUP($BD316,Programma!$F$3:$U$1101,16,0),"")</f>
        <v/>
      </c>
      <c r="BT316" s="114" t="str">
        <f>_xlfn.IFNA(VLOOKUP($BD316,Programma!$F$3:$V$1101,17,0),"")</f>
        <v/>
      </c>
      <c r="BU316" s="114" t="str">
        <f>_xlfn.IFNA(VLOOKUP($BD316,Programma!$F$3:$W$1101,18,0),"")</f>
        <v/>
      </c>
      <c r="BV316" s="114" t="str">
        <f>_xlfn.IFNA(VLOOKUP($BD316,Programma!$F$3:$X$1101,19,0),"")</f>
        <v/>
      </c>
      <c r="BW316" s="114" t="str">
        <f>_xlfn.IFNA(VLOOKUP($BD316,Programma!$F$3:$Y$1101,20,0),"")</f>
        <v/>
      </c>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8"/>
      <c r="FH316" s="28"/>
      <c r="FI316" s="28"/>
      <c r="FJ316" s="28"/>
      <c r="FK316" s="28"/>
      <c r="FL316" s="28"/>
      <c r="FM316" s="28"/>
      <c r="FN316" s="28"/>
      <c r="FO316" s="28"/>
      <c r="FP316" s="28"/>
      <c r="FQ316" s="28"/>
      <c r="FR316" s="28"/>
      <c r="FS316" s="28"/>
      <c r="FT316" s="28"/>
      <c r="FU316" s="28"/>
      <c r="FV316" s="28"/>
      <c r="FW316" s="28"/>
      <c r="FX316" s="28"/>
      <c r="FY316" s="28"/>
      <c r="FZ316" s="28"/>
      <c r="GA316" s="28"/>
      <c r="GB316" s="28"/>
      <c r="GC316" s="28"/>
      <c r="GD316" s="28"/>
      <c r="GE316" s="28"/>
      <c r="GF316" s="28"/>
      <c r="GG316" s="28"/>
      <c r="GH316" s="28"/>
      <c r="GI316" s="28"/>
      <c r="GJ316" s="28"/>
      <c r="GK316" s="28"/>
      <c r="GL316" s="28"/>
      <c r="GM316" s="28"/>
      <c r="GN316" s="28"/>
      <c r="GO316" s="28"/>
      <c r="GP316" s="28"/>
      <c r="GQ316" s="28"/>
      <c r="GR316" s="28"/>
      <c r="GS316" s="28"/>
      <c r="GT316" s="28"/>
      <c r="GU316" s="28"/>
      <c r="GV316" s="28"/>
      <c r="GW316" s="28"/>
      <c r="GX316" s="28"/>
      <c r="GY316" s="28"/>
      <c r="GZ316" s="28"/>
      <c r="HA316" s="28"/>
      <c r="HB316" s="28"/>
      <c r="HC316" s="28"/>
      <c r="HD316" s="28"/>
      <c r="HE316" s="28"/>
      <c r="HF316" s="28"/>
      <c r="HG316" s="28"/>
      <c r="HH316" s="28"/>
      <c r="HI316" s="28"/>
      <c r="HJ316" s="28"/>
      <c r="HK316" s="28"/>
      <c r="HL316" s="28"/>
    </row>
    <row r="317" spans="1:220" ht="15" customHeight="1">
      <c r="A317" s="31">
        <v>6</v>
      </c>
      <c r="B317" s="105" t="str">
        <f>VLOOKUP(Ruimtestaat[[#This Row],[Code]],Locaties[[Code]:[Locatie]],2,FALSE)</f>
        <v>IKC Joannes</v>
      </c>
      <c r="C317" s="105" t="str">
        <f>VLOOKUP(Ruimtestaat[[#This Row],[Code]],Locaties[[#All],[Code]:[Adres]],4,FALSE)</f>
        <v>Kerkakkers 4</v>
      </c>
      <c r="D317" s="105" t="str">
        <f>VLOOKUP(Ruimtestaat[[#This Row],[Code]],Locaties[[#All],[Code]:[Postcode]],5,FALSE)</f>
        <v>6923 BZ</v>
      </c>
      <c r="E317" s="105" t="str">
        <f>VLOOKUP(Ruimtestaat[[#This Row],[Code]],Locaties[#All],6,FALSE)</f>
        <v>Groessen</v>
      </c>
      <c r="F317" s="113" t="s">
        <v>1921</v>
      </c>
      <c r="G317" s="31" t="s">
        <v>1645</v>
      </c>
      <c r="H317" s="31" t="s">
        <v>1943</v>
      </c>
      <c r="I317" s="113" t="s">
        <v>1652</v>
      </c>
      <c r="J317" s="31">
        <v>20</v>
      </c>
      <c r="K317" s="113" t="str">
        <f>VLOOKUP(Ruimtestaat[[#This Row],[Ruimte code]],Ruimtegroepen[[#All],[Code]:[Ruimte omschrijving]],2,FALSE)</f>
        <v>Niet in Onderhoud</v>
      </c>
      <c r="M317" s="31"/>
      <c r="N317" s="106"/>
      <c r="O317" s="112"/>
      <c r="P317" s="112"/>
      <c r="Q317" s="107">
        <f>VLOOKUP(Ruimtestaat[[#This Row],[Ruimte code]],Ruimtegroepen[],4,FALSE)</f>
        <v>0</v>
      </c>
      <c r="R317" s="73"/>
      <c r="S317" s="73"/>
      <c r="T317" s="73">
        <f>IF(R317&gt;0,IF(RIGHT(Ruimtestaat[[#This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7" s="73">
        <f>IF(T317&gt;0,VLOOKUP($J317,Ruimtegroepen[],3,FALSE)*VLOOKUP($L317,Vloersoorten[],3,FALSE)*VLOOKUP($S317,Frequenties[],3,FALSE)*VLOOKUP($A317,Locaties[],3,FALSE),0)</f>
        <v>0</v>
      </c>
      <c r="V317" s="73">
        <f>Ruimtestaat[[#This Row],[Uitvoeringen werkdagen]]*Ruimtestaat[[#This Row],[Oppervlak (netto)]]</f>
        <v>0</v>
      </c>
      <c r="W317" s="108">
        <f>IF(U317&gt;0,Ruimtestaat[[#This Row],[Prest. (m2 /jaar) werkdagen]]/Ruimtestaat[[#This Row],[Norm (m2/uur) werkdagen]],0)</f>
        <v>0</v>
      </c>
      <c r="X317" s="109">
        <f>Ruimtestaat[[#This Row],[uren / jaar werkdagen]]*Tariefsopbouw!$E$35</f>
        <v>0</v>
      </c>
      <c r="Y317" s="73"/>
      <c r="Z317" s="73">
        <f>IF(Ruimtestaat[[#This Row],[Frequentie weekend]]&gt;0,VALUE(LEFT(Y317,1))*R317,0)</f>
        <v>0</v>
      </c>
      <c r="AA317" s="72">
        <f>IF($Z317&gt;0,VLOOKUP($J317,Ruimtegroepen[],3,FALSE)*VLOOKUP($L317,Vloersoorten[],3,FALSE)*VLOOKUP($Y317,Frequenties[],3,FALSE)*VLOOKUP(Ruimtestaat[[#This Row],[Code]],Locaties[],3,FALSE),0)</f>
        <v>0</v>
      </c>
      <c r="AB317" s="72">
        <f>Ruimtestaat[[#This Row],[Uitvoeringen weekend]]*Ruimtestaat[[#This Row],[Oppervlak (netto)]]</f>
        <v>0</v>
      </c>
      <c r="AC317" s="72">
        <f>IF(AA317&gt;0,Ruimtestaat[[#This Row],[Prest. (m2 /jaar) weekend]]/Ruimtestaat[[#This Row],[Norm (m2/uur) weekend]],0)</f>
        <v>0</v>
      </c>
      <c r="AD317" s="109">
        <f>Ruimtestaat[[#This Row],[uren / jaar weekend]]*Tariefsopbouw!$D$40</f>
        <v>0</v>
      </c>
      <c r="AE317" s="108">
        <f>Ruimtestaat[[#This Row],[Prest. (m2 /jaar) weekend]]+Ruimtestaat[[#This Row],[Prest. (m2 /jaar) werkdagen]]</f>
        <v>0</v>
      </c>
      <c r="AF317" s="108">
        <f>Ruimtestaat[[#This Row],[uren / jaar weekend]]+Ruimtestaat[[#This Row],[uren / jaar werkdagen]]</f>
        <v>0</v>
      </c>
      <c r="AG317" s="103">
        <f>Ruimtestaat[[#This Row],[kosten / jaar weekend]]+Ruimtestaat[[#This Row],[kosten / jaar werkdagen]]</f>
        <v>0</v>
      </c>
      <c r="AH317" s="103"/>
      <c r="AI317" s="110" t="str">
        <f>IF(Ruimtestaat[[#This Row],[Frequentie werkdagen]]="","",_xlfn.CONCAT(Ruimtestaat[[#This Row],[Ruimte code]],"-",Ruimtestaat[[#This Row],[Frequentie werkdagen]]," ",Ruimtestaat[[#This Row],[Vloer code]]))</f>
        <v/>
      </c>
      <c r="AJ317" s="114" t="str">
        <f>_xlfn.IFNA(VLOOKUP($AI317,Programma!$F$3:$G$1101,2,0),"")</f>
        <v/>
      </c>
      <c r="AK317" s="114" t="str">
        <f>_xlfn.IFNA(VLOOKUP($AI317,Programma!$F$3:$H$1101,3,0),"")</f>
        <v/>
      </c>
      <c r="AL317" s="114" t="str">
        <f>_xlfn.IFNA(VLOOKUP($AI317,Programma!$F$3:$I$1101,4,0),"")</f>
        <v/>
      </c>
      <c r="AM317" s="114" t="str">
        <f>_xlfn.IFNA(VLOOKUP($AI317,Programma!$F$3:$J$1101,5,0),"")</f>
        <v/>
      </c>
      <c r="AN317" s="114" t="str">
        <f>_xlfn.IFNA(VLOOKUP($AI317,Programma!$F$3:$K$1101,6,0),"")</f>
        <v/>
      </c>
      <c r="AO317" s="114" t="str">
        <f>_xlfn.IFNA(VLOOKUP($AI317,Programma!$F$3:$L$1101,7,0),"")</f>
        <v/>
      </c>
      <c r="AP317" s="114" t="str">
        <f>_xlfn.IFNA(VLOOKUP($AI317,Programma!$F$3:$M$1101,8,0),"")</f>
        <v/>
      </c>
      <c r="AQ317" s="114" t="str">
        <f>_xlfn.IFNA(VLOOKUP($AI317,Programma!$F$3:$N$1101,9,0),"")</f>
        <v/>
      </c>
      <c r="AR317" s="114" t="str">
        <f>_xlfn.IFNA(VLOOKUP($AI317,Programma!$F$3:$O$1101,10,0),"")</f>
        <v/>
      </c>
      <c r="AS317" s="114" t="str">
        <f>_xlfn.IFNA(VLOOKUP($AI317,Programma!$F$3:$P$1101,11,0),"")</f>
        <v/>
      </c>
      <c r="AT317" s="114" t="str">
        <f>_xlfn.IFNA(VLOOKUP($AI317,Programma!$F$3:$Q$1101,12,0),"")</f>
        <v/>
      </c>
      <c r="AU317" s="114" t="str">
        <f>_xlfn.IFNA(VLOOKUP($AI317,Programma!$F$3:$R$1101,13,0),"")</f>
        <v/>
      </c>
      <c r="AV317" s="114" t="str">
        <f>_xlfn.IFNA(VLOOKUP($AI317,Programma!$F$3:$S$1101,14,0),"")</f>
        <v/>
      </c>
      <c r="AW317" s="114" t="str">
        <f>_xlfn.IFNA(VLOOKUP($AI317,Programma!$F$3:$T$1101,15,0),"")</f>
        <v/>
      </c>
      <c r="AX317" s="114" t="str">
        <f>_xlfn.IFNA(VLOOKUP($AI317,Programma!$F$3:$U$1101,16,0),"")</f>
        <v/>
      </c>
      <c r="AY317" s="114" t="str">
        <f>_xlfn.IFNA(VLOOKUP($AI317,Programma!$F$3:$V$1101,17,0),"")</f>
        <v/>
      </c>
      <c r="AZ317" s="114" t="str">
        <f>_xlfn.IFNA(VLOOKUP($AI317,Programma!$F$3:$W$1101,18,0),"")</f>
        <v/>
      </c>
      <c r="BA317" s="114" t="str">
        <f>_xlfn.IFNA(VLOOKUP($AI317,Programma!$F$3:$X$1101,19,0),"")</f>
        <v/>
      </c>
      <c r="BB317" s="114" t="str">
        <f>_xlfn.IFNA(VLOOKUP($AI317,Programma!$F$3:$Y$1101,20,0),"")</f>
        <v/>
      </c>
      <c r="BC317" s="111"/>
      <c r="BD317" s="110" t="str">
        <f>IF(Ruimtestaat[[#This Row],[Frequentie weekend]]="","",_xlfn.CONCAT(Ruimtestaat[[#This Row],[Ruimte code]],"-",Ruimtestaat[[#This Row],[Frequentie weekend]]," ",Ruimtestaat[[#This Row],[Vloer code]]))</f>
        <v/>
      </c>
      <c r="BE317" s="114" t="str">
        <f>_xlfn.IFNA(VLOOKUP($BD317,Programma!$F$3:$G$1101,2,0),"")</f>
        <v/>
      </c>
      <c r="BF317" s="114" t="str">
        <f>_xlfn.IFNA(VLOOKUP($BD317,Programma!$F$3:$H$1101,3,0),"")</f>
        <v/>
      </c>
      <c r="BG317" s="114" t="str">
        <f>_xlfn.IFNA(VLOOKUP($BD317,Programma!$F$3:$I$1101,4,0),"")</f>
        <v/>
      </c>
      <c r="BH317" s="114" t="str">
        <f>_xlfn.IFNA(VLOOKUP($BD317,Programma!$F$3:$J$1101,5,0),"")</f>
        <v/>
      </c>
      <c r="BI317" s="114" t="str">
        <f>_xlfn.IFNA(VLOOKUP($BD317,Programma!$F$3:$K$1101,6,0),"")</f>
        <v/>
      </c>
      <c r="BJ317" s="114" t="str">
        <f>_xlfn.IFNA(VLOOKUP($BD317,Programma!$F$3:$L$1101,7,0),"")</f>
        <v/>
      </c>
      <c r="BK317" s="114" t="str">
        <f>_xlfn.IFNA(VLOOKUP($BD317,Programma!$F$3:$M$1101,8,0),"")</f>
        <v/>
      </c>
      <c r="BL317" s="114" t="str">
        <f>_xlfn.IFNA(VLOOKUP($BD317,Programma!$F$3:$N$1101,9,0),"")</f>
        <v/>
      </c>
      <c r="BM317" s="114" t="str">
        <f>_xlfn.IFNA(VLOOKUP($BD317,Programma!$F$3:$O$1101,10,0),"")</f>
        <v/>
      </c>
      <c r="BN317" s="114" t="str">
        <f>_xlfn.IFNA(VLOOKUP($BD317,Programma!$F$3:$P$1101,11,0),"")</f>
        <v/>
      </c>
      <c r="BO317" s="114" t="str">
        <f>_xlfn.IFNA(VLOOKUP($BD317,Programma!$F$3:$Q$1101,12,0),"")</f>
        <v/>
      </c>
      <c r="BP317" s="114" t="str">
        <f>_xlfn.IFNA(VLOOKUP($BD317,Programma!$F$3:$R$1101,13,0),"")</f>
        <v/>
      </c>
      <c r="BQ317" s="114" t="str">
        <f>_xlfn.IFNA(VLOOKUP($BD317,Programma!$F$3:$S$1101,14,0),"")</f>
        <v/>
      </c>
      <c r="BR317" s="114" t="str">
        <f>_xlfn.IFNA(VLOOKUP($BD317,Programma!$F$3:$T$1101,15,0),"")</f>
        <v/>
      </c>
      <c r="BS317" s="114" t="str">
        <f>_xlfn.IFNA(VLOOKUP($BD317,Programma!$F$3:$U$1101,16,0),"")</f>
        <v/>
      </c>
      <c r="BT317" s="114" t="str">
        <f>_xlfn.IFNA(VLOOKUP($BD317,Programma!$F$3:$V$1101,17,0),"")</f>
        <v/>
      </c>
      <c r="BU317" s="114" t="str">
        <f>_xlfn.IFNA(VLOOKUP($BD317,Programma!$F$3:$W$1101,18,0),"")</f>
        <v/>
      </c>
      <c r="BV317" s="114" t="str">
        <f>_xlfn.IFNA(VLOOKUP($BD317,Programma!$F$3:$X$1101,19,0),"")</f>
        <v/>
      </c>
      <c r="BW317" s="114" t="str">
        <f>_xlfn.IFNA(VLOOKUP($BD317,Programma!$F$3:$Y$1101,20,0),"")</f>
        <v/>
      </c>
      <c r="BX317" s="28"/>
      <c r="BY317" s="28"/>
      <c r="BZ317" s="28"/>
      <c r="CA317" s="28"/>
      <c r="CB317" s="28"/>
      <c r="CC317" s="28"/>
      <c r="CD317" s="28"/>
      <c r="CE317" s="28"/>
      <c r="CF317" s="28"/>
      <c r="CG317" s="28"/>
      <c r="CH317" s="28"/>
      <c r="CI317" s="28"/>
      <c r="CJ317" s="28"/>
      <c r="CK317" s="28"/>
      <c r="CL317" s="28"/>
      <c r="CM317" s="28"/>
      <c r="CN317" s="28"/>
      <c r="CO317" s="28"/>
      <c r="CP317" s="28"/>
      <c r="CQ317" s="28"/>
      <c r="CR317" s="28"/>
      <c r="CS317" s="28"/>
      <c r="CT317" s="28"/>
      <c r="CU317" s="28"/>
      <c r="CV317" s="28"/>
      <c r="CW317" s="28"/>
      <c r="CX317" s="28"/>
      <c r="CY317" s="28"/>
      <c r="CZ317" s="28"/>
      <c r="DA317" s="28"/>
      <c r="DB317" s="28"/>
      <c r="DC317" s="28"/>
      <c r="DD317" s="28"/>
      <c r="DE317" s="28"/>
      <c r="DF317" s="28"/>
      <c r="DG317" s="28"/>
      <c r="DH317" s="28"/>
      <c r="DI317" s="28"/>
      <c r="DJ317" s="28"/>
      <c r="DK317" s="28"/>
      <c r="DL317" s="28"/>
      <c r="DM317" s="28"/>
      <c r="DN317" s="28"/>
      <c r="DO317" s="28"/>
      <c r="DP317" s="28"/>
      <c r="DQ317" s="28"/>
      <c r="DR317" s="28"/>
      <c r="DS317" s="28"/>
      <c r="DT317" s="28"/>
      <c r="DU317" s="28"/>
      <c r="DV317" s="28"/>
      <c r="DW317" s="28"/>
      <c r="DX317" s="28"/>
      <c r="DY317" s="28"/>
      <c r="DZ317" s="28"/>
      <c r="EA317" s="28"/>
      <c r="EB317" s="28"/>
      <c r="EC317" s="28"/>
      <c r="ED317" s="28"/>
      <c r="EE317" s="28"/>
      <c r="EF317" s="28"/>
      <c r="EG317" s="28"/>
      <c r="EH317" s="28"/>
      <c r="EI317" s="28"/>
      <c r="EJ317" s="28"/>
      <c r="EK317" s="28"/>
      <c r="EL317" s="28"/>
      <c r="EM317" s="28"/>
      <c r="EN317" s="28"/>
      <c r="EO317" s="28"/>
      <c r="EP317" s="28"/>
      <c r="EQ317" s="28"/>
      <c r="ER317" s="28"/>
      <c r="ES317" s="28"/>
      <c r="ET317" s="28"/>
      <c r="EU317" s="28"/>
      <c r="EV317" s="28"/>
      <c r="EW317" s="28"/>
      <c r="EX317" s="28"/>
      <c r="EY317" s="28"/>
      <c r="EZ317" s="28"/>
      <c r="FA317" s="28"/>
      <c r="FB317" s="28"/>
      <c r="FC317" s="28"/>
      <c r="FD317" s="28"/>
      <c r="FE317" s="28"/>
      <c r="FF317" s="28"/>
      <c r="FG317" s="28"/>
      <c r="FH317" s="28"/>
      <c r="FI317" s="28"/>
      <c r="FJ317" s="28"/>
      <c r="FK317" s="28"/>
      <c r="FL317" s="28"/>
      <c r="FM317" s="28"/>
      <c r="FN317" s="28"/>
      <c r="FO317" s="28"/>
      <c r="FP317" s="28"/>
      <c r="FQ317" s="28"/>
      <c r="FR317" s="28"/>
      <c r="FS317" s="28"/>
      <c r="FT317" s="28"/>
      <c r="FU317" s="28"/>
      <c r="FV317" s="28"/>
      <c r="FW317" s="28"/>
      <c r="FX317" s="28"/>
      <c r="FY317" s="28"/>
      <c r="FZ317" s="28"/>
      <c r="GA317" s="28"/>
      <c r="GB317" s="28"/>
      <c r="GC317" s="28"/>
      <c r="GD317" s="28"/>
      <c r="GE317" s="28"/>
      <c r="GF317" s="28"/>
      <c r="GG317" s="28"/>
      <c r="GH317" s="28"/>
      <c r="GI317" s="28"/>
      <c r="GJ317" s="28"/>
      <c r="GK317" s="28"/>
      <c r="GL317" s="28"/>
      <c r="GM317" s="28"/>
      <c r="GN317" s="28"/>
      <c r="GO317" s="28"/>
      <c r="GP317" s="28"/>
      <c r="GQ317" s="28"/>
      <c r="GR317" s="28"/>
      <c r="GS317" s="28"/>
      <c r="GT317" s="28"/>
      <c r="GU317" s="28"/>
      <c r="GV317" s="28"/>
      <c r="GW317" s="28"/>
      <c r="GX317" s="28"/>
      <c r="GY317" s="28"/>
      <c r="GZ317" s="28"/>
      <c r="HA317" s="28"/>
      <c r="HB317" s="28"/>
      <c r="HC317" s="28"/>
      <c r="HD317" s="28"/>
      <c r="HE317" s="28"/>
      <c r="HF317" s="28"/>
      <c r="HG317" s="28"/>
      <c r="HH317" s="28"/>
      <c r="HI317" s="28"/>
      <c r="HJ317" s="28"/>
      <c r="HK317" s="28"/>
      <c r="HL317" s="28"/>
    </row>
    <row r="318" spans="1:220" ht="15" customHeight="1">
      <c r="A318" s="31">
        <v>6</v>
      </c>
      <c r="B318" s="105" t="str">
        <f>VLOOKUP(Ruimtestaat[[#This Row],[Code]],Locaties[[Code]:[Locatie]],2,FALSE)</f>
        <v>IKC Joannes</v>
      </c>
      <c r="C318" s="105" t="str">
        <f>VLOOKUP(Ruimtestaat[[#This Row],[Code]],Locaties[[#All],[Code]:[Adres]],4,FALSE)</f>
        <v>Kerkakkers 4</v>
      </c>
      <c r="D318" s="105" t="str">
        <f>VLOOKUP(Ruimtestaat[[#This Row],[Code]],Locaties[[#All],[Code]:[Postcode]],5,FALSE)</f>
        <v>6923 BZ</v>
      </c>
      <c r="E318" s="105" t="str">
        <f>VLOOKUP(Ruimtestaat[[#This Row],[Code]],Locaties[#All],6,FALSE)</f>
        <v>Groessen</v>
      </c>
      <c r="F318" s="113" t="s">
        <v>1921</v>
      </c>
      <c r="G318" s="31" t="s">
        <v>1645</v>
      </c>
      <c r="H318" s="31" t="s">
        <v>1944</v>
      </c>
      <c r="I318" s="113" t="s">
        <v>1722</v>
      </c>
      <c r="J318" s="31">
        <v>1</v>
      </c>
      <c r="K318" s="113" t="str">
        <f>VLOOKUP(Ruimtestaat[[#This Row],[Ruimte code]],Ruimtegroepen[[#All],[Code]:[Ruimte omschrijving]],2,FALSE)</f>
        <v>Magazijnen/bergingen</v>
      </c>
      <c r="L318" s="31" t="s">
        <v>100</v>
      </c>
      <c r="M318" s="31" t="s">
        <v>1975</v>
      </c>
      <c r="N318" s="106">
        <v>1</v>
      </c>
      <c r="O318" s="112"/>
      <c r="P318" s="112"/>
      <c r="Q318" s="107" t="str">
        <f>VLOOKUP(Ruimtestaat[[#This Row],[Ruimte code]],Ruimtegroepen[],4,FALSE)</f>
        <v>Ve</v>
      </c>
      <c r="R318" s="73">
        <v>40</v>
      </c>
      <c r="S318" s="73" t="s">
        <v>16</v>
      </c>
      <c r="T318" s="73">
        <f>IF(R318&gt;0,IF(RIGHT(Ruimtestaat[[#This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18" s="73">
        <f>IF(T318&gt;0,VLOOKUP($J318,Ruimtegroepen[],3,FALSE)*VLOOKUP($L318,Vloersoorten[],3,FALSE)*VLOOKUP($S318,Frequenties[],3,FALSE)*VLOOKUP($A318,Locaties[],3,FALSE),0)</f>
        <v>0</v>
      </c>
      <c r="V318" s="73">
        <f>Ruimtestaat[[#This Row],[Uitvoeringen werkdagen]]*Ruimtestaat[[#This Row],[Oppervlak (netto)]]</f>
        <v>12</v>
      </c>
      <c r="W318" s="108">
        <f>IF(U318&gt;0,Ruimtestaat[[#This Row],[Prest. (m2 /jaar) werkdagen]]/Ruimtestaat[[#This Row],[Norm (m2/uur) werkdagen]],0)</f>
        <v>0</v>
      </c>
      <c r="X318" s="109">
        <f>Ruimtestaat[[#This Row],[uren / jaar werkdagen]]*Tariefsopbouw!$E$35</f>
        <v>0</v>
      </c>
      <c r="Y318" s="73"/>
      <c r="Z318" s="73">
        <f>IF(Ruimtestaat[[#This Row],[Frequentie weekend]]&gt;0,VALUE(LEFT(Y318,1))*R318,0)</f>
        <v>0</v>
      </c>
      <c r="AA318" s="72">
        <f>IF($Z318&gt;0,VLOOKUP($J318,Ruimtegroepen[],3,FALSE)*VLOOKUP($L318,Vloersoorten[],3,FALSE)*VLOOKUP($Y318,Frequenties[],3,FALSE)*VLOOKUP(Ruimtestaat[[#This Row],[Code]],Locaties[],3,FALSE),0)</f>
        <v>0</v>
      </c>
      <c r="AB318" s="72">
        <f>Ruimtestaat[[#This Row],[Uitvoeringen weekend]]*Ruimtestaat[[#This Row],[Oppervlak (netto)]]</f>
        <v>0</v>
      </c>
      <c r="AC318" s="72">
        <f>IF(AA318&gt;0,Ruimtestaat[[#This Row],[Prest. (m2 /jaar) weekend]]/Ruimtestaat[[#This Row],[Norm (m2/uur) weekend]],0)</f>
        <v>0</v>
      </c>
      <c r="AD318" s="109">
        <f>Ruimtestaat[[#This Row],[uren / jaar weekend]]*Tariefsopbouw!$D$40</f>
        <v>0</v>
      </c>
      <c r="AE318" s="108">
        <f>Ruimtestaat[[#This Row],[Prest. (m2 /jaar) weekend]]+Ruimtestaat[[#This Row],[Prest. (m2 /jaar) werkdagen]]</f>
        <v>12</v>
      </c>
      <c r="AF318" s="108">
        <f>Ruimtestaat[[#This Row],[uren / jaar weekend]]+Ruimtestaat[[#This Row],[uren / jaar werkdagen]]</f>
        <v>0</v>
      </c>
      <c r="AG318" s="103">
        <f>Ruimtestaat[[#This Row],[kosten / jaar weekend]]+Ruimtestaat[[#This Row],[kosten / jaar werkdagen]]</f>
        <v>0</v>
      </c>
      <c r="AH318" s="103"/>
      <c r="AI318" s="110" t="str">
        <f>IF(Ruimtestaat[[#This Row],[Frequentie werkdagen]]="","",_xlfn.CONCAT(Ruimtestaat[[#This Row],[Ruimte code]],"-",Ruimtestaat[[#This Row],[Frequentie werkdagen]]," ",Ruimtestaat[[#This Row],[Vloer code]]))</f>
        <v>1-1m L</v>
      </c>
      <c r="AJ318" s="114" t="str">
        <f>_xlfn.IFNA(VLOOKUP($AI318,Programma!$F$3:$G$1101,2,0),"")</f>
        <v>_</v>
      </c>
      <c r="AK318" s="114" t="str">
        <f>_xlfn.IFNA(VLOOKUP($AI318,Programma!$F$3:$H$1101,3,0),"")</f>
        <v>_</v>
      </c>
      <c r="AL318" s="114" t="str">
        <f>_xlfn.IFNA(VLOOKUP($AI318,Programma!$F$3:$I$1101,4,0),"")</f>
        <v>1m</v>
      </c>
      <c r="AM318" s="114" t="str">
        <f>_xlfn.IFNA(VLOOKUP($AI318,Programma!$F$3:$J$1101,5,0),"")</f>
        <v>1m</v>
      </c>
      <c r="AN318" s="114" t="str">
        <f>_xlfn.IFNA(VLOOKUP($AI318,Programma!$F$3:$K$1101,6,0),"")</f>
        <v>_</v>
      </c>
      <c r="AO318" s="114" t="str">
        <f>_xlfn.IFNA(VLOOKUP($AI318,Programma!$F$3:$L$1101,7,0),"")</f>
        <v>_</v>
      </c>
      <c r="AP318" s="114" t="str">
        <f>_xlfn.IFNA(VLOOKUP($AI318,Programma!$F$3:$M$1101,8,0),"")</f>
        <v>_</v>
      </c>
      <c r="AQ318" s="114" t="str">
        <f>_xlfn.IFNA(VLOOKUP($AI318,Programma!$F$3:$N$1101,9,0),"")</f>
        <v>_</v>
      </c>
      <c r="AR318" s="114" t="str">
        <f>_xlfn.IFNA(VLOOKUP($AI318,Programma!$F$3:$O$1101,10,0),"")</f>
        <v>_</v>
      </c>
      <c r="AS318" s="114" t="str">
        <f>_xlfn.IFNA(VLOOKUP($AI318,Programma!$F$3:$P$1101,11,0),"")</f>
        <v>_</v>
      </c>
      <c r="AT318" s="114" t="str">
        <f>_xlfn.IFNA(VLOOKUP($AI318,Programma!$F$3:$Q$1101,12,0),"")</f>
        <v>_</v>
      </c>
      <c r="AU318" s="114" t="str">
        <f>_xlfn.IFNA(VLOOKUP($AI318,Programma!$F$3:$R$1101,13,0),"")</f>
        <v>_</v>
      </c>
      <c r="AV318" s="114" t="str">
        <f>_xlfn.IFNA(VLOOKUP($AI318,Programma!$F$3:$S$1101,14,0),"")</f>
        <v>1m</v>
      </c>
      <c r="AW318" s="114" t="str">
        <f>_xlfn.IFNA(VLOOKUP($AI318,Programma!$F$3:$T$1101,15,0),"")</f>
        <v>4j</v>
      </c>
      <c r="AX318" s="114" t="str">
        <f>_xlfn.IFNA(VLOOKUP($AI318,Programma!$F$3:$U$1101,16,0),"")</f>
        <v>4j</v>
      </c>
      <c r="AY318" s="114" t="str">
        <f>_xlfn.IFNA(VLOOKUP($AI318,Programma!$F$3:$V$1101,17,0),"")</f>
        <v>_</v>
      </c>
      <c r="AZ318" s="114" t="str">
        <f>_xlfn.IFNA(VLOOKUP($AI318,Programma!$F$3:$W$1101,18,0),"")</f>
        <v>_</v>
      </c>
      <c r="BA318" s="114" t="str">
        <f>_xlfn.IFNA(VLOOKUP($AI318,Programma!$F$3:$X$1101,19,0),"")</f>
        <v>_</v>
      </c>
      <c r="BB318" s="114" t="str">
        <f>_xlfn.IFNA(VLOOKUP($AI318,Programma!$F$3:$Y$1101,20,0),"")</f>
        <v>_</v>
      </c>
      <c r="BC318" s="111"/>
      <c r="BD318" s="110" t="str">
        <f>IF(Ruimtestaat[[#This Row],[Frequentie weekend]]="","",_xlfn.CONCAT(Ruimtestaat[[#This Row],[Ruimte code]],"-",Ruimtestaat[[#This Row],[Frequentie weekend]]," ",Ruimtestaat[[#This Row],[Vloer code]]))</f>
        <v/>
      </c>
      <c r="BE318" s="114" t="str">
        <f>_xlfn.IFNA(VLOOKUP($BD318,Programma!$F$3:$G$1101,2,0),"")</f>
        <v/>
      </c>
      <c r="BF318" s="114" t="str">
        <f>_xlfn.IFNA(VLOOKUP($BD318,Programma!$F$3:$H$1101,3,0),"")</f>
        <v/>
      </c>
      <c r="BG318" s="114" t="str">
        <f>_xlfn.IFNA(VLOOKUP($BD318,Programma!$F$3:$I$1101,4,0),"")</f>
        <v/>
      </c>
      <c r="BH318" s="114" t="str">
        <f>_xlfn.IFNA(VLOOKUP($BD318,Programma!$F$3:$J$1101,5,0),"")</f>
        <v/>
      </c>
      <c r="BI318" s="114" t="str">
        <f>_xlfn.IFNA(VLOOKUP($BD318,Programma!$F$3:$K$1101,6,0),"")</f>
        <v/>
      </c>
      <c r="BJ318" s="114" t="str">
        <f>_xlfn.IFNA(VLOOKUP($BD318,Programma!$F$3:$L$1101,7,0),"")</f>
        <v/>
      </c>
      <c r="BK318" s="114" t="str">
        <f>_xlfn.IFNA(VLOOKUP($BD318,Programma!$F$3:$M$1101,8,0),"")</f>
        <v/>
      </c>
      <c r="BL318" s="114" t="str">
        <f>_xlfn.IFNA(VLOOKUP($BD318,Programma!$F$3:$N$1101,9,0),"")</f>
        <v/>
      </c>
      <c r="BM318" s="114" t="str">
        <f>_xlfn.IFNA(VLOOKUP($BD318,Programma!$F$3:$O$1101,10,0),"")</f>
        <v/>
      </c>
      <c r="BN318" s="114" t="str">
        <f>_xlfn.IFNA(VLOOKUP($BD318,Programma!$F$3:$P$1101,11,0),"")</f>
        <v/>
      </c>
      <c r="BO318" s="114" t="str">
        <f>_xlfn.IFNA(VLOOKUP($BD318,Programma!$F$3:$Q$1101,12,0),"")</f>
        <v/>
      </c>
      <c r="BP318" s="114" t="str">
        <f>_xlfn.IFNA(VLOOKUP($BD318,Programma!$F$3:$R$1101,13,0),"")</f>
        <v/>
      </c>
      <c r="BQ318" s="114" t="str">
        <f>_xlfn.IFNA(VLOOKUP($BD318,Programma!$F$3:$S$1101,14,0),"")</f>
        <v/>
      </c>
      <c r="BR318" s="114" t="str">
        <f>_xlfn.IFNA(VLOOKUP($BD318,Programma!$F$3:$T$1101,15,0),"")</f>
        <v/>
      </c>
      <c r="BS318" s="114" t="str">
        <f>_xlfn.IFNA(VLOOKUP($BD318,Programma!$F$3:$U$1101,16,0),"")</f>
        <v/>
      </c>
      <c r="BT318" s="114" t="str">
        <f>_xlfn.IFNA(VLOOKUP($BD318,Programma!$F$3:$V$1101,17,0),"")</f>
        <v/>
      </c>
      <c r="BU318" s="114" t="str">
        <f>_xlfn.IFNA(VLOOKUP($BD318,Programma!$F$3:$W$1101,18,0),"")</f>
        <v/>
      </c>
      <c r="BV318" s="114" t="str">
        <f>_xlfn.IFNA(VLOOKUP($BD318,Programma!$F$3:$X$1101,19,0),"")</f>
        <v/>
      </c>
      <c r="BW318" s="114" t="str">
        <f>_xlfn.IFNA(VLOOKUP($BD318,Programma!$F$3:$Y$1101,20,0),"")</f>
        <v/>
      </c>
      <c r="BX318" s="28"/>
      <c r="BY318" s="28"/>
      <c r="BZ318" s="28"/>
      <c r="CA318" s="28"/>
      <c r="CB318" s="28"/>
      <c r="CC318" s="28"/>
      <c r="CD318" s="28"/>
      <c r="CE318" s="28"/>
      <c r="CF318" s="28"/>
      <c r="CG318" s="28"/>
      <c r="CH318" s="28"/>
      <c r="CI318" s="28"/>
      <c r="CJ318" s="28"/>
      <c r="CK318" s="28"/>
      <c r="CL318" s="28"/>
      <c r="CM318" s="28"/>
      <c r="CN318" s="28"/>
      <c r="CO318" s="28"/>
      <c r="CP318" s="28"/>
      <c r="CQ318" s="28"/>
      <c r="CR318" s="28"/>
      <c r="CS318" s="28"/>
      <c r="CT318" s="28"/>
      <c r="CU318" s="28"/>
      <c r="CV318" s="28"/>
      <c r="CW318" s="28"/>
      <c r="CX318" s="28"/>
      <c r="CY318" s="28"/>
      <c r="CZ318" s="28"/>
      <c r="DA318" s="28"/>
      <c r="DB318" s="28"/>
      <c r="DC318" s="28"/>
      <c r="DD318" s="28"/>
      <c r="DE318" s="28"/>
      <c r="DF318" s="28"/>
      <c r="DG318" s="28"/>
      <c r="DH318" s="28"/>
      <c r="DI318" s="28"/>
      <c r="DJ318" s="28"/>
      <c r="DK318" s="28"/>
      <c r="DL318" s="28"/>
      <c r="DM318" s="28"/>
      <c r="DN318" s="28"/>
      <c r="DO318" s="28"/>
      <c r="DP318" s="28"/>
      <c r="DQ318" s="28"/>
      <c r="DR318" s="28"/>
      <c r="DS318" s="28"/>
      <c r="DT318" s="28"/>
      <c r="DU318" s="28"/>
      <c r="DV318" s="28"/>
      <c r="DW318" s="28"/>
      <c r="DX318" s="28"/>
      <c r="DY318" s="28"/>
      <c r="DZ318" s="28"/>
      <c r="EA318" s="28"/>
      <c r="EB318" s="28"/>
      <c r="EC318" s="28"/>
      <c r="ED318" s="28"/>
      <c r="EE318" s="28"/>
      <c r="EF318" s="28"/>
      <c r="EG318" s="28"/>
      <c r="EH318" s="28"/>
      <c r="EI318" s="28"/>
      <c r="EJ318" s="28"/>
      <c r="EK318" s="28"/>
      <c r="EL318" s="28"/>
      <c r="EM318" s="28"/>
      <c r="EN318" s="28"/>
      <c r="EO318" s="28"/>
      <c r="EP318" s="28"/>
      <c r="EQ318" s="28"/>
      <c r="ER318" s="28"/>
      <c r="ES318" s="28"/>
      <c r="ET318" s="28"/>
      <c r="EU318" s="28"/>
      <c r="EV318" s="28"/>
      <c r="EW318" s="28"/>
      <c r="EX318" s="28"/>
      <c r="EY318" s="28"/>
      <c r="EZ318" s="28"/>
      <c r="FA318" s="28"/>
      <c r="FB318" s="28"/>
      <c r="FC318" s="28"/>
      <c r="FD318" s="28"/>
      <c r="FE318" s="28"/>
      <c r="FF318" s="28"/>
      <c r="FG318" s="28"/>
      <c r="FH318" s="28"/>
      <c r="FI318" s="28"/>
      <c r="FJ318" s="28"/>
      <c r="FK318" s="28"/>
      <c r="FL318" s="28"/>
      <c r="FM318" s="28"/>
      <c r="FN318" s="28"/>
      <c r="FO318" s="28"/>
      <c r="FP318" s="28"/>
      <c r="FQ318" s="28"/>
      <c r="FR318" s="28"/>
      <c r="FS318" s="28"/>
      <c r="FT318" s="28"/>
      <c r="FU318" s="28"/>
      <c r="FV318" s="28"/>
      <c r="FW318" s="28"/>
      <c r="FX318" s="28"/>
      <c r="FY318" s="28"/>
      <c r="FZ318" s="28"/>
      <c r="GA318" s="28"/>
      <c r="GB318" s="28"/>
      <c r="GC318" s="28"/>
      <c r="GD318" s="28"/>
      <c r="GE318" s="28"/>
      <c r="GF318" s="28"/>
      <c r="GG318" s="28"/>
      <c r="GH318" s="28"/>
      <c r="GI318" s="28"/>
      <c r="GJ318" s="28"/>
      <c r="GK318" s="28"/>
      <c r="GL318" s="28"/>
      <c r="GM318" s="28"/>
      <c r="GN318" s="28"/>
      <c r="GO318" s="28"/>
      <c r="GP318" s="28"/>
      <c r="GQ318" s="28"/>
      <c r="GR318" s="28"/>
      <c r="GS318" s="28"/>
      <c r="GT318" s="28"/>
      <c r="GU318" s="28"/>
      <c r="GV318" s="28"/>
      <c r="GW318" s="28"/>
      <c r="GX318" s="28"/>
      <c r="GY318" s="28"/>
      <c r="GZ318" s="28"/>
      <c r="HA318" s="28"/>
      <c r="HB318" s="28"/>
      <c r="HC318" s="28"/>
      <c r="HD318" s="28"/>
      <c r="HE318" s="28"/>
      <c r="HF318" s="28"/>
      <c r="HG318" s="28"/>
      <c r="HH318" s="28"/>
      <c r="HI318" s="28"/>
      <c r="HJ318" s="28"/>
      <c r="HK318" s="28"/>
      <c r="HL318" s="28"/>
    </row>
    <row r="319" spans="1:220" ht="15" customHeight="1">
      <c r="A319" s="31">
        <v>6</v>
      </c>
      <c r="B319" s="105" t="str">
        <f>VLOOKUP(Ruimtestaat[[#This Row],[Code]],Locaties[[Code]:[Locatie]],2,FALSE)</f>
        <v>IKC Joannes</v>
      </c>
      <c r="C319" s="105" t="str">
        <f>VLOOKUP(Ruimtestaat[[#This Row],[Code]],Locaties[[#All],[Code]:[Adres]],4,FALSE)</f>
        <v>Kerkakkers 4</v>
      </c>
      <c r="D319" s="105" t="str">
        <f>VLOOKUP(Ruimtestaat[[#This Row],[Code]],Locaties[[#All],[Code]:[Postcode]],5,FALSE)</f>
        <v>6923 BZ</v>
      </c>
      <c r="E319" s="105" t="str">
        <f>VLOOKUP(Ruimtestaat[[#This Row],[Code]],Locaties[#All],6,FALSE)</f>
        <v>Groessen</v>
      </c>
      <c r="F319" s="113" t="s">
        <v>1921</v>
      </c>
      <c r="G319" s="31" t="s">
        <v>1645</v>
      </c>
      <c r="H319" s="31" t="s">
        <v>1945</v>
      </c>
      <c r="I319" s="113" t="s">
        <v>1650</v>
      </c>
      <c r="J319" s="31">
        <v>20</v>
      </c>
      <c r="K319" s="113" t="str">
        <f>VLOOKUP(Ruimtestaat[[#This Row],[Ruimte code]],Ruimtegroepen[[#All],[Code]:[Ruimte omschrijving]],2,FALSE)</f>
        <v>Niet in Onderhoud</v>
      </c>
      <c r="M319" s="31"/>
      <c r="N319" s="106"/>
      <c r="O319" s="112"/>
      <c r="P319" s="112"/>
      <c r="Q319" s="107">
        <f>VLOOKUP(Ruimtestaat[[#This Row],[Ruimte code]],Ruimtegroepen[],4,FALSE)</f>
        <v>0</v>
      </c>
      <c r="R319" s="73"/>
      <c r="S319" s="73"/>
      <c r="T319" s="73">
        <f>IF(R319&gt;0,IF(RIGHT(Ruimtestaat[[#This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9" s="73">
        <f>IF(T319&gt;0,VLOOKUP($J319,Ruimtegroepen[],3,FALSE)*VLOOKUP($L319,Vloersoorten[],3,FALSE)*VLOOKUP($S319,Frequenties[],3,FALSE)*VLOOKUP($A319,Locaties[],3,FALSE),0)</f>
        <v>0</v>
      </c>
      <c r="V319" s="73">
        <f>Ruimtestaat[[#This Row],[Uitvoeringen werkdagen]]*Ruimtestaat[[#This Row],[Oppervlak (netto)]]</f>
        <v>0</v>
      </c>
      <c r="W319" s="108">
        <f>IF(U319&gt;0,Ruimtestaat[[#This Row],[Prest. (m2 /jaar) werkdagen]]/Ruimtestaat[[#This Row],[Norm (m2/uur) werkdagen]],0)</f>
        <v>0</v>
      </c>
      <c r="X319" s="109">
        <f>Ruimtestaat[[#This Row],[uren / jaar werkdagen]]*Tariefsopbouw!$E$35</f>
        <v>0</v>
      </c>
      <c r="Y319" s="73"/>
      <c r="Z319" s="73">
        <f>IF(Ruimtestaat[[#This Row],[Frequentie weekend]]&gt;0,VALUE(LEFT(Y319,1))*R319,0)</f>
        <v>0</v>
      </c>
      <c r="AA319" s="72">
        <f>IF($Z319&gt;0,VLOOKUP($J319,Ruimtegroepen[],3,FALSE)*VLOOKUP($L319,Vloersoorten[],3,FALSE)*VLOOKUP($Y319,Frequenties[],3,FALSE)*VLOOKUP(Ruimtestaat[[#This Row],[Code]],Locaties[],3,FALSE),0)</f>
        <v>0</v>
      </c>
      <c r="AB319" s="72">
        <f>Ruimtestaat[[#This Row],[Uitvoeringen weekend]]*Ruimtestaat[[#This Row],[Oppervlak (netto)]]</f>
        <v>0</v>
      </c>
      <c r="AC319" s="72">
        <f>IF(AA319&gt;0,Ruimtestaat[[#This Row],[Prest. (m2 /jaar) weekend]]/Ruimtestaat[[#This Row],[Norm (m2/uur) weekend]],0)</f>
        <v>0</v>
      </c>
      <c r="AD319" s="109">
        <f>Ruimtestaat[[#This Row],[uren / jaar weekend]]*Tariefsopbouw!$D$40</f>
        <v>0</v>
      </c>
      <c r="AE319" s="108">
        <f>Ruimtestaat[[#This Row],[Prest. (m2 /jaar) weekend]]+Ruimtestaat[[#This Row],[Prest. (m2 /jaar) werkdagen]]</f>
        <v>0</v>
      </c>
      <c r="AF319" s="108">
        <f>Ruimtestaat[[#This Row],[uren / jaar weekend]]+Ruimtestaat[[#This Row],[uren / jaar werkdagen]]</f>
        <v>0</v>
      </c>
      <c r="AG319" s="103">
        <f>Ruimtestaat[[#This Row],[kosten / jaar weekend]]+Ruimtestaat[[#This Row],[kosten / jaar werkdagen]]</f>
        <v>0</v>
      </c>
      <c r="AH319" s="103"/>
      <c r="AI319" s="110" t="str">
        <f>IF(Ruimtestaat[[#This Row],[Frequentie werkdagen]]="","",_xlfn.CONCAT(Ruimtestaat[[#This Row],[Ruimte code]],"-",Ruimtestaat[[#This Row],[Frequentie werkdagen]]," ",Ruimtestaat[[#This Row],[Vloer code]]))</f>
        <v/>
      </c>
      <c r="AJ319" s="114" t="str">
        <f>_xlfn.IFNA(VLOOKUP($AI319,Programma!$F$3:$G$1101,2,0),"")</f>
        <v/>
      </c>
      <c r="AK319" s="114" t="str">
        <f>_xlfn.IFNA(VLOOKUP($AI319,Programma!$F$3:$H$1101,3,0),"")</f>
        <v/>
      </c>
      <c r="AL319" s="114" t="str">
        <f>_xlfn.IFNA(VLOOKUP($AI319,Programma!$F$3:$I$1101,4,0),"")</f>
        <v/>
      </c>
      <c r="AM319" s="114" t="str">
        <f>_xlfn.IFNA(VLOOKUP($AI319,Programma!$F$3:$J$1101,5,0),"")</f>
        <v/>
      </c>
      <c r="AN319" s="114" t="str">
        <f>_xlfn.IFNA(VLOOKUP($AI319,Programma!$F$3:$K$1101,6,0),"")</f>
        <v/>
      </c>
      <c r="AO319" s="114" t="str">
        <f>_xlfn.IFNA(VLOOKUP($AI319,Programma!$F$3:$L$1101,7,0),"")</f>
        <v/>
      </c>
      <c r="AP319" s="114" t="str">
        <f>_xlfn.IFNA(VLOOKUP($AI319,Programma!$F$3:$M$1101,8,0),"")</f>
        <v/>
      </c>
      <c r="AQ319" s="114" t="str">
        <f>_xlfn.IFNA(VLOOKUP($AI319,Programma!$F$3:$N$1101,9,0),"")</f>
        <v/>
      </c>
      <c r="AR319" s="114" t="str">
        <f>_xlfn.IFNA(VLOOKUP($AI319,Programma!$F$3:$O$1101,10,0),"")</f>
        <v/>
      </c>
      <c r="AS319" s="114" t="str">
        <f>_xlfn.IFNA(VLOOKUP($AI319,Programma!$F$3:$P$1101,11,0),"")</f>
        <v/>
      </c>
      <c r="AT319" s="114" t="str">
        <f>_xlfn.IFNA(VLOOKUP($AI319,Programma!$F$3:$Q$1101,12,0),"")</f>
        <v/>
      </c>
      <c r="AU319" s="114" t="str">
        <f>_xlfn.IFNA(VLOOKUP($AI319,Programma!$F$3:$R$1101,13,0),"")</f>
        <v/>
      </c>
      <c r="AV319" s="114" t="str">
        <f>_xlfn.IFNA(VLOOKUP($AI319,Programma!$F$3:$S$1101,14,0),"")</f>
        <v/>
      </c>
      <c r="AW319" s="114" t="str">
        <f>_xlfn.IFNA(VLOOKUP($AI319,Programma!$F$3:$T$1101,15,0),"")</f>
        <v/>
      </c>
      <c r="AX319" s="114" t="str">
        <f>_xlfn.IFNA(VLOOKUP($AI319,Programma!$F$3:$U$1101,16,0),"")</f>
        <v/>
      </c>
      <c r="AY319" s="114" t="str">
        <f>_xlfn.IFNA(VLOOKUP($AI319,Programma!$F$3:$V$1101,17,0),"")</f>
        <v/>
      </c>
      <c r="AZ319" s="114" t="str">
        <f>_xlfn.IFNA(VLOOKUP($AI319,Programma!$F$3:$W$1101,18,0),"")</f>
        <v/>
      </c>
      <c r="BA319" s="114" t="str">
        <f>_xlfn.IFNA(VLOOKUP($AI319,Programma!$F$3:$X$1101,19,0),"")</f>
        <v/>
      </c>
      <c r="BB319" s="114" t="str">
        <f>_xlfn.IFNA(VLOOKUP($AI319,Programma!$F$3:$Y$1101,20,0),"")</f>
        <v/>
      </c>
      <c r="BC319" s="111"/>
      <c r="BD319" s="110" t="str">
        <f>IF(Ruimtestaat[[#This Row],[Frequentie weekend]]="","",_xlfn.CONCAT(Ruimtestaat[[#This Row],[Ruimte code]],"-",Ruimtestaat[[#This Row],[Frequentie weekend]]," ",Ruimtestaat[[#This Row],[Vloer code]]))</f>
        <v/>
      </c>
      <c r="BE319" s="114" t="str">
        <f>_xlfn.IFNA(VLOOKUP($BD319,Programma!$F$3:$G$1101,2,0),"")</f>
        <v/>
      </c>
      <c r="BF319" s="114" t="str">
        <f>_xlfn.IFNA(VLOOKUP($BD319,Programma!$F$3:$H$1101,3,0),"")</f>
        <v/>
      </c>
      <c r="BG319" s="114" t="str">
        <f>_xlfn.IFNA(VLOOKUP($BD319,Programma!$F$3:$I$1101,4,0),"")</f>
        <v/>
      </c>
      <c r="BH319" s="114" t="str">
        <f>_xlfn.IFNA(VLOOKUP($BD319,Programma!$F$3:$J$1101,5,0),"")</f>
        <v/>
      </c>
      <c r="BI319" s="114" t="str">
        <f>_xlfn.IFNA(VLOOKUP($BD319,Programma!$F$3:$K$1101,6,0),"")</f>
        <v/>
      </c>
      <c r="BJ319" s="114" t="str">
        <f>_xlfn.IFNA(VLOOKUP($BD319,Programma!$F$3:$L$1101,7,0),"")</f>
        <v/>
      </c>
      <c r="BK319" s="114" t="str">
        <f>_xlfn.IFNA(VLOOKUP($BD319,Programma!$F$3:$M$1101,8,0),"")</f>
        <v/>
      </c>
      <c r="BL319" s="114" t="str">
        <f>_xlfn.IFNA(VLOOKUP($BD319,Programma!$F$3:$N$1101,9,0),"")</f>
        <v/>
      </c>
      <c r="BM319" s="114" t="str">
        <f>_xlfn.IFNA(VLOOKUP($BD319,Programma!$F$3:$O$1101,10,0),"")</f>
        <v/>
      </c>
      <c r="BN319" s="114" t="str">
        <f>_xlfn.IFNA(VLOOKUP($BD319,Programma!$F$3:$P$1101,11,0),"")</f>
        <v/>
      </c>
      <c r="BO319" s="114" t="str">
        <f>_xlfn.IFNA(VLOOKUP($BD319,Programma!$F$3:$Q$1101,12,0),"")</f>
        <v/>
      </c>
      <c r="BP319" s="114" t="str">
        <f>_xlfn.IFNA(VLOOKUP($BD319,Programma!$F$3:$R$1101,13,0),"")</f>
        <v/>
      </c>
      <c r="BQ319" s="114" t="str">
        <f>_xlfn.IFNA(VLOOKUP($BD319,Programma!$F$3:$S$1101,14,0),"")</f>
        <v/>
      </c>
      <c r="BR319" s="114" t="str">
        <f>_xlfn.IFNA(VLOOKUP($BD319,Programma!$F$3:$T$1101,15,0),"")</f>
        <v/>
      </c>
      <c r="BS319" s="114" t="str">
        <f>_xlfn.IFNA(VLOOKUP($BD319,Programma!$F$3:$U$1101,16,0),"")</f>
        <v/>
      </c>
      <c r="BT319" s="114" t="str">
        <f>_xlfn.IFNA(VLOOKUP($BD319,Programma!$F$3:$V$1101,17,0),"")</f>
        <v/>
      </c>
      <c r="BU319" s="114" t="str">
        <f>_xlfn.IFNA(VLOOKUP($BD319,Programma!$F$3:$W$1101,18,0),"")</f>
        <v/>
      </c>
      <c r="BV319" s="114" t="str">
        <f>_xlfn.IFNA(VLOOKUP($BD319,Programma!$F$3:$X$1101,19,0),"")</f>
        <v/>
      </c>
      <c r="BW319" s="114" t="str">
        <f>_xlfn.IFNA(VLOOKUP($BD319,Programma!$F$3:$Y$1101,20,0),"")</f>
        <v/>
      </c>
      <c r="BX319" s="28"/>
      <c r="BY319" s="28"/>
      <c r="BZ319" s="28"/>
      <c r="CA319" s="28"/>
      <c r="CB319" s="28"/>
      <c r="CC319" s="28"/>
      <c r="CD319" s="28"/>
      <c r="CE319" s="28"/>
      <c r="CF319" s="28"/>
      <c r="CG319" s="28"/>
      <c r="CH319" s="28"/>
      <c r="CI319" s="28"/>
      <c r="CJ319" s="28"/>
      <c r="CK319" s="28"/>
      <c r="CL319" s="28"/>
      <c r="CM319" s="28"/>
      <c r="CN319" s="28"/>
      <c r="CO319" s="28"/>
      <c r="CP319" s="28"/>
      <c r="CQ319" s="28"/>
      <c r="CR319" s="28"/>
      <c r="CS319" s="28"/>
      <c r="CT319" s="28"/>
      <c r="CU319" s="28"/>
      <c r="CV319" s="28"/>
      <c r="CW319" s="28"/>
      <c r="CX319" s="28"/>
      <c r="CY319" s="28"/>
      <c r="CZ319" s="28"/>
      <c r="DA319" s="28"/>
      <c r="DB319" s="28"/>
      <c r="DC319" s="28"/>
      <c r="DD319" s="28"/>
      <c r="DE319" s="28"/>
      <c r="DF319" s="28"/>
      <c r="DG319" s="28"/>
      <c r="DH319" s="28"/>
      <c r="DI319" s="28"/>
      <c r="DJ319" s="28"/>
      <c r="DK319" s="28"/>
      <c r="DL319" s="28"/>
      <c r="DM319" s="28"/>
      <c r="DN319" s="28"/>
      <c r="DO319" s="28"/>
      <c r="DP319" s="28"/>
      <c r="DQ319" s="28"/>
      <c r="DR319" s="28"/>
      <c r="DS319" s="28"/>
      <c r="DT319" s="28"/>
      <c r="DU319" s="28"/>
      <c r="DV319" s="28"/>
      <c r="DW319" s="28"/>
      <c r="DX319" s="28"/>
      <c r="DY319" s="28"/>
      <c r="DZ319" s="28"/>
      <c r="EA319" s="28"/>
      <c r="EB319" s="28"/>
      <c r="EC319" s="28"/>
      <c r="ED319" s="28"/>
      <c r="EE319" s="28"/>
      <c r="EF319" s="28"/>
      <c r="EG319" s="28"/>
      <c r="EH319" s="28"/>
      <c r="EI319" s="28"/>
      <c r="EJ319" s="28"/>
      <c r="EK319" s="28"/>
      <c r="EL319" s="28"/>
      <c r="EM319" s="28"/>
      <c r="EN319" s="28"/>
      <c r="EO319" s="28"/>
      <c r="EP319" s="28"/>
      <c r="EQ319" s="28"/>
      <c r="ER319" s="28"/>
      <c r="ES319" s="28"/>
      <c r="ET319" s="28"/>
      <c r="EU319" s="28"/>
      <c r="EV319" s="28"/>
      <c r="EW319" s="28"/>
      <c r="EX319" s="28"/>
      <c r="EY319" s="28"/>
      <c r="EZ319" s="28"/>
      <c r="FA319" s="28"/>
      <c r="FB319" s="28"/>
      <c r="FC319" s="28"/>
      <c r="FD319" s="28"/>
      <c r="FE319" s="28"/>
      <c r="FF319" s="28"/>
      <c r="FG319" s="28"/>
      <c r="FH319" s="28"/>
      <c r="FI319" s="28"/>
      <c r="FJ319" s="28"/>
      <c r="FK319" s="28"/>
      <c r="FL319" s="28"/>
      <c r="FM319" s="28"/>
      <c r="FN319" s="28"/>
      <c r="FO319" s="28"/>
      <c r="FP319" s="28"/>
      <c r="FQ319" s="28"/>
      <c r="FR319" s="28"/>
      <c r="FS319" s="28"/>
      <c r="FT319" s="28"/>
      <c r="FU319" s="28"/>
      <c r="FV319" s="28"/>
      <c r="FW319" s="28"/>
      <c r="FX319" s="28"/>
      <c r="FY319" s="28"/>
      <c r="FZ319" s="28"/>
      <c r="GA319" s="28"/>
      <c r="GB319" s="28"/>
      <c r="GC319" s="28"/>
      <c r="GD319" s="28"/>
      <c r="GE319" s="28"/>
      <c r="GF319" s="28"/>
      <c r="GG319" s="28"/>
      <c r="GH319" s="28"/>
      <c r="GI319" s="28"/>
      <c r="GJ319" s="28"/>
      <c r="GK319" s="28"/>
      <c r="GL319" s="28"/>
      <c r="GM319" s="28"/>
      <c r="GN319" s="28"/>
      <c r="GO319" s="28"/>
      <c r="GP319" s="28"/>
      <c r="GQ319" s="28"/>
      <c r="GR319" s="28"/>
      <c r="GS319" s="28"/>
      <c r="GT319" s="28"/>
      <c r="GU319" s="28"/>
      <c r="GV319" s="28"/>
      <c r="GW319" s="28"/>
      <c r="GX319" s="28"/>
      <c r="GY319" s="28"/>
      <c r="GZ319" s="28"/>
      <c r="HA319" s="28"/>
      <c r="HB319" s="28"/>
      <c r="HC319" s="28"/>
      <c r="HD319" s="28"/>
      <c r="HE319" s="28"/>
      <c r="HF319" s="28"/>
      <c r="HG319" s="28"/>
      <c r="HH319" s="28"/>
      <c r="HI319" s="28"/>
      <c r="HJ319" s="28"/>
      <c r="HK319" s="28"/>
      <c r="HL319" s="28"/>
    </row>
    <row r="320" spans="1:220" ht="15" customHeight="1">
      <c r="A320" s="31">
        <v>6</v>
      </c>
      <c r="B320" s="105" t="str">
        <f>VLOOKUP(Ruimtestaat[[#This Row],[Code]],Locaties[[Code]:[Locatie]],2,FALSE)</f>
        <v>IKC Joannes</v>
      </c>
      <c r="C320" s="105" t="str">
        <f>VLOOKUP(Ruimtestaat[[#This Row],[Code]],Locaties[[#All],[Code]:[Adres]],4,FALSE)</f>
        <v>Kerkakkers 4</v>
      </c>
      <c r="D320" s="105" t="str">
        <f>VLOOKUP(Ruimtestaat[[#This Row],[Code]],Locaties[[#All],[Code]:[Postcode]],5,FALSE)</f>
        <v>6923 BZ</v>
      </c>
      <c r="E320" s="105" t="str">
        <f>VLOOKUP(Ruimtestaat[[#This Row],[Code]],Locaties[#All],6,FALSE)</f>
        <v>Groessen</v>
      </c>
      <c r="F320" s="113" t="s">
        <v>1921</v>
      </c>
      <c r="G320" s="31" t="s">
        <v>1645</v>
      </c>
      <c r="H320" s="31" t="s">
        <v>1946</v>
      </c>
      <c r="I320" s="113" t="s">
        <v>1910</v>
      </c>
      <c r="J320" s="31">
        <v>5</v>
      </c>
      <c r="K320" s="113" t="str">
        <f>VLOOKUP(Ruimtestaat[[#This Row],[Ruimte code]],Ruimtegroepen[[#All],[Code]:[Ruimte omschrijving]],2,FALSE)</f>
        <v>Sanitair</v>
      </c>
      <c r="L320" s="31" t="s">
        <v>101</v>
      </c>
      <c r="M320" s="31" t="s">
        <v>1980</v>
      </c>
      <c r="N320" s="106">
        <v>13</v>
      </c>
      <c r="O320" s="112"/>
      <c r="P320" s="112"/>
      <c r="Q320" s="107" t="str">
        <f>VLOOKUP(Ruimtestaat[[#This Row],[Ruimte code]],Ruimtegroepen[],4,FALSE)</f>
        <v>Sa</v>
      </c>
      <c r="R320" s="73">
        <v>40</v>
      </c>
      <c r="S320" s="73" t="s">
        <v>2</v>
      </c>
      <c r="T320" s="73">
        <f>IF(R320&gt;0,IF(RIGHT(Ruimtestaat[[#This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0" s="73">
        <f>IF(T320&gt;0,VLOOKUP($J320,Ruimtegroepen[],3,FALSE)*VLOOKUP($L320,Vloersoorten[],3,FALSE)*VLOOKUP($S320,Frequenties[],3,FALSE)*VLOOKUP($A320,Locaties[],3,FALSE),0)</f>
        <v>0</v>
      </c>
      <c r="V320" s="73">
        <f>Ruimtestaat[[#This Row],[Uitvoeringen werkdagen]]*Ruimtestaat[[#This Row],[Oppervlak (netto)]]</f>
        <v>2600</v>
      </c>
      <c r="W320" s="108">
        <f>IF(U320&gt;0,Ruimtestaat[[#This Row],[Prest. (m2 /jaar) werkdagen]]/Ruimtestaat[[#This Row],[Norm (m2/uur) werkdagen]],0)</f>
        <v>0</v>
      </c>
      <c r="X320" s="109">
        <f>Ruimtestaat[[#This Row],[uren / jaar werkdagen]]*Tariefsopbouw!$E$35</f>
        <v>0</v>
      </c>
      <c r="Y320" s="73"/>
      <c r="Z320" s="73">
        <f>IF(Ruimtestaat[[#This Row],[Frequentie weekend]]&gt;0,VALUE(LEFT(Y320,1))*R320,0)</f>
        <v>0</v>
      </c>
      <c r="AA320" s="72">
        <f>IF($Z320&gt;0,VLOOKUP($J320,Ruimtegroepen[],3,FALSE)*VLOOKUP($L320,Vloersoorten[],3,FALSE)*VLOOKUP($Y320,Frequenties[],3,FALSE)*VLOOKUP(Ruimtestaat[[#This Row],[Code]],Locaties[],3,FALSE),0)</f>
        <v>0</v>
      </c>
      <c r="AB320" s="72">
        <f>Ruimtestaat[[#This Row],[Uitvoeringen weekend]]*Ruimtestaat[[#This Row],[Oppervlak (netto)]]</f>
        <v>0</v>
      </c>
      <c r="AC320" s="72">
        <f>IF(AA320&gt;0,Ruimtestaat[[#This Row],[Prest. (m2 /jaar) weekend]]/Ruimtestaat[[#This Row],[Norm (m2/uur) weekend]],0)</f>
        <v>0</v>
      </c>
      <c r="AD320" s="109">
        <f>Ruimtestaat[[#This Row],[uren / jaar weekend]]*Tariefsopbouw!$D$40</f>
        <v>0</v>
      </c>
      <c r="AE320" s="108">
        <f>Ruimtestaat[[#This Row],[Prest. (m2 /jaar) weekend]]+Ruimtestaat[[#This Row],[Prest. (m2 /jaar) werkdagen]]</f>
        <v>2600</v>
      </c>
      <c r="AF320" s="108">
        <f>Ruimtestaat[[#This Row],[uren / jaar weekend]]+Ruimtestaat[[#This Row],[uren / jaar werkdagen]]</f>
        <v>0</v>
      </c>
      <c r="AG320" s="103">
        <f>Ruimtestaat[[#This Row],[kosten / jaar weekend]]+Ruimtestaat[[#This Row],[kosten / jaar werkdagen]]</f>
        <v>0</v>
      </c>
      <c r="AH320" s="103"/>
      <c r="AI320" s="110" t="str">
        <f>IF(Ruimtestaat[[#This Row],[Frequentie werkdagen]]="","",_xlfn.CONCAT(Ruimtestaat[[#This Row],[Ruimte code]],"-",Ruimtestaat[[#This Row],[Frequentie werkdagen]]," ",Ruimtestaat[[#This Row],[Vloer code]]))</f>
        <v>5-5w S</v>
      </c>
      <c r="AJ320" s="114" t="str">
        <f>_xlfn.IFNA(VLOOKUP($AI320,Programma!$F$3:$G$1101,2,0),"")</f>
        <v>_</v>
      </c>
      <c r="AK320" s="114" t="str">
        <f>_xlfn.IFNA(VLOOKUP($AI320,Programma!$F$3:$H$1101,3,0),"")</f>
        <v>_</v>
      </c>
      <c r="AL320" s="114" t="str">
        <f>_xlfn.IFNA(VLOOKUP($AI320,Programma!$F$3:$I$1101,4,0),"")</f>
        <v>_</v>
      </c>
      <c r="AM320" s="114" t="str">
        <f>_xlfn.IFNA(VLOOKUP($AI320,Programma!$F$3:$J$1101,5,0),"")</f>
        <v>4w</v>
      </c>
      <c r="AN320" s="114" t="str">
        <f>_xlfn.IFNA(VLOOKUP($AI320,Programma!$F$3:$K$1101,6,0),"")</f>
        <v>1w</v>
      </c>
      <c r="AO320" s="114" t="str">
        <f>_xlfn.IFNA(VLOOKUP($AI320,Programma!$F$3:$L$1101,7,0),"")</f>
        <v>_</v>
      </c>
      <c r="AP320" s="114" t="str">
        <f>_xlfn.IFNA(VLOOKUP($AI320,Programma!$F$3:$M$1101,8,0),"")</f>
        <v>_</v>
      </c>
      <c r="AQ320" s="114" t="str">
        <f>_xlfn.IFNA(VLOOKUP($AI320,Programma!$F$3:$N$1101,9,0),"")</f>
        <v>_</v>
      </c>
      <c r="AR320" s="114" t="str">
        <f>_xlfn.IFNA(VLOOKUP($AI320,Programma!$F$3:$O$1101,10,0),"")</f>
        <v>_</v>
      </c>
      <c r="AS320" s="114" t="str">
        <f>_xlfn.IFNA(VLOOKUP($AI320,Programma!$F$3:$P$1101,11,0),"")</f>
        <v>_</v>
      </c>
      <c r="AT320" s="114" t="str">
        <f>_xlfn.IFNA(VLOOKUP($AI320,Programma!$F$3:$Q$1101,12,0),"")</f>
        <v>_</v>
      </c>
      <c r="AU320" s="114" t="str">
        <f>_xlfn.IFNA(VLOOKUP($AI320,Programma!$F$3:$R$1101,13,0),"")</f>
        <v>_</v>
      </c>
      <c r="AV320" s="114" t="str">
        <f>_xlfn.IFNA(VLOOKUP($AI320,Programma!$F$3:$S$1101,14,0),"")</f>
        <v>_</v>
      </c>
      <c r="AW320" s="114" t="str">
        <f>_xlfn.IFNA(VLOOKUP($AI320,Programma!$F$3:$T$1101,15,0),"")</f>
        <v>_</v>
      </c>
      <c r="AX320" s="114" t="str">
        <f>_xlfn.IFNA(VLOOKUP($AI320,Programma!$F$3:$U$1101,16,0),"")</f>
        <v>_</v>
      </c>
      <c r="AY320" s="114" t="str">
        <f>_xlfn.IFNA(VLOOKUP($AI320,Programma!$F$3:$V$1101,17,0),"")</f>
        <v>_</v>
      </c>
      <c r="AZ320" s="114" t="str">
        <f>_xlfn.IFNA(VLOOKUP($AI320,Programma!$F$3:$W$1101,18,0),"")</f>
        <v>4w</v>
      </c>
      <c r="BA320" s="114" t="str">
        <f>_xlfn.IFNA(VLOOKUP($AI320,Programma!$F$3:$X$1101,19,0),"")</f>
        <v>1w</v>
      </c>
      <c r="BB320" s="114" t="str">
        <f>_xlfn.IFNA(VLOOKUP($AI320,Programma!$F$3:$Y$1101,20,0),"")</f>
        <v>_</v>
      </c>
      <c r="BC320" s="111"/>
      <c r="BD320" s="110" t="str">
        <f>IF(Ruimtestaat[[#This Row],[Frequentie weekend]]="","",_xlfn.CONCAT(Ruimtestaat[[#This Row],[Ruimte code]],"-",Ruimtestaat[[#This Row],[Frequentie weekend]]," ",Ruimtestaat[[#This Row],[Vloer code]]))</f>
        <v/>
      </c>
      <c r="BE320" s="114" t="str">
        <f>_xlfn.IFNA(VLOOKUP($BD320,Programma!$F$3:$G$1101,2,0),"")</f>
        <v/>
      </c>
      <c r="BF320" s="114" t="str">
        <f>_xlfn.IFNA(VLOOKUP($BD320,Programma!$F$3:$H$1101,3,0),"")</f>
        <v/>
      </c>
      <c r="BG320" s="114" t="str">
        <f>_xlfn.IFNA(VLOOKUP($BD320,Programma!$F$3:$I$1101,4,0),"")</f>
        <v/>
      </c>
      <c r="BH320" s="114" t="str">
        <f>_xlfn.IFNA(VLOOKUP($BD320,Programma!$F$3:$J$1101,5,0),"")</f>
        <v/>
      </c>
      <c r="BI320" s="114" t="str">
        <f>_xlfn.IFNA(VLOOKUP($BD320,Programma!$F$3:$K$1101,6,0),"")</f>
        <v/>
      </c>
      <c r="BJ320" s="114" t="str">
        <f>_xlfn.IFNA(VLOOKUP($BD320,Programma!$F$3:$L$1101,7,0),"")</f>
        <v/>
      </c>
      <c r="BK320" s="114" t="str">
        <f>_xlfn.IFNA(VLOOKUP($BD320,Programma!$F$3:$M$1101,8,0),"")</f>
        <v/>
      </c>
      <c r="BL320" s="114" t="str">
        <f>_xlfn.IFNA(VLOOKUP($BD320,Programma!$F$3:$N$1101,9,0),"")</f>
        <v/>
      </c>
      <c r="BM320" s="114" t="str">
        <f>_xlfn.IFNA(VLOOKUP($BD320,Programma!$F$3:$O$1101,10,0),"")</f>
        <v/>
      </c>
      <c r="BN320" s="114" t="str">
        <f>_xlfn.IFNA(VLOOKUP($BD320,Programma!$F$3:$P$1101,11,0),"")</f>
        <v/>
      </c>
      <c r="BO320" s="114" t="str">
        <f>_xlfn.IFNA(VLOOKUP($BD320,Programma!$F$3:$Q$1101,12,0),"")</f>
        <v/>
      </c>
      <c r="BP320" s="114" t="str">
        <f>_xlfn.IFNA(VLOOKUP($BD320,Programma!$F$3:$R$1101,13,0),"")</f>
        <v/>
      </c>
      <c r="BQ320" s="114" t="str">
        <f>_xlfn.IFNA(VLOOKUP($BD320,Programma!$F$3:$S$1101,14,0),"")</f>
        <v/>
      </c>
      <c r="BR320" s="114" t="str">
        <f>_xlfn.IFNA(VLOOKUP($BD320,Programma!$F$3:$T$1101,15,0),"")</f>
        <v/>
      </c>
      <c r="BS320" s="114" t="str">
        <f>_xlfn.IFNA(VLOOKUP($BD320,Programma!$F$3:$U$1101,16,0),"")</f>
        <v/>
      </c>
      <c r="BT320" s="114" t="str">
        <f>_xlfn.IFNA(VLOOKUP($BD320,Programma!$F$3:$V$1101,17,0),"")</f>
        <v/>
      </c>
      <c r="BU320" s="114" t="str">
        <f>_xlfn.IFNA(VLOOKUP($BD320,Programma!$F$3:$W$1101,18,0),"")</f>
        <v/>
      </c>
      <c r="BV320" s="114" t="str">
        <f>_xlfn.IFNA(VLOOKUP($BD320,Programma!$F$3:$X$1101,19,0),"")</f>
        <v/>
      </c>
      <c r="BW320" s="114" t="str">
        <f>_xlfn.IFNA(VLOOKUP($BD320,Programma!$F$3:$Y$1101,20,0),"")</f>
        <v/>
      </c>
      <c r="BX320" s="28"/>
      <c r="BY320" s="28"/>
      <c r="BZ320" s="28"/>
      <c r="CA320" s="28"/>
      <c r="CB320" s="28"/>
      <c r="CC320" s="28"/>
      <c r="CD320" s="28"/>
      <c r="CE320" s="28"/>
      <c r="CF320" s="28"/>
      <c r="CG320" s="28"/>
      <c r="CH320" s="28"/>
      <c r="CI320" s="28"/>
      <c r="CJ320" s="28"/>
      <c r="CK320" s="28"/>
      <c r="CL320" s="28"/>
      <c r="CM320" s="28"/>
      <c r="CN320" s="28"/>
      <c r="CO320" s="28"/>
      <c r="CP320" s="28"/>
      <c r="CQ320" s="28"/>
      <c r="CR320" s="28"/>
      <c r="CS320" s="28"/>
      <c r="CT320" s="28"/>
      <c r="CU320" s="28"/>
      <c r="CV320" s="28"/>
      <c r="CW320" s="28"/>
      <c r="CX320" s="28"/>
      <c r="CY320" s="28"/>
      <c r="CZ320" s="28"/>
      <c r="DA320" s="28"/>
      <c r="DB320" s="28"/>
      <c r="DC320" s="28"/>
      <c r="DD320" s="28"/>
      <c r="DE320" s="28"/>
      <c r="DF320" s="28"/>
      <c r="DG320" s="28"/>
      <c r="DH320" s="28"/>
      <c r="DI320" s="28"/>
      <c r="DJ320" s="28"/>
      <c r="DK320" s="28"/>
      <c r="DL320" s="28"/>
      <c r="DM320" s="28"/>
      <c r="DN320" s="28"/>
      <c r="DO320" s="28"/>
      <c r="DP320" s="28"/>
      <c r="DQ320" s="28"/>
      <c r="DR320" s="28"/>
      <c r="DS320" s="28"/>
      <c r="DT320" s="28"/>
      <c r="DU320" s="28"/>
      <c r="DV320" s="28"/>
      <c r="DW320" s="28"/>
      <c r="DX320" s="28"/>
      <c r="DY320" s="28"/>
      <c r="DZ320" s="28"/>
      <c r="EA320" s="28"/>
      <c r="EB320" s="28"/>
      <c r="EC320" s="28"/>
      <c r="ED320" s="28"/>
      <c r="EE320" s="28"/>
      <c r="EF320" s="28"/>
      <c r="EG320" s="28"/>
      <c r="EH320" s="28"/>
      <c r="EI320" s="28"/>
      <c r="EJ320" s="28"/>
      <c r="EK320" s="28"/>
      <c r="EL320" s="28"/>
      <c r="EM320" s="28"/>
      <c r="EN320" s="28"/>
      <c r="EO320" s="28"/>
      <c r="EP320" s="28"/>
      <c r="EQ320" s="28"/>
      <c r="ER320" s="28"/>
      <c r="ES320" s="28"/>
      <c r="ET320" s="28"/>
      <c r="EU320" s="28"/>
      <c r="EV320" s="28"/>
      <c r="EW320" s="28"/>
      <c r="EX320" s="28"/>
      <c r="EY320" s="28"/>
      <c r="EZ320" s="28"/>
      <c r="FA320" s="28"/>
      <c r="FB320" s="28"/>
      <c r="FC320" s="28"/>
      <c r="FD320" s="28"/>
      <c r="FE320" s="28"/>
      <c r="FF320" s="28"/>
      <c r="FG320" s="28"/>
      <c r="FH320" s="28"/>
      <c r="FI320" s="28"/>
      <c r="FJ320" s="28"/>
      <c r="FK320" s="28"/>
      <c r="FL320" s="28"/>
      <c r="FM320" s="28"/>
      <c r="FN320" s="28"/>
      <c r="FO320" s="28"/>
      <c r="FP320" s="28"/>
      <c r="FQ320" s="28"/>
      <c r="FR320" s="28"/>
      <c r="FS320" s="28"/>
      <c r="FT320" s="28"/>
      <c r="FU320" s="28"/>
      <c r="FV320" s="28"/>
      <c r="FW320" s="28"/>
      <c r="FX320" s="28"/>
      <c r="FY320" s="28"/>
      <c r="FZ320" s="28"/>
      <c r="GA320" s="28"/>
      <c r="GB320" s="28"/>
      <c r="GC320" s="28"/>
      <c r="GD320" s="28"/>
      <c r="GE320" s="28"/>
      <c r="GF320" s="28"/>
      <c r="GG320" s="28"/>
      <c r="GH320" s="28"/>
      <c r="GI320" s="28"/>
      <c r="GJ320" s="28"/>
      <c r="GK320" s="28"/>
      <c r="GL320" s="28"/>
      <c r="GM320" s="28"/>
      <c r="GN320" s="28"/>
      <c r="GO320" s="28"/>
      <c r="GP320" s="28"/>
      <c r="GQ320" s="28"/>
      <c r="GR320" s="28"/>
      <c r="GS320" s="28"/>
      <c r="GT320" s="28"/>
      <c r="GU320" s="28"/>
      <c r="GV320" s="28"/>
      <c r="GW320" s="28"/>
      <c r="GX320" s="28"/>
      <c r="GY320" s="28"/>
      <c r="GZ320" s="28"/>
      <c r="HA320" s="28"/>
      <c r="HB320" s="28"/>
      <c r="HC320" s="28"/>
      <c r="HD320" s="28"/>
      <c r="HE320" s="28"/>
      <c r="HF320" s="28"/>
      <c r="HG320" s="28"/>
      <c r="HH320" s="28"/>
      <c r="HI320" s="28"/>
      <c r="HJ320" s="28"/>
      <c r="HK320" s="28"/>
      <c r="HL320" s="28"/>
    </row>
    <row r="321" spans="1:220" ht="15" customHeight="1">
      <c r="A321" s="31">
        <v>6</v>
      </c>
      <c r="B321" s="105" t="str">
        <f>VLOOKUP(Ruimtestaat[[#This Row],[Code]],Locaties[[Code]:[Locatie]],2,FALSE)</f>
        <v>IKC Joannes</v>
      </c>
      <c r="C321" s="105" t="str">
        <f>VLOOKUP(Ruimtestaat[[#This Row],[Code]],Locaties[[#All],[Code]:[Adres]],4,FALSE)</f>
        <v>Kerkakkers 4</v>
      </c>
      <c r="D321" s="105" t="str">
        <f>VLOOKUP(Ruimtestaat[[#This Row],[Code]],Locaties[[#All],[Code]:[Postcode]],5,FALSE)</f>
        <v>6923 BZ</v>
      </c>
      <c r="E321" s="105" t="str">
        <f>VLOOKUP(Ruimtestaat[[#This Row],[Code]],Locaties[#All],6,FALSE)</f>
        <v>Groessen</v>
      </c>
      <c r="F321" s="113" t="s">
        <v>1921</v>
      </c>
      <c r="G321" s="31" t="s">
        <v>1645</v>
      </c>
      <c r="H321" s="31" t="s">
        <v>1947</v>
      </c>
      <c r="I321" s="113" t="s">
        <v>1911</v>
      </c>
      <c r="J321" s="31">
        <v>5</v>
      </c>
      <c r="K321" s="113" t="str">
        <f>VLOOKUP(Ruimtestaat[[#This Row],[Ruimte code]],Ruimtegroepen[[#All],[Code]:[Ruimte omschrijving]],2,FALSE)</f>
        <v>Sanitair</v>
      </c>
      <c r="L321" s="31" t="s">
        <v>101</v>
      </c>
      <c r="M321" s="31" t="s">
        <v>1980</v>
      </c>
      <c r="N321" s="106">
        <v>13</v>
      </c>
      <c r="O321" s="112"/>
      <c r="P321" s="112"/>
      <c r="Q321" s="107" t="str">
        <f>VLOOKUP(Ruimtestaat[[#This Row],[Ruimte code]],Ruimtegroepen[],4,FALSE)</f>
        <v>Sa</v>
      </c>
      <c r="R321" s="73">
        <v>40</v>
      </c>
      <c r="S321" s="73" t="s">
        <v>2</v>
      </c>
      <c r="T321" s="73">
        <f>IF(R321&gt;0,IF(RIGHT(Ruimtestaat[[#This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1" s="73">
        <f>IF(T321&gt;0,VLOOKUP($J321,Ruimtegroepen[],3,FALSE)*VLOOKUP($L321,Vloersoorten[],3,FALSE)*VLOOKUP($S321,Frequenties[],3,FALSE)*VLOOKUP($A321,Locaties[],3,FALSE),0)</f>
        <v>0</v>
      </c>
      <c r="V321" s="73">
        <f>Ruimtestaat[[#This Row],[Uitvoeringen werkdagen]]*Ruimtestaat[[#This Row],[Oppervlak (netto)]]</f>
        <v>2600</v>
      </c>
      <c r="W321" s="108">
        <f>IF(U321&gt;0,Ruimtestaat[[#This Row],[Prest. (m2 /jaar) werkdagen]]/Ruimtestaat[[#This Row],[Norm (m2/uur) werkdagen]],0)</f>
        <v>0</v>
      </c>
      <c r="X321" s="109">
        <f>Ruimtestaat[[#This Row],[uren / jaar werkdagen]]*Tariefsopbouw!$E$35</f>
        <v>0</v>
      </c>
      <c r="Y321" s="73"/>
      <c r="Z321" s="73">
        <f>IF(Ruimtestaat[[#This Row],[Frequentie weekend]]&gt;0,VALUE(LEFT(Y321,1))*R321,0)</f>
        <v>0</v>
      </c>
      <c r="AA321" s="72">
        <f>IF($Z321&gt;0,VLOOKUP($J321,Ruimtegroepen[],3,FALSE)*VLOOKUP($L321,Vloersoorten[],3,FALSE)*VLOOKUP($Y321,Frequenties[],3,FALSE)*VLOOKUP(Ruimtestaat[[#This Row],[Code]],Locaties[],3,FALSE),0)</f>
        <v>0</v>
      </c>
      <c r="AB321" s="72">
        <f>Ruimtestaat[[#This Row],[Uitvoeringen weekend]]*Ruimtestaat[[#This Row],[Oppervlak (netto)]]</f>
        <v>0</v>
      </c>
      <c r="AC321" s="72">
        <f>IF(AA321&gt;0,Ruimtestaat[[#This Row],[Prest. (m2 /jaar) weekend]]/Ruimtestaat[[#This Row],[Norm (m2/uur) weekend]],0)</f>
        <v>0</v>
      </c>
      <c r="AD321" s="109">
        <f>Ruimtestaat[[#This Row],[uren / jaar weekend]]*Tariefsopbouw!$D$40</f>
        <v>0</v>
      </c>
      <c r="AE321" s="108">
        <f>Ruimtestaat[[#This Row],[Prest. (m2 /jaar) weekend]]+Ruimtestaat[[#This Row],[Prest. (m2 /jaar) werkdagen]]</f>
        <v>2600</v>
      </c>
      <c r="AF321" s="108">
        <f>Ruimtestaat[[#This Row],[uren / jaar weekend]]+Ruimtestaat[[#This Row],[uren / jaar werkdagen]]</f>
        <v>0</v>
      </c>
      <c r="AG321" s="103">
        <f>Ruimtestaat[[#This Row],[kosten / jaar weekend]]+Ruimtestaat[[#This Row],[kosten / jaar werkdagen]]</f>
        <v>0</v>
      </c>
      <c r="AH321" s="103"/>
      <c r="AI321" s="110" t="str">
        <f>IF(Ruimtestaat[[#This Row],[Frequentie werkdagen]]="","",_xlfn.CONCAT(Ruimtestaat[[#This Row],[Ruimte code]],"-",Ruimtestaat[[#This Row],[Frequentie werkdagen]]," ",Ruimtestaat[[#This Row],[Vloer code]]))</f>
        <v>5-5w S</v>
      </c>
      <c r="AJ321" s="114" t="str">
        <f>_xlfn.IFNA(VLOOKUP($AI321,Programma!$F$3:$G$1101,2,0),"")</f>
        <v>_</v>
      </c>
      <c r="AK321" s="114" t="str">
        <f>_xlfn.IFNA(VLOOKUP($AI321,Programma!$F$3:$H$1101,3,0),"")</f>
        <v>_</v>
      </c>
      <c r="AL321" s="114" t="str">
        <f>_xlfn.IFNA(VLOOKUP($AI321,Programma!$F$3:$I$1101,4,0),"")</f>
        <v>_</v>
      </c>
      <c r="AM321" s="114" t="str">
        <f>_xlfn.IFNA(VLOOKUP($AI321,Programma!$F$3:$J$1101,5,0),"")</f>
        <v>4w</v>
      </c>
      <c r="AN321" s="114" t="str">
        <f>_xlfn.IFNA(VLOOKUP($AI321,Programma!$F$3:$K$1101,6,0),"")</f>
        <v>1w</v>
      </c>
      <c r="AO321" s="114" t="str">
        <f>_xlfn.IFNA(VLOOKUP($AI321,Programma!$F$3:$L$1101,7,0),"")</f>
        <v>_</v>
      </c>
      <c r="AP321" s="114" t="str">
        <f>_xlfn.IFNA(VLOOKUP($AI321,Programma!$F$3:$M$1101,8,0),"")</f>
        <v>_</v>
      </c>
      <c r="AQ321" s="114" t="str">
        <f>_xlfn.IFNA(VLOOKUP($AI321,Programma!$F$3:$N$1101,9,0),"")</f>
        <v>_</v>
      </c>
      <c r="AR321" s="114" t="str">
        <f>_xlfn.IFNA(VLOOKUP($AI321,Programma!$F$3:$O$1101,10,0),"")</f>
        <v>_</v>
      </c>
      <c r="AS321" s="114" t="str">
        <f>_xlfn.IFNA(VLOOKUP($AI321,Programma!$F$3:$P$1101,11,0),"")</f>
        <v>_</v>
      </c>
      <c r="AT321" s="114" t="str">
        <f>_xlfn.IFNA(VLOOKUP($AI321,Programma!$F$3:$Q$1101,12,0),"")</f>
        <v>_</v>
      </c>
      <c r="AU321" s="114" t="str">
        <f>_xlfn.IFNA(VLOOKUP($AI321,Programma!$F$3:$R$1101,13,0),"")</f>
        <v>_</v>
      </c>
      <c r="AV321" s="114" t="str">
        <f>_xlfn.IFNA(VLOOKUP($AI321,Programma!$F$3:$S$1101,14,0),"")</f>
        <v>_</v>
      </c>
      <c r="AW321" s="114" t="str">
        <f>_xlfn.IFNA(VLOOKUP($AI321,Programma!$F$3:$T$1101,15,0),"")</f>
        <v>_</v>
      </c>
      <c r="AX321" s="114" t="str">
        <f>_xlfn.IFNA(VLOOKUP($AI321,Programma!$F$3:$U$1101,16,0),"")</f>
        <v>_</v>
      </c>
      <c r="AY321" s="114" t="str">
        <f>_xlfn.IFNA(VLOOKUP($AI321,Programma!$F$3:$V$1101,17,0),"")</f>
        <v>_</v>
      </c>
      <c r="AZ321" s="114" t="str">
        <f>_xlfn.IFNA(VLOOKUP($AI321,Programma!$F$3:$W$1101,18,0),"")</f>
        <v>4w</v>
      </c>
      <c r="BA321" s="114" t="str">
        <f>_xlfn.IFNA(VLOOKUP($AI321,Programma!$F$3:$X$1101,19,0),"")</f>
        <v>1w</v>
      </c>
      <c r="BB321" s="114" t="str">
        <f>_xlfn.IFNA(VLOOKUP($AI321,Programma!$F$3:$Y$1101,20,0),"")</f>
        <v>_</v>
      </c>
      <c r="BC321" s="111"/>
      <c r="BD321" s="110" t="str">
        <f>IF(Ruimtestaat[[#This Row],[Frequentie weekend]]="","",_xlfn.CONCAT(Ruimtestaat[[#This Row],[Ruimte code]],"-",Ruimtestaat[[#This Row],[Frequentie weekend]]," ",Ruimtestaat[[#This Row],[Vloer code]]))</f>
        <v/>
      </c>
      <c r="BE321" s="114" t="str">
        <f>_xlfn.IFNA(VLOOKUP($BD321,Programma!$F$3:$G$1101,2,0),"")</f>
        <v/>
      </c>
      <c r="BF321" s="114" t="str">
        <f>_xlfn.IFNA(VLOOKUP($BD321,Programma!$F$3:$H$1101,3,0),"")</f>
        <v/>
      </c>
      <c r="BG321" s="114" t="str">
        <f>_xlfn.IFNA(VLOOKUP($BD321,Programma!$F$3:$I$1101,4,0),"")</f>
        <v/>
      </c>
      <c r="BH321" s="114" t="str">
        <f>_xlfn.IFNA(VLOOKUP($BD321,Programma!$F$3:$J$1101,5,0),"")</f>
        <v/>
      </c>
      <c r="BI321" s="114" t="str">
        <f>_xlfn.IFNA(VLOOKUP($BD321,Programma!$F$3:$K$1101,6,0),"")</f>
        <v/>
      </c>
      <c r="BJ321" s="114" t="str">
        <f>_xlfn.IFNA(VLOOKUP($BD321,Programma!$F$3:$L$1101,7,0),"")</f>
        <v/>
      </c>
      <c r="BK321" s="114" t="str">
        <f>_xlfn.IFNA(VLOOKUP($BD321,Programma!$F$3:$M$1101,8,0),"")</f>
        <v/>
      </c>
      <c r="BL321" s="114" t="str">
        <f>_xlfn.IFNA(VLOOKUP($BD321,Programma!$F$3:$N$1101,9,0),"")</f>
        <v/>
      </c>
      <c r="BM321" s="114" t="str">
        <f>_xlfn.IFNA(VLOOKUP($BD321,Programma!$F$3:$O$1101,10,0),"")</f>
        <v/>
      </c>
      <c r="BN321" s="114" t="str">
        <f>_xlfn.IFNA(VLOOKUP($BD321,Programma!$F$3:$P$1101,11,0),"")</f>
        <v/>
      </c>
      <c r="BO321" s="114" t="str">
        <f>_xlfn.IFNA(VLOOKUP($BD321,Programma!$F$3:$Q$1101,12,0),"")</f>
        <v/>
      </c>
      <c r="BP321" s="114" t="str">
        <f>_xlfn.IFNA(VLOOKUP($BD321,Programma!$F$3:$R$1101,13,0),"")</f>
        <v/>
      </c>
      <c r="BQ321" s="114" t="str">
        <f>_xlfn.IFNA(VLOOKUP($BD321,Programma!$F$3:$S$1101,14,0),"")</f>
        <v/>
      </c>
      <c r="BR321" s="114" t="str">
        <f>_xlfn.IFNA(VLOOKUP($BD321,Programma!$F$3:$T$1101,15,0),"")</f>
        <v/>
      </c>
      <c r="BS321" s="114" t="str">
        <f>_xlfn.IFNA(VLOOKUP($BD321,Programma!$F$3:$U$1101,16,0),"")</f>
        <v/>
      </c>
      <c r="BT321" s="114" t="str">
        <f>_xlfn.IFNA(VLOOKUP($BD321,Programma!$F$3:$V$1101,17,0),"")</f>
        <v/>
      </c>
      <c r="BU321" s="114" t="str">
        <f>_xlfn.IFNA(VLOOKUP($BD321,Programma!$F$3:$W$1101,18,0),"")</f>
        <v/>
      </c>
      <c r="BV321" s="114" t="str">
        <f>_xlfn.IFNA(VLOOKUP($BD321,Programma!$F$3:$X$1101,19,0),"")</f>
        <v/>
      </c>
      <c r="BW321" s="114" t="str">
        <f>_xlfn.IFNA(VLOOKUP($BD321,Programma!$F$3:$Y$1101,20,0),"")</f>
        <v/>
      </c>
      <c r="BX321" s="28"/>
      <c r="BY321" s="28"/>
      <c r="BZ321" s="28"/>
      <c r="CA321" s="28"/>
      <c r="CB321" s="28"/>
      <c r="CC321" s="28"/>
      <c r="CD321" s="28"/>
      <c r="CE321" s="28"/>
      <c r="CF321" s="28"/>
      <c r="CG321" s="28"/>
      <c r="CH321" s="28"/>
      <c r="CI321" s="28"/>
      <c r="CJ321" s="28"/>
      <c r="CK321" s="28"/>
      <c r="CL321" s="28"/>
      <c r="CM321" s="28"/>
      <c r="CN321" s="28"/>
      <c r="CO321" s="28"/>
      <c r="CP321" s="28"/>
      <c r="CQ321" s="28"/>
      <c r="CR321" s="28"/>
      <c r="CS321" s="28"/>
      <c r="CT321" s="28"/>
      <c r="CU321" s="28"/>
      <c r="CV321" s="28"/>
      <c r="CW321" s="28"/>
      <c r="CX321" s="28"/>
      <c r="CY321" s="28"/>
      <c r="CZ321" s="28"/>
      <c r="DA321" s="28"/>
      <c r="DB321" s="28"/>
      <c r="DC321" s="28"/>
      <c r="DD321" s="28"/>
      <c r="DE321" s="28"/>
      <c r="DF321" s="28"/>
      <c r="DG321" s="28"/>
      <c r="DH321" s="28"/>
      <c r="DI321" s="28"/>
      <c r="DJ321" s="28"/>
      <c r="DK321" s="28"/>
      <c r="DL321" s="28"/>
      <c r="DM321" s="28"/>
      <c r="DN321" s="28"/>
      <c r="DO321" s="28"/>
      <c r="DP321" s="28"/>
      <c r="DQ321" s="28"/>
      <c r="DR321" s="28"/>
      <c r="DS321" s="28"/>
      <c r="DT321" s="28"/>
      <c r="DU321" s="28"/>
      <c r="DV321" s="28"/>
      <c r="DW321" s="28"/>
      <c r="DX321" s="28"/>
      <c r="DY321" s="28"/>
      <c r="DZ321" s="28"/>
      <c r="EA321" s="28"/>
      <c r="EB321" s="28"/>
      <c r="EC321" s="28"/>
      <c r="ED321" s="28"/>
      <c r="EE321" s="28"/>
      <c r="EF321" s="28"/>
      <c r="EG321" s="28"/>
      <c r="EH321" s="28"/>
      <c r="EI321" s="28"/>
      <c r="EJ321" s="28"/>
      <c r="EK321" s="28"/>
      <c r="EL321" s="28"/>
      <c r="EM321" s="28"/>
      <c r="EN321" s="28"/>
      <c r="EO321" s="28"/>
      <c r="EP321" s="28"/>
      <c r="EQ321" s="28"/>
      <c r="ER321" s="28"/>
      <c r="ES321" s="28"/>
      <c r="ET321" s="28"/>
      <c r="EU321" s="28"/>
      <c r="EV321" s="28"/>
      <c r="EW321" s="28"/>
      <c r="EX321" s="28"/>
      <c r="EY321" s="28"/>
      <c r="EZ321" s="28"/>
      <c r="FA321" s="28"/>
      <c r="FB321" s="28"/>
      <c r="FC321" s="28"/>
      <c r="FD321" s="28"/>
      <c r="FE321" s="28"/>
      <c r="FF321" s="28"/>
      <c r="FG321" s="28"/>
      <c r="FH321" s="28"/>
      <c r="FI321" s="28"/>
      <c r="FJ321" s="28"/>
      <c r="FK321" s="28"/>
      <c r="FL321" s="28"/>
      <c r="FM321" s="28"/>
      <c r="FN321" s="28"/>
      <c r="FO321" s="28"/>
      <c r="FP321" s="28"/>
      <c r="FQ321" s="28"/>
      <c r="FR321" s="28"/>
      <c r="FS321" s="28"/>
      <c r="FT321" s="28"/>
      <c r="FU321" s="28"/>
      <c r="FV321" s="28"/>
      <c r="FW321" s="28"/>
      <c r="FX321" s="28"/>
      <c r="FY321" s="28"/>
      <c r="FZ321" s="28"/>
      <c r="GA321" s="28"/>
      <c r="GB321" s="28"/>
      <c r="GC321" s="28"/>
      <c r="GD321" s="28"/>
      <c r="GE321" s="28"/>
      <c r="GF321" s="28"/>
      <c r="GG321" s="28"/>
      <c r="GH321" s="28"/>
      <c r="GI321" s="28"/>
      <c r="GJ321" s="28"/>
      <c r="GK321" s="28"/>
      <c r="GL321" s="28"/>
      <c r="GM321" s="28"/>
      <c r="GN321" s="28"/>
      <c r="GO321" s="28"/>
      <c r="GP321" s="28"/>
      <c r="GQ321" s="28"/>
      <c r="GR321" s="28"/>
      <c r="GS321" s="28"/>
      <c r="GT321" s="28"/>
      <c r="GU321" s="28"/>
      <c r="GV321" s="28"/>
      <c r="GW321" s="28"/>
      <c r="GX321" s="28"/>
      <c r="GY321" s="28"/>
      <c r="GZ321" s="28"/>
      <c r="HA321" s="28"/>
      <c r="HB321" s="28"/>
      <c r="HC321" s="28"/>
      <c r="HD321" s="28"/>
      <c r="HE321" s="28"/>
      <c r="HF321" s="28"/>
      <c r="HG321" s="28"/>
      <c r="HH321" s="28"/>
      <c r="HI321" s="28"/>
      <c r="HJ321" s="28"/>
      <c r="HK321" s="28"/>
      <c r="HL321" s="28"/>
    </row>
    <row r="322" spans="1:220" ht="15" customHeight="1">
      <c r="A322" s="31">
        <v>6</v>
      </c>
      <c r="B322" s="105" t="str">
        <f>VLOOKUP(Ruimtestaat[[#This Row],[Code]],Locaties[[Code]:[Locatie]],2,FALSE)</f>
        <v>IKC Joannes</v>
      </c>
      <c r="C322" s="105" t="str">
        <f>VLOOKUP(Ruimtestaat[[#This Row],[Code]],Locaties[[#All],[Code]:[Adres]],4,FALSE)</f>
        <v>Kerkakkers 4</v>
      </c>
      <c r="D322" s="105" t="str">
        <f>VLOOKUP(Ruimtestaat[[#This Row],[Code]],Locaties[[#All],[Code]:[Postcode]],5,FALSE)</f>
        <v>6923 BZ</v>
      </c>
      <c r="E322" s="105" t="str">
        <f>VLOOKUP(Ruimtestaat[[#This Row],[Code]],Locaties[#All],6,FALSE)</f>
        <v>Groessen</v>
      </c>
      <c r="F322" s="113" t="s">
        <v>1921</v>
      </c>
      <c r="G322" s="31" t="s">
        <v>1645</v>
      </c>
      <c r="H322" s="31" t="s">
        <v>1948</v>
      </c>
      <c r="I322" s="113" t="s">
        <v>1912</v>
      </c>
      <c r="J322" s="31">
        <v>5</v>
      </c>
      <c r="K322" s="113" t="str">
        <f>VLOOKUP(Ruimtestaat[[#This Row],[Ruimte code]],Ruimtegroepen[[#All],[Code]:[Ruimte omschrijving]],2,FALSE)</f>
        <v>Sanitair</v>
      </c>
      <c r="L322" s="31" t="s">
        <v>101</v>
      </c>
      <c r="M322" s="31" t="s">
        <v>1980</v>
      </c>
      <c r="N322" s="106">
        <v>22.8</v>
      </c>
      <c r="O322" s="112"/>
      <c r="P322" s="112"/>
      <c r="Q322" s="107" t="str">
        <f>VLOOKUP(Ruimtestaat[[#This Row],[Ruimte code]],Ruimtegroepen[],4,FALSE)</f>
        <v>Sa</v>
      </c>
      <c r="R322" s="73">
        <v>40</v>
      </c>
      <c r="S322" s="73" t="s">
        <v>2</v>
      </c>
      <c r="T322" s="73">
        <f>IF(R322&gt;0,IF(RIGHT(Ruimtestaat[[#This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2" s="73">
        <f>IF(T322&gt;0,VLOOKUP($J322,Ruimtegroepen[],3,FALSE)*VLOOKUP($L322,Vloersoorten[],3,FALSE)*VLOOKUP($S322,Frequenties[],3,FALSE)*VLOOKUP($A322,Locaties[],3,FALSE),0)</f>
        <v>0</v>
      </c>
      <c r="V322" s="73">
        <f>Ruimtestaat[[#This Row],[Uitvoeringen werkdagen]]*Ruimtestaat[[#This Row],[Oppervlak (netto)]]</f>
        <v>4560</v>
      </c>
      <c r="W322" s="108">
        <f>IF(U322&gt;0,Ruimtestaat[[#This Row],[Prest. (m2 /jaar) werkdagen]]/Ruimtestaat[[#This Row],[Norm (m2/uur) werkdagen]],0)</f>
        <v>0</v>
      </c>
      <c r="X322" s="109">
        <f>Ruimtestaat[[#This Row],[uren / jaar werkdagen]]*Tariefsopbouw!$E$35</f>
        <v>0</v>
      </c>
      <c r="Y322" s="73"/>
      <c r="Z322" s="73">
        <f>IF(Ruimtestaat[[#This Row],[Frequentie weekend]]&gt;0,VALUE(LEFT(Y322,1))*R322,0)</f>
        <v>0</v>
      </c>
      <c r="AA322" s="72">
        <f>IF($Z322&gt;0,VLOOKUP($J322,Ruimtegroepen[],3,FALSE)*VLOOKUP($L322,Vloersoorten[],3,FALSE)*VLOOKUP($Y322,Frequenties[],3,FALSE)*VLOOKUP(Ruimtestaat[[#This Row],[Code]],Locaties[],3,FALSE),0)</f>
        <v>0</v>
      </c>
      <c r="AB322" s="72">
        <f>Ruimtestaat[[#This Row],[Uitvoeringen weekend]]*Ruimtestaat[[#This Row],[Oppervlak (netto)]]</f>
        <v>0</v>
      </c>
      <c r="AC322" s="72">
        <f>IF(AA322&gt;0,Ruimtestaat[[#This Row],[Prest. (m2 /jaar) weekend]]/Ruimtestaat[[#This Row],[Norm (m2/uur) weekend]],0)</f>
        <v>0</v>
      </c>
      <c r="AD322" s="109">
        <f>Ruimtestaat[[#This Row],[uren / jaar weekend]]*Tariefsopbouw!$D$40</f>
        <v>0</v>
      </c>
      <c r="AE322" s="108">
        <f>Ruimtestaat[[#This Row],[Prest. (m2 /jaar) weekend]]+Ruimtestaat[[#This Row],[Prest. (m2 /jaar) werkdagen]]</f>
        <v>4560</v>
      </c>
      <c r="AF322" s="108">
        <f>Ruimtestaat[[#This Row],[uren / jaar weekend]]+Ruimtestaat[[#This Row],[uren / jaar werkdagen]]</f>
        <v>0</v>
      </c>
      <c r="AG322" s="103">
        <f>Ruimtestaat[[#This Row],[kosten / jaar weekend]]+Ruimtestaat[[#This Row],[kosten / jaar werkdagen]]</f>
        <v>0</v>
      </c>
      <c r="AH322" s="103"/>
      <c r="AI322" s="110" t="str">
        <f>IF(Ruimtestaat[[#This Row],[Frequentie werkdagen]]="","",_xlfn.CONCAT(Ruimtestaat[[#This Row],[Ruimte code]],"-",Ruimtestaat[[#This Row],[Frequentie werkdagen]]," ",Ruimtestaat[[#This Row],[Vloer code]]))</f>
        <v>5-5w S</v>
      </c>
      <c r="AJ322" s="114" t="str">
        <f>_xlfn.IFNA(VLOOKUP($AI322,Programma!$F$3:$G$1101,2,0),"")</f>
        <v>_</v>
      </c>
      <c r="AK322" s="114" t="str">
        <f>_xlfn.IFNA(VLOOKUP($AI322,Programma!$F$3:$H$1101,3,0),"")</f>
        <v>_</v>
      </c>
      <c r="AL322" s="114" t="str">
        <f>_xlfn.IFNA(VLOOKUP($AI322,Programma!$F$3:$I$1101,4,0),"")</f>
        <v>_</v>
      </c>
      <c r="AM322" s="114" t="str">
        <f>_xlfn.IFNA(VLOOKUP($AI322,Programma!$F$3:$J$1101,5,0),"")</f>
        <v>4w</v>
      </c>
      <c r="AN322" s="114" t="str">
        <f>_xlfn.IFNA(VLOOKUP($AI322,Programma!$F$3:$K$1101,6,0),"")</f>
        <v>1w</v>
      </c>
      <c r="AO322" s="114" t="str">
        <f>_xlfn.IFNA(VLOOKUP($AI322,Programma!$F$3:$L$1101,7,0),"")</f>
        <v>_</v>
      </c>
      <c r="AP322" s="114" t="str">
        <f>_xlfn.IFNA(VLOOKUP($AI322,Programma!$F$3:$M$1101,8,0),"")</f>
        <v>_</v>
      </c>
      <c r="AQ322" s="114" t="str">
        <f>_xlfn.IFNA(VLOOKUP($AI322,Programma!$F$3:$N$1101,9,0),"")</f>
        <v>_</v>
      </c>
      <c r="AR322" s="114" t="str">
        <f>_xlfn.IFNA(VLOOKUP($AI322,Programma!$F$3:$O$1101,10,0),"")</f>
        <v>_</v>
      </c>
      <c r="AS322" s="114" t="str">
        <f>_xlfn.IFNA(VLOOKUP($AI322,Programma!$F$3:$P$1101,11,0),"")</f>
        <v>_</v>
      </c>
      <c r="AT322" s="114" t="str">
        <f>_xlfn.IFNA(VLOOKUP($AI322,Programma!$F$3:$Q$1101,12,0),"")</f>
        <v>_</v>
      </c>
      <c r="AU322" s="114" t="str">
        <f>_xlfn.IFNA(VLOOKUP($AI322,Programma!$F$3:$R$1101,13,0),"")</f>
        <v>_</v>
      </c>
      <c r="AV322" s="114" t="str">
        <f>_xlfn.IFNA(VLOOKUP($AI322,Programma!$F$3:$S$1101,14,0),"")</f>
        <v>_</v>
      </c>
      <c r="AW322" s="114" t="str">
        <f>_xlfn.IFNA(VLOOKUP($AI322,Programma!$F$3:$T$1101,15,0),"")</f>
        <v>_</v>
      </c>
      <c r="AX322" s="114" t="str">
        <f>_xlfn.IFNA(VLOOKUP($AI322,Programma!$F$3:$U$1101,16,0),"")</f>
        <v>_</v>
      </c>
      <c r="AY322" s="114" t="str">
        <f>_xlfn.IFNA(VLOOKUP($AI322,Programma!$F$3:$V$1101,17,0),"")</f>
        <v>_</v>
      </c>
      <c r="AZ322" s="114" t="str">
        <f>_xlfn.IFNA(VLOOKUP($AI322,Programma!$F$3:$W$1101,18,0),"")</f>
        <v>4w</v>
      </c>
      <c r="BA322" s="114" t="str">
        <f>_xlfn.IFNA(VLOOKUP($AI322,Programma!$F$3:$X$1101,19,0),"")</f>
        <v>1w</v>
      </c>
      <c r="BB322" s="114" t="str">
        <f>_xlfn.IFNA(VLOOKUP($AI322,Programma!$F$3:$Y$1101,20,0),"")</f>
        <v>_</v>
      </c>
      <c r="BC322" s="111"/>
      <c r="BD322" s="110" t="str">
        <f>IF(Ruimtestaat[[#This Row],[Frequentie weekend]]="","",_xlfn.CONCAT(Ruimtestaat[[#This Row],[Ruimte code]],"-",Ruimtestaat[[#This Row],[Frequentie weekend]]," ",Ruimtestaat[[#This Row],[Vloer code]]))</f>
        <v/>
      </c>
      <c r="BE322" s="114" t="str">
        <f>_xlfn.IFNA(VLOOKUP($BD322,Programma!$F$3:$G$1101,2,0),"")</f>
        <v/>
      </c>
      <c r="BF322" s="114" t="str">
        <f>_xlfn.IFNA(VLOOKUP($BD322,Programma!$F$3:$H$1101,3,0),"")</f>
        <v/>
      </c>
      <c r="BG322" s="114" t="str">
        <f>_xlfn.IFNA(VLOOKUP($BD322,Programma!$F$3:$I$1101,4,0),"")</f>
        <v/>
      </c>
      <c r="BH322" s="114" t="str">
        <f>_xlfn.IFNA(VLOOKUP($BD322,Programma!$F$3:$J$1101,5,0),"")</f>
        <v/>
      </c>
      <c r="BI322" s="114" t="str">
        <f>_xlfn.IFNA(VLOOKUP($BD322,Programma!$F$3:$K$1101,6,0),"")</f>
        <v/>
      </c>
      <c r="BJ322" s="114" t="str">
        <f>_xlfn.IFNA(VLOOKUP($BD322,Programma!$F$3:$L$1101,7,0),"")</f>
        <v/>
      </c>
      <c r="BK322" s="114" t="str">
        <f>_xlfn.IFNA(VLOOKUP($BD322,Programma!$F$3:$M$1101,8,0),"")</f>
        <v/>
      </c>
      <c r="BL322" s="114" t="str">
        <f>_xlfn.IFNA(VLOOKUP($BD322,Programma!$F$3:$N$1101,9,0),"")</f>
        <v/>
      </c>
      <c r="BM322" s="114" t="str">
        <f>_xlfn.IFNA(VLOOKUP($BD322,Programma!$F$3:$O$1101,10,0),"")</f>
        <v/>
      </c>
      <c r="BN322" s="114" t="str">
        <f>_xlfn.IFNA(VLOOKUP($BD322,Programma!$F$3:$P$1101,11,0),"")</f>
        <v/>
      </c>
      <c r="BO322" s="114" t="str">
        <f>_xlfn.IFNA(VLOOKUP($BD322,Programma!$F$3:$Q$1101,12,0),"")</f>
        <v/>
      </c>
      <c r="BP322" s="114" t="str">
        <f>_xlfn.IFNA(VLOOKUP($BD322,Programma!$F$3:$R$1101,13,0),"")</f>
        <v/>
      </c>
      <c r="BQ322" s="114" t="str">
        <f>_xlfn.IFNA(VLOOKUP($BD322,Programma!$F$3:$S$1101,14,0),"")</f>
        <v/>
      </c>
      <c r="BR322" s="114" t="str">
        <f>_xlfn.IFNA(VLOOKUP($BD322,Programma!$F$3:$T$1101,15,0),"")</f>
        <v/>
      </c>
      <c r="BS322" s="114" t="str">
        <f>_xlfn.IFNA(VLOOKUP($BD322,Programma!$F$3:$U$1101,16,0),"")</f>
        <v/>
      </c>
      <c r="BT322" s="114" t="str">
        <f>_xlfn.IFNA(VLOOKUP($BD322,Programma!$F$3:$V$1101,17,0),"")</f>
        <v/>
      </c>
      <c r="BU322" s="114" t="str">
        <f>_xlfn.IFNA(VLOOKUP($BD322,Programma!$F$3:$W$1101,18,0),"")</f>
        <v/>
      </c>
      <c r="BV322" s="114" t="str">
        <f>_xlfn.IFNA(VLOOKUP($BD322,Programma!$F$3:$X$1101,19,0),"")</f>
        <v/>
      </c>
      <c r="BW322" s="114" t="str">
        <f>_xlfn.IFNA(VLOOKUP($BD322,Programma!$F$3:$Y$1101,20,0),"")</f>
        <v/>
      </c>
      <c r="BX322" s="28"/>
      <c r="BY322" s="28"/>
      <c r="BZ322" s="28"/>
      <c r="CA322" s="28"/>
      <c r="CB322" s="28"/>
      <c r="CC322" s="28"/>
      <c r="CD322" s="28"/>
      <c r="CE322" s="28"/>
      <c r="CF322" s="28"/>
      <c r="CG322" s="28"/>
      <c r="CH322" s="28"/>
      <c r="CI322" s="28"/>
      <c r="CJ322" s="28"/>
      <c r="CK322" s="28"/>
      <c r="CL322" s="28"/>
      <c r="CM322" s="28"/>
      <c r="CN322" s="28"/>
      <c r="CO322" s="28"/>
      <c r="CP322" s="28"/>
      <c r="CQ322" s="28"/>
      <c r="CR322" s="28"/>
      <c r="CS322" s="28"/>
      <c r="CT322" s="28"/>
      <c r="CU322" s="28"/>
      <c r="CV322" s="28"/>
      <c r="CW322" s="28"/>
      <c r="CX322" s="28"/>
      <c r="CY322" s="28"/>
      <c r="CZ322" s="28"/>
      <c r="DA322" s="28"/>
      <c r="DB322" s="28"/>
      <c r="DC322" s="28"/>
      <c r="DD322" s="28"/>
      <c r="DE322" s="28"/>
      <c r="DF322" s="28"/>
      <c r="DG322" s="28"/>
      <c r="DH322" s="28"/>
      <c r="DI322" s="28"/>
      <c r="DJ322" s="28"/>
      <c r="DK322" s="28"/>
      <c r="DL322" s="28"/>
      <c r="DM322" s="28"/>
      <c r="DN322" s="28"/>
      <c r="DO322" s="28"/>
      <c r="DP322" s="28"/>
      <c r="DQ322" s="28"/>
      <c r="DR322" s="28"/>
      <c r="DS322" s="28"/>
      <c r="DT322" s="28"/>
      <c r="DU322" s="28"/>
      <c r="DV322" s="28"/>
      <c r="DW322" s="28"/>
      <c r="DX322" s="28"/>
      <c r="DY322" s="28"/>
      <c r="DZ322" s="28"/>
      <c r="EA322" s="28"/>
      <c r="EB322" s="28"/>
      <c r="EC322" s="28"/>
      <c r="ED322" s="28"/>
      <c r="EE322" s="28"/>
      <c r="EF322" s="28"/>
      <c r="EG322" s="28"/>
      <c r="EH322" s="28"/>
      <c r="EI322" s="28"/>
      <c r="EJ322" s="28"/>
      <c r="EK322" s="28"/>
      <c r="EL322" s="28"/>
      <c r="EM322" s="28"/>
      <c r="EN322" s="28"/>
      <c r="EO322" s="28"/>
      <c r="EP322" s="28"/>
      <c r="EQ322" s="28"/>
      <c r="ER322" s="28"/>
      <c r="ES322" s="28"/>
      <c r="ET322" s="28"/>
      <c r="EU322" s="28"/>
      <c r="EV322" s="28"/>
      <c r="EW322" s="28"/>
      <c r="EX322" s="28"/>
      <c r="EY322" s="28"/>
      <c r="EZ322" s="28"/>
      <c r="FA322" s="28"/>
      <c r="FB322" s="28"/>
      <c r="FC322" s="28"/>
      <c r="FD322" s="28"/>
      <c r="FE322" s="28"/>
      <c r="FF322" s="28"/>
      <c r="FG322" s="28"/>
      <c r="FH322" s="28"/>
      <c r="FI322" s="28"/>
      <c r="FJ322" s="28"/>
      <c r="FK322" s="28"/>
      <c r="FL322" s="28"/>
      <c r="FM322" s="28"/>
      <c r="FN322" s="28"/>
      <c r="FO322" s="28"/>
      <c r="FP322" s="28"/>
      <c r="FQ322" s="28"/>
      <c r="FR322" s="28"/>
      <c r="FS322" s="28"/>
      <c r="FT322" s="28"/>
      <c r="FU322" s="28"/>
      <c r="FV322" s="28"/>
      <c r="FW322" s="28"/>
      <c r="FX322" s="28"/>
      <c r="FY322" s="28"/>
      <c r="FZ322" s="28"/>
      <c r="GA322" s="28"/>
      <c r="GB322" s="28"/>
      <c r="GC322" s="28"/>
      <c r="GD322" s="28"/>
      <c r="GE322" s="28"/>
      <c r="GF322" s="28"/>
      <c r="GG322" s="28"/>
      <c r="GH322" s="28"/>
      <c r="GI322" s="28"/>
      <c r="GJ322" s="28"/>
      <c r="GK322" s="28"/>
      <c r="GL322" s="28"/>
      <c r="GM322" s="28"/>
      <c r="GN322" s="28"/>
      <c r="GO322" s="28"/>
      <c r="GP322" s="28"/>
      <c r="GQ322" s="28"/>
      <c r="GR322" s="28"/>
      <c r="GS322" s="28"/>
      <c r="GT322" s="28"/>
      <c r="GU322" s="28"/>
      <c r="GV322" s="28"/>
      <c r="GW322" s="28"/>
      <c r="GX322" s="28"/>
      <c r="GY322" s="28"/>
      <c r="GZ322" s="28"/>
      <c r="HA322" s="28"/>
      <c r="HB322" s="28"/>
      <c r="HC322" s="28"/>
      <c r="HD322" s="28"/>
      <c r="HE322" s="28"/>
      <c r="HF322" s="28"/>
      <c r="HG322" s="28"/>
      <c r="HH322" s="28"/>
      <c r="HI322" s="28"/>
      <c r="HJ322" s="28"/>
      <c r="HK322" s="28"/>
      <c r="HL322" s="28"/>
    </row>
    <row r="323" spans="1:220" ht="15" customHeight="1">
      <c r="A323" s="31">
        <v>6</v>
      </c>
      <c r="B323" s="105" t="str">
        <f>VLOOKUP(Ruimtestaat[[#This Row],[Code]],Locaties[[Code]:[Locatie]],2,FALSE)</f>
        <v>IKC Joannes</v>
      </c>
      <c r="C323" s="105" t="str">
        <f>VLOOKUP(Ruimtestaat[[#This Row],[Code]],Locaties[[#All],[Code]:[Adres]],4,FALSE)</f>
        <v>Kerkakkers 4</v>
      </c>
      <c r="D323" s="105" t="str">
        <f>VLOOKUP(Ruimtestaat[[#This Row],[Code]],Locaties[[#All],[Code]:[Postcode]],5,FALSE)</f>
        <v>6923 BZ</v>
      </c>
      <c r="E323" s="105" t="str">
        <f>VLOOKUP(Ruimtestaat[[#This Row],[Code]],Locaties[#All],6,FALSE)</f>
        <v>Groessen</v>
      </c>
      <c r="F323" s="113" t="s">
        <v>1921</v>
      </c>
      <c r="G323" s="31" t="s">
        <v>1645</v>
      </c>
      <c r="H323" s="31" t="s">
        <v>1949</v>
      </c>
      <c r="I323" s="113" t="s">
        <v>1913</v>
      </c>
      <c r="J323" s="31">
        <v>5</v>
      </c>
      <c r="K323" s="113" t="str">
        <f>VLOOKUP(Ruimtestaat[[#This Row],[Ruimte code]],Ruimtegroepen[[#All],[Code]:[Ruimte omschrijving]],2,FALSE)</f>
        <v>Sanitair</v>
      </c>
      <c r="L323" s="31" t="s">
        <v>101</v>
      </c>
      <c r="M323" s="31" t="s">
        <v>1980</v>
      </c>
      <c r="N323" s="106">
        <v>1</v>
      </c>
      <c r="O323" s="112"/>
      <c r="P323" s="112"/>
      <c r="Q323" s="107" t="str">
        <f>VLOOKUP(Ruimtestaat[[#This Row],[Ruimte code]],Ruimtegroepen[],4,FALSE)</f>
        <v>Sa</v>
      </c>
      <c r="R323" s="73">
        <v>40</v>
      </c>
      <c r="S323" s="73" t="s">
        <v>2</v>
      </c>
      <c r="T323" s="73">
        <f>IF(R323&gt;0,IF(RIGHT(Ruimtestaat[[#This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3" s="73">
        <f>IF(T323&gt;0,VLOOKUP($J323,Ruimtegroepen[],3,FALSE)*VLOOKUP($L323,Vloersoorten[],3,FALSE)*VLOOKUP($S323,Frequenties[],3,FALSE)*VLOOKUP($A323,Locaties[],3,FALSE),0)</f>
        <v>0</v>
      </c>
      <c r="V323" s="73">
        <f>Ruimtestaat[[#This Row],[Uitvoeringen werkdagen]]*Ruimtestaat[[#This Row],[Oppervlak (netto)]]</f>
        <v>200</v>
      </c>
      <c r="W323" s="108">
        <f>IF(U323&gt;0,Ruimtestaat[[#This Row],[Prest. (m2 /jaar) werkdagen]]/Ruimtestaat[[#This Row],[Norm (m2/uur) werkdagen]],0)</f>
        <v>0</v>
      </c>
      <c r="X323" s="109">
        <f>Ruimtestaat[[#This Row],[uren / jaar werkdagen]]*Tariefsopbouw!$E$35</f>
        <v>0</v>
      </c>
      <c r="Y323" s="73"/>
      <c r="Z323" s="73">
        <f>IF(Ruimtestaat[[#This Row],[Frequentie weekend]]&gt;0,VALUE(LEFT(Y323,1))*R323,0)</f>
        <v>0</v>
      </c>
      <c r="AA323" s="72">
        <f>IF($Z323&gt;0,VLOOKUP($J323,Ruimtegroepen[],3,FALSE)*VLOOKUP($L323,Vloersoorten[],3,FALSE)*VLOOKUP($Y323,Frequenties[],3,FALSE)*VLOOKUP(Ruimtestaat[[#This Row],[Code]],Locaties[],3,FALSE),0)</f>
        <v>0</v>
      </c>
      <c r="AB323" s="72">
        <f>Ruimtestaat[[#This Row],[Uitvoeringen weekend]]*Ruimtestaat[[#This Row],[Oppervlak (netto)]]</f>
        <v>0</v>
      </c>
      <c r="AC323" s="72">
        <f>IF(AA323&gt;0,Ruimtestaat[[#This Row],[Prest. (m2 /jaar) weekend]]/Ruimtestaat[[#This Row],[Norm (m2/uur) weekend]],0)</f>
        <v>0</v>
      </c>
      <c r="AD323" s="109">
        <f>Ruimtestaat[[#This Row],[uren / jaar weekend]]*Tariefsopbouw!$D$40</f>
        <v>0</v>
      </c>
      <c r="AE323" s="108">
        <f>Ruimtestaat[[#This Row],[Prest. (m2 /jaar) weekend]]+Ruimtestaat[[#This Row],[Prest. (m2 /jaar) werkdagen]]</f>
        <v>200</v>
      </c>
      <c r="AF323" s="108">
        <f>Ruimtestaat[[#This Row],[uren / jaar weekend]]+Ruimtestaat[[#This Row],[uren / jaar werkdagen]]</f>
        <v>0</v>
      </c>
      <c r="AG323" s="103">
        <f>Ruimtestaat[[#This Row],[kosten / jaar weekend]]+Ruimtestaat[[#This Row],[kosten / jaar werkdagen]]</f>
        <v>0</v>
      </c>
      <c r="AH323" s="103"/>
      <c r="AI323" s="110" t="str">
        <f>IF(Ruimtestaat[[#This Row],[Frequentie werkdagen]]="","",_xlfn.CONCAT(Ruimtestaat[[#This Row],[Ruimte code]],"-",Ruimtestaat[[#This Row],[Frequentie werkdagen]]," ",Ruimtestaat[[#This Row],[Vloer code]]))</f>
        <v>5-5w S</v>
      </c>
      <c r="AJ323" s="114" t="str">
        <f>_xlfn.IFNA(VLOOKUP($AI323,Programma!$F$3:$G$1101,2,0),"")</f>
        <v>_</v>
      </c>
      <c r="AK323" s="114" t="str">
        <f>_xlfn.IFNA(VLOOKUP($AI323,Programma!$F$3:$H$1101,3,0),"")</f>
        <v>_</v>
      </c>
      <c r="AL323" s="114" t="str">
        <f>_xlfn.IFNA(VLOOKUP($AI323,Programma!$F$3:$I$1101,4,0),"")</f>
        <v>_</v>
      </c>
      <c r="AM323" s="114" t="str">
        <f>_xlfn.IFNA(VLOOKUP($AI323,Programma!$F$3:$J$1101,5,0),"")</f>
        <v>4w</v>
      </c>
      <c r="AN323" s="114" t="str">
        <f>_xlfn.IFNA(VLOOKUP($AI323,Programma!$F$3:$K$1101,6,0),"")</f>
        <v>1w</v>
      </c>
      <c r="AO323" s="114" t="str">
        <f>_xlfn.IFNA(VLOOKUP($AI323,Programma!$F$3:$L$1101,7,0),"")</f>
        <v>_</v>
      </c>
      <c r="AP323" s="114" t="str">
        <f>_xlfn.IFNA(VLOOKUP($AI323,Programma!$F$3:$M$1101,8,0),"")</f>
        <v>_</v>
      </c>
      <c r="AQ323" s="114" t="str">
        <f>_xlfn.IFNA(VLOOKUP($AI323,Programma!$F$3:$N$1101,9,0),"")</f>
        <v>_</v>
      </c>
      <c r="AR323" s="114" t="str">
        <f>_xlfn.IFNA(VLOOKUP($AI323,Programma!$F$3:$O$1101,10,0),"")</f>
        <v>_</v>
      </c>
      <c r="AS323" s="114" t="str">
        <f>_xlfn.IFNA(VLOOKUP($AI323,Programma!$F$3:$P$1101,11,0),"")</f>
        <v>_</v>
      </c>
      <c r="AT323" s="114" t="str">
        <f>_xlfn.IFNA(VLOOKUP($AI323,Programma!$F$3:$Q$1101,12,0),"")</f>
        <v>_</v>
      </c>
      <c r="AU323" s="114" t="str">
        <f>_xlfn.IFNA(VLOOKUP($AI323,Programma!$F$3:$R$1101,13,0),"")</f>
        <v>_</v>
      </c>
      <c r="AV323" s="114" t="str">
        <f>_xlfn.IFNA(VLOOKUP($AI323,Programma!$F$3:$S$1101,14,0),"")</f>
        <v>_</v>
      </c>
      <c r="AW323" s="114" t="str">
        <f>_xlfn.IFNA(VLOOKUP($AI323,Programma!$F$3:$T$1101,15,0),"")</f>
        <v>_</v>
      </c>
      <c r="AX323" s="114" t="str">
        <f>_xlfn.IFNA(VLOOKUP($AI323,Programma!$F$3:$U$1101,16,0),"")</f>
        <v>_</v>
      </c>
      <c r="AY323" s="114" t="str">
        <f>_xlfn.IFNA(VLOOKUP($AI323,Programma!$F$3:$V$1101,17,0),"")</f>
        <v>_</v>
      </c>
      <c r="AZ323" s="114" t="str">
        <f>_xlfn.IFNA(VLOOKUP($AI323,Programma!$F$3:$W$1101,18,0),"")</f>
        <v>4w</v>
      </c>
      <c r="BA323" s="114" t="str">
        <f>_xlfn.IFNA(VLOOKUP($AI323,Programma!$F$3:$X$1101,19,0),"")</f>
        <v>1w</v>
      </c>
      <c r="BB323" s="114" t="str">
        <f>_xlfn.IFNA(VLOOKUP($AI323,Programma!$F$3:$Y$1101,20,0),"")</f>
        <v>_</v>
      </c>
      <c r="BC323" s="111"/>
      <c r="BD323" s="110" t="str">
        <f>IF(Ruimtestaat[[#This Row],[Frequentie weekend]]="","",_xlfn.CONCAT(Ruimtestaat[[#This Row],[Ruimte code]],"-",Ruimtestaat[[#This Row],[Frequentie weekend]]," ",Ruimtestaat[[#This Row],[Vloer code]]))</f>
        <v/>
      </c>
      <c r="BE323" s="114" t="str">
        <f>_xlfn.IFNA(VLOOKUP($BD323,Programma!$F$3:$G$1101,2,0),"")</f>
        <v/>
      </c>
      <c r="BF323" s="114" t="str">
        <f>_xlfn.IFNA(VLOOKUP($BD323,Programma!$F$3:$H$1101,3,0),"")</f>
        <v/>
      </c>
      <c r="BG323" s="114" t="str">
        <f>_xlfn.IFNA(VLOOKUP($BD323,Programma!$F$3:$I$1101,4,0),"")</f>
        <v/>
      </c>
      <c r="BH323" s="114" t="str">
        <f>_xlfn.IFNA(VLOOKUP($BD323,Programma!$F$3:$J$1101,5,0),"")</f>
        <v/>
      </c>
      <c r="BI323" s="114" t="str">
        <f>_xlfn.IFNA(VLOOKUP($BD323,Programma!$F$3:$K$1101,6,0),"")</f>
        <v/>
      </c>
      <c r="BJ323" s="114" t="str">
        <f>_xlfn.IFNA(VLOOKUP($BD323,Programma!$F$3:$L$1101,7,0),"")</f>
        <v/>
      </c>
      <c r="BK323" s="114" t="str">
        <f>_xlfn.IFNA(VLOOKUP($BD323,Programma!$F$3:$M$1101,8,0),"")</f>
        <v/>
      </c>
      <c r="BL323" s="114" t="str">
        <f>_xlfn.IFNA(VLOOKUP($BD323,Programma!$F$3:$N$1101,9,0),"")</f>
        <v/>
      </c>
      <c r="BM323" s="114" t="str">
        <f>_xlfn.IFNA(VLOOKUP($BD323,Programma!$F$3:$O$1101,10,0),"")</f>
        <v/>
      </c>
      <c r="BN323" s="114" t="str">
        <f>_xlfn.IFNA(VLOOKUP($BD323,Programma!$F$3:$P$1101,11,0),"")</f>
        <v/>
      </c>
      <c r="BO323" s="114" t="str">
        <f>_xlfn.IFNA(VLOOKUP($BD323,Programma!$F$3:$Q$1101,12,0),"")</f>
        <v/>
      </c>
      <c r="BP323" s="114" t="str">
        <f>_xlfn.IFNA(VLOOKUP($BD323,Programma!$F$3:$R$1101,13,0),"")</f>
        <v/>
      </c>
      <c r="BQ323" s="114" t="str">
        <f>_xlfn.IFNA(VLOOKUP($BD323,Programma!$F$3:$S$1101,14,0),"")</f>
        <v/>
      </c>
      <c r="BR323" s="114" t="str">
        <f>_xlfn.IFNA(VLOOKUP($BD323,Programma!$F$3:$T$1101,15,0),"")</f>
        <v/>
      </c>
      <c r="BS323" s="114" t="str">
        <f>_xlfn.IFNA(VLOOKUP($BD323,Programma!$F$3:$U$1101,16,0),"")</f>
        <v/>
      </c>
      <c r="BT323" s="114" t="str">
        <f>_xlfn.IFNA(VLOOKUP($BD323,Programma!$F$3:$V$1101,17,0),"")</f>
        <v/>
      </c>
      <c r="BU323" s="114" t="str">
        <f>_xlfn.IFNA(VLOOKUP($BD323,Programma!$F$3:$W$1101,18,0),"")</f>
        <v/>
      </c>
      <c r="BV323" s="114" t="str">
        <f>_xlfn.IFNA(VLOOKUP($BD323,Programma!$F$3:$X$1101,19,0),"")</f>
        <v/>
      </c>
      <c r="BW323" s="114" t="str">
        <f>_xlfn.IFNA(VLOOKUP($BD323,Programma!$F$3:$Y$1101,20,0),"")</f>
        <v/>
      </c>
      <c r="BX323" s="28"/>
      <c r="BY323" s="28"/>
      <c r="BZ323" s="28"/>
      <c r="CA323" s="28"/>
      <c r="CB323" s="28"/>
      <c r="CC323" s="28"/>
      <c r="CD323" s="28"/>
      <c r="CE323" s="28"/>
      <c r="CF323" s="28"/>
      <c r="CG323" s="28"/>
      <c r="CH323" s="28"/>
      <c r="CI323" s="28"/>
      <c r="CJ323" s="28"/>
      <c r="CK323" s="28"/>
      <c r="CL323" s="28"/>
      <c r="CM323" s="28"/>
      <c r="CN323" s="28"/>
      <c r="CO323" s="28"/>
      <c r="CP323" s="28"/>
      <c r="CQ323" s="28"/>
      <c r="CR323" s="28"/>
      <c r="CS323" s="28"/>
      <c r="CT323" s="28"/>
      <c r="CU323" s="28"/>
      <c r="CV323" s="28"/>
      <c r="CW323" s="28"/>
      <c r="CX323" s="28"/>
      <c r="CY323" s="28"/>
      <c r="CZ323" s="28"/>
      <c r="DA323" s="28"/>
      <c r="DB323" s="28"/>
      <c r="DC323" s="28"/>
      <c r="DD323" s="28"/>
      <c r="DE323" s="28"/>
      <c r="DF323" s="28"/>
      <c r="DG323" s="28"/>
      <c r="DH323" s="28"/>
      <c r="DI323" s="28"/>
      <c r="DJ323" s="28"/>
      <c r="DK323" s="28"/>
      <c r="DL323" s="28"/>
      <c r="DM323" s="28"/>
      <c r="DN323" s="28"/>
      <c r="DO323" s="28"/>
      <c r="DP323" s="28"/>
      <c r="DQ323" s="28"/>
      <c r="DR323" s="28"/>
      <c r="DS323" s="28"/>
      <c r="DT323" s="28"/>
      <c r="DU323" s="28"/>
      <c r="DV323" s="28"/>
      <c r="DW323" s="28"/>
      <c r="DX323" s="28"/>
      <c r="DY323" s="28"/>
      <c r="DZ323" s="28"/>
      <c r="EA323" s="28"/>
      <c r="EB323" s="28"/>
      <c r="EC323" s="28"/>
      <c r="ED323" s="28"/>
      <c r="EE323" s="28"/>
      <c r="EF323" s="28"/>
      <c r="EG323" s="28"/>
      <c r="EH323" s="28"/>
      <c r="EI323" s="28"/>
      <c r="EJ323" s="28"/>
      <c r="EK323" s="28"/>
      <c r="EL323" s="28"/>
      <c r="EM323" s="28"/>
      <c r="EN323" s="28"/>
      <c r="EO323" s="28"/>
      <c r="EP323" s="28"/>
      <c r="EQ323" s="28"/>
      <c r="ER323" s="28"/>
      <c r="ES323" s="28"/>
      <c r="ET323" s="28"/>
      <c r="EU323" s="28"/>
      <c r="EV323" s="28"/>
      <c r="EW323" s="28"/>
      <c r="EX323" s="28"/>
      <c r="EY323" s="28"/>
      <c r="EZ323" s="28"/>
      <c r="FA323" s="28"/>
      <c r="FB323" s="28"/>
      <c r="FC323" s="28"/>
      <c r="FD323" s="28"/>
      <c r="FE323" s="28"/>
      <c r="FF323" s="28"/>
      <c r="FG323" s="28"/>
      <c r="FH323" s="28"/>
      <c r="FI323" s="28"/>
      <c r="FJ323" s="28"/>
      <c r="FK323" s="28"/>
      <c r="FL323" s="28"/>
      <c r="FM323" s="28"/>
      <c r="FN323" s="28"/>
      <c r="FO323" s="28"/>
      <c r="FP323" s="28"/>
      <c r="FQ323" s="28"/>
      <c r="FR323" s="28"/>
      <c r="FS323" s="28"/>
      <c r="FT323" s="28"/>
      <c r="FU323" s="28"/>
      <c r="FV323" s="28"/>
      <c r="FW323" s="28"/>
      <c r="FX323" s="28"/>
      <c r="FY323" s="28"/>
      <c r="FZ323" s="28"/>
      <c r="GA323" s="28"/>
      <c r="GB323" s="28"/>
      <c r="GC323" s="28"/>
      <c r="GD323" s="28"/>
      <c r="GE323" s="28"/>
      <c r="GF323" s="28"/>
      <c r="GG323" s="28"/>
      <c r="GH323" s="28"/>
      <c r="GI323" s="28"/>
      <c r="GJ323" s="28"/>
      <c r="GK323" s="28"/>
      <c r="GL323" s="28"/>
      <c r="GM323" s="28"/>
      <c r="GN323" s="28"/>
      <c r="GO323" s="28"/>
      <c r="GP323" s="28"/>
      <c r="GQ323" s="28"/>
      <c r="GR323" s="28"/>
      <c r="GS323" s="28"/>
      <c r="GT323" s="28"/>
      <c r="GU323" s="28"/>
      <c r="GV323" s="28"/>
      <c r="GW323" s="28"/>
      <c r="GX323" s="28"/>
      <c r="GY323" s="28"/>
      <c r="GZ323" s="28"/>
      <c r="HA323" s="28"/>
      <c r="HB323" s="28"/>
      <c r="HC323" s="28"/>
      <c r="HD323" s="28"/>
      <c r="HE323" s="28"/>
      <c r="HF323" s="28"/>
      <c r="HG323" s="28"/>
      <c r="HH323" s="28"/>
      <c r="HI323" s="28"/>
      <c r="HJ323" s="28"/>
      <c r="HK323" s="28"/>
      <c r="HL323" s="28"/>
    </row>
    <row r="324" spans="1:220" ht="15" customHeight="1">
      <c r="A324" s="31">
        <v>6</v>
      </c>
      <c r="B324" s="105" t="str">
        <f>VLOOKUP(Ruimtestaat[[#This Row],[Code]],Locaties[[Code]:[Locatie]],2,FALSE)</f>
        <v>IKC Joannes</v>
      </c>
      <c r="C324" s="105" t="str">
        <f>VLOOKUP(Ruimtestaat[[#This Row],[Code]],Locaties[[#All],[Code]:[Adres]],4,FALSE)</f>
        <v>Kerkakkers 4</v>
      </c>
      <c r="D324" s="105" t="str">
        <f>VLOOKUP(Ruimtestaat[[#This Row],[Code]],Locaties[[#All],[Code]:[Postcode]],5,FALSE)</f>
        <v>6923 BZ</v>
      </c>
      <c r="E324" s="105" t="str">
        <f>VLOOKUP(Ruimtestaat[[#This Row],[Code]],Locaties[#All],6,FALSE)</f>
        <v>Groessen</v>
      </c>
      <c r="F324" s="113" t="s">
        <v>1921</v>
      </c>
      <c r="G324" s="31" t="s">
        <v>1645</v>
      </c>
      <c r="H324" s="31" t="s">
        <v>1950</v>
      </c>
      <c r="I324" s="113" t="s">
        <v>1914</v>
      </c>
      <c r="J324" s="31">
        <v>2</v>
      </c>
      <c r="K324" s="113" t="str">
        <f>VLOOKUP(Ruimtestaat[[#This Row],[Ruimte code]],Ruimtegroepen[[#All],[Code]:[Ruimte omschrijving]],2,FALSE)</f>
        <v>Kantoren</v>
      </c>
      <c r="L324" s="31" t="s">
        <v>100</v>
      </c>
      <c r="M324" s="31" t="s">
        <v>1975</v>
      </c>
      <c r="N324" s="106">
        <v>8.8000000000000007</v>
      </c>
      <c r="O324" s="112"/>
      <c r="P324" s="112"/>
      <c r="Q324" s="107" t="str">
        <f>VLOOKUP(Ruimtestaat[[#This Row],[Ruimte code]],Ruimtegroepen[],4,FALSE)</f>
        <v>Bu</v>
      </c>
      <c r="R324" s="73">
        <v>40</v>
      </c>
      <c r="S324" s="73" t="s">
        <v>15</v>
      </c>
      <c r="T324" s="73">
        <f>IF(R324&gt;0,IF(RIGHT(Ruimtestaat[[#This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4" s="73">
        <f>IF(T324&gt;0,VLOOKUP($J324,Ruimtegroepen[],3,FALSE)*VLOOKUP($L324,Vloersoorten[],3,FALSE)*VLOOKUP($S324,Frequenties[],3,FALSE)*VLOOKUP($A324,Locaties[],3,FALSE),0)</f>
        <v>0</v>
      </c>
      <c r="V324" s="73">
        <f>Ruimtestaat[[#This Row],[Uitvoeringen werkdagen]]*Ruimtestaat[[#This Row],[Oppervlak (netto)]]</f>
        <v>352</v>
      </c>
      <c r="W324" s="108">
        <f>IF(U324&gt;0,Ruimtestaat[[#This Row],[Prest. (m2 /jaar) werkdagen]]/Ruimtestaat[[#This Row],[Norm (m2/uur) werkdagen]],0)</f>
        <v>0</v>
      </c>
      <c r="X324" s="109">
        <f>Ruimtestaat[[#This Row],[uren / jaar werkdagen]]*Tariefsopbouw!$E$35</f>
        <v>0</v>
      </c>
      <c r="Y324" s="73"/>
      <c r="Z324" s="73">
        <f>IF(Ruimtestaat[[#This Row],[Frequentie weekend]]&gt;0,VALUE(LEFT(Y324,1))*R324,0)</f>
        <v>0</v>
      </c>
      <c r="AA324" s="72">
        <f>IF($Z324&gt;0,VLOOKUP($J324,Ruimtegroepen[],3,FALSE)*VLOOKUP($L324,Vloersoorten[],3,FALSE)*VLOOKUP($Y324,Frequenties[],3,FALSE)*VLOOKUP(Ruimtestaat[[#This Row],[Code]],Locaties[],3,FALSE),0)</f>
        <v>0</v>
      </c>
      <c r="AB324" s="72">
        <f>Ruimtestaat[[#This Row],[Uitvoeringen weekend]]*Ruimtestaat[[#This Row],[Oppervlak (netto)]]</f>
        <v>0</v>
      </c>
      <c r="AC324" s="72">
        <f>IF(AA324&gt;0,Ruimtestaat[[#This Row],[Prest. (m2 /jaar) weekend]]/Ruimtestaat[[#This Row],[Norm (m2/uur) weekend]],0)</f>
        <v>0</v>
      </c>
      <c r="AD324" s="109">
        <f>Ruimtestaat[[#This Row],[uren / jaar weekend]]*Tariefsopbouw!$D$40</f>
        <v>0</v>
      </c>
      <c r="AE324" s="108">
        <f>Ruimtestaat[[#This Row],[Prest. (m2 /jaar) weekend]]+Ruimtestaat[[#This Row],[Prest. (m2 /jaar) werkdagen]]</f>
        <v>352</v>
      </c>
      <c r="AF324" s="108">
        <f>Ruimtestaat[[#This Row],[uren / jaar weekend]]+Ruimtestaat[[#This Row],[uren / jaar werkdagen]]</f>
        <v>0</v>
      </c>
      <c r="AG324" s="103">
        <f>Ruimtestaat[[#This Row],[kosten / jaar weekend]]+Ruimtestaat[[#This Row],[kosten / jaar werkdagen]]</f>
        <v>0</v>
      </c>
      <c r="AH324" s="103"/>
      <c r="AI324" s="110" t="str">
        <f>IF(Ruimtestaat[[#This Row],[Frequentie werkdagen]]="","",_xlfn.CONCAT(Ruimtestaat[[#This Row],[Ruimte code]],"-",Ruimtestaat[[#This Row],[Frequentie werkdagen]]," ",Ruimtestaat[[#This Row],[Vloer code]]))</f>
        <v>2-1w L</v>
      </c>
      <c r="AJ324" s="114" t="str">
        <f>_xlfn.IFNA(VLOOKUP($AI324,Programma!$F$3:$G$1101,2,0),"")</f>
        <v>_</v>
      </c>
      <c r="AK324" s="114" t="str">
        <f>_xlfn.IFNA(VLOOKUP($AI324,Programma!$F$3:$H$1101,3,0),"")</f>
        <v>_</v>
      </c>
      <c r="AL324" s="114" t="str">
        <f>_xlfn.IFNA(VLOOKUP($AI324,Programma!$F$3:$I$1101,4,0),"")</f>
        <v>_</v>
      </c>
      <c r="AM324" s="114" t="str">
        <f>_xlfn.IFNA(VLOOKUP($AI324,Programma!$F$3:$J$1101,5,0),"")</f>
        <v>1w</v>
      </c>
      <c r="AN324" s="114" t="str">
        <f>_xlfn.IFNA(VLOOKUP($AI324,Programma!$F$3:$K$1101,6,0),"")</f>
        <v>_</v>
      </c>
      <c r="AO324" s="114" t="str">
        <f>_xlfn.IFNA(VLOOKUP($AI324,Programma!$F$3:$L$1101,7,0),"")</f>
        <v>_</v>
      </c>
      <c r="AP324" s="114" t="str">
        <f>_xlfn.IFNA(VLOOKUP($AI324,Programma!$F$3:$M$1101,8,0),"")</f>
        <v>_</v>
      </c>
      <c r="AQ324" s="114" t="str">
        <f>_xlfn.IFNA(VLOOKUP($AI324,Programma!$F$3:$N$1101,9,0),"")</f>
        <v>_</v>
      </c>
      <c r="AR324" s="114" t="str">
        <f>_xlfn.IFNA(VLOOKUP($AI324,Programma!$F$3:$O$1101,10,0),"")</f>
        <v>1w</v>
      </c>
      <c r="AS324" s="114" t="str">
        <f>_xlfn.IFNA(VLOOKUP($AI324,Programma!$F$3:$P$1101,11,0),"")</f>
        <v>1w</v>
      </c>
      <c r="AT324" s="114" t="str">
        <f>_xlfn.IFNA(VLOOKUP($AI324,Programma!$F$3:$Q$1101,12,0),"")</f>
        <v>1w</v>
      </c>
      <c r="AU324" s="114" t="str">
        <f>_xlfn.IFNA(VLOOKUP($AI324,Programma!$F$3:$R$1101,13,0),"")</f>
        <v>1w</v>
      </c>
      <c r="AV324" s="114" t="str">
        <f>_xlfn.IFNA(VLOOKUP($AI324,Programma!$F$3:$S$1101,14,0),"")</f>
        <v>1m</v>
      </c>
      <c r="AW324" s="114" t="str">
        <f>_xlfn.IFNA(VLOOKUP($AI324,Programma!$F$3:$T$1101,15,0),"")</f>
        <v>2j</v>
      </c>
      <c r="AX324" s="114" t="str">
        <f>_xlfn.IFNA(VLOOKUP($AI324,Programma!$F$3:$U$1101,16,0),"")</f>
        <v>1j</v>
      </c>
      <c r="AY324" s="114" t="str">
        <f>_xlfn.IFNA(VLOOKUP($AI324,Programma!$F$3:$V$1101,17,0),"")</f>
        <v>_</v>
      </c>
      <c r="AZ324" s="114" t="str">
        <f>_xlfn.IFNA(VLOOKUP($AI324,Programma!$F$3:$W$1101,18,0),"")</f>
        <v>_</v>
      </c>
      <c r="BA324" s="114" t="str">
        <f>_xlfn.IFNA(VLOOKUP($AI324,Programma!$F$3:$X$1101,19,0),"")</f>
        <v>_</v>
      </c>
      <c r="BB324" s="114" t="str">
        <f>_xlfn.IFNA(VLOOKUP($AI324,Programma!$F$3:$Y$1101,20,0),"")</f>
        <v>_</v>
      </c>
      <c r="BC324" s="111"/>
      <c r="BD324" s="110" t="str">
        <f>IF(Ruimtestaat[[#This Row],[Frequentie weekend]]="","",_xlfn.CONCAT(Ruimtestaat[[#This Row],[Ruimte code]],"-",Ruimtestaat[[#This Row],[Frequentie weekend]]," ",Ruimtestaat[[#This Row],[Vloer code]]))</f>
        <v/>
      </c>
      <c r="BE324" s="114" t="str">
        <f>_xlfn.IFNA(VLOOKUP($BD324,Programma!$F$3:$G$1101,2,0),"")</f>
        <v/>
      </c>
      <c r="BF324" s="114" t="str">
        <f>_xlfn.IFNA(VLOOKUP($BD324,Programma!$F$3:$H$1101,3,0),"")</f>
        <v/>
      </c>
      <c r="BG324" s="114" t="str">
        <f>_xlfn.IFNA(VLOOKUP($BD324,Programma!$F$3:$I$1101,4,0),"")</f>
        <v/>
      </c>
      <c r="BH324" s="114" t="str">
        <f>_xlfn.IFNA(VLOOKUP($BD324,Programma!$F$3:$J$1101,5,0),"")</f>
        <v/>
      </c>
      <c r="BI324" s="114" t="str">
        <f>_xlfn.IFNA(VLOOKUP($BD324,Programma!$F$3:$K$1101,6,0),"")</f>
        <v/>
      </c>
      <c r="BJ324" s="114" t="str">
        <f>_xlfn.IFNA(VLOOKUP($BD324,Programma!$F$3:$L$1101,7,0),"")</f>
        <v/>
      </c>
      <c r="BK324" s="114" t="str">
        <f>_xlfn.IFNA(VLOOKUP($BD324,Programma!$F$3:$M$1101,8,0),"")</f>
        <v/>
      </c>
      <c r="BL324" s="114" t="str">
        <f>_xlfn.IFNA(VLOOKUP($BD324,Programma!$F$3:$N$1101,9,0),"")</f>
        <v/>
      </c>
      <c r="BM324" s="114" t="str">
        <f>_xlfn.IFNA(VLOOKUP($BD324,Programma!$F$3:$O$1101,10,0),"")</f>
        <v/>
      </c>
      <c r="BN324" s="114" t="str">
        <f>_xlfn.IFNA(VLOOKUP($BD324,Programma!$F$3:$P$1101,11,0),"")</f>
        <v/>
      </c>
      <c r="BO324" s="114" t="str">
        <f>_xlfn.IFNA(VLOOKUP($BD324,Programma!$F$3:$Q$1101,12,0),"")</f>
        <v/>
      </c>
      <c r="BP324" s="114" t="str">
        <f>_xlfn.IFNA(VLOOKUP($BD324,Programma!$F$3:$R$1101,13,0),"")</f>
        <v/>
      </c>
      <c r="BQ324" s="114" t="str">
        <f>_xlfn.IFNA(VLOOKUP($BD324,Programma!$F$3:$S$1101,14,0),"")</f>
        <v/>
      </c>
      <c r="BR324" s="114" t="str">
        <f>_xlfn.IFNA(VLOOKUP($BD324,Programma!$F$3:$T$1101,15,0),"")</f>
        <v/>
      </c>
      <c r="BS324" s="114" t="str">
        <f>_xlfn.IFNA(VLOOKUP($BD324,Programma!$F$3:$U$1101,16,0),"")</f>
        <v/>
      </c>
      <c r="BT324" s="114" t="str">
        <f>_xlfn.IFNA(VLOOKUP($BD324,Programma!$F$3:$V$1101,17,0),"")</f>
        <v/>
      </c>
      <c r="BU324" s="114" t="str">
        <f>_xlfn.IFNA(VLOOKUP($BD324,Programma!$F$3:$W$1101,18,0),"")</f>
        <v/>
      </c>
      <c r="BV324" s="114" t="str">
        <f>_xlfn.IFNA(VLOOKUP($BD324,Programma!$F$3:$X$1101,19,0),"")</f>
        <v/>
      </c>
      <c r="BW324" s="114" t="str">
        <f>_xlfn.IFNA(VLOOKUP($BD324,Programma!$F$3:$Y$1101,20,0),"")</f>
        <v/>
      </c>
      <c r="BX324" s="28"/>
      <c r="BY324" s="28"/>
      <c r="BZ324" s="28"/>
      <c r="CA324" s="28"/>
      <c r="CB324" s="28"/>
      <c r="CC324" s="28"/>
      <c r="CD324" s="28"/>
      <c r="CE324" s="28"/>
      <c r="CF324" s="28"/>
      <c r="CG324" s="28"/>
      <c r="CH324" s="28"/>
      <c r="CI324" s="28"/>
      <c r="CJ324" s="28"/>
      <c r="CK324" s="28"/>
      <c r="CL324" s="28"/>
      <c r="CM324" s="28"/>
      <c r="CN324" s="28"/>
      <c r="CO324" s="28"/>
      <c r="CP324" s="28"/>
      <c r="CQ324" s="28"/>
      <c r="CR324" s="28"/>
      <c r="CS324" s="28"/>
      <c r="CT324" s="28"/>
      <c r="CU324" s="28"/>
      <c r="CV324" s="28"/>
      <c r="CW324" s="28"/>
      <c r="CX324" s="28"/>
      <c r="CY324" s="28"/>
      <c r="CZ324" s="28"/>
      <c r="DA324" s="28"/>
      <c r="DB324" s="28"/>
      <c r="DC324" s="28"/>
      <c r="DD324" s="28"/>
      <c r="DE324" s="28"/>
      <c r="DF324" s="28"/>
      <c r="DG324" s="28"/>
      <c r="DH324" s="28"/>
      <c r="DI324" s="28"/>
      <c r="DJ324" s="28"/>
      <c r="DK324" s="28"/>
      <c r="DL324" s="28"/>
      <c r="DM324" s="28"/>
      <c r="DN324" s="28"/>
      <c r="DO324" s="28"/>
      <c r="DP324" s="28"/>
      <c r="DQ324" s="28"/>
      <c r="DR324" s="28"/>
      <c r="DS324" s="28"/>
      <c r="DT324" s="28"/>
      <c r="DU324" s="28"/>
      <c r="DV324" s="28"/>
      <c r="DW324" s="28"/>
      <c r="DX324" s="28"/>
      <c r="DY324" s="28"/>
      <c r="DZ324" s="28"/>
      <c r="EA324" s="28"/>
      <c r="EB324" s="28"/>
      <c r="EC324" s="28"/>
      <c r="ED324" s="28"/>
      <c r="EE324" s="28"/>
      <c r="EF324" s="28"/>
      <c r="EG324" s="28"/>
      <c r="EH324" s="28"/>
      <c r="EI324" s="28"/>
      <c r="EJ324" s="28"/>
      <c r="EK324" s="28"/>
      <c r="EL324" s="28"/>
      <c r="EM324" s="28"/>
      <c r="EN324" s="28"/>
      <c r="EO324" s="28"/>
      <c r="EP324" s="28"/>
      <c r="EQ324" s="28"/>
      <c r="ER324" s="28"/>
      <c r="ES324" s="28"/>
      <c r="ET324" s="28"/>
      <c r="EU324" s="28"/>
      <c r="EV324" s="28"/>
      <c r="EW324" s="28"/>
      <c r="EX324" s="28"/>
      <c r="EY324" s="28"/>
      <c r="EZ324" s="28"/>
      <c r="FA324" s="28"/>
      <c r="FB324" s="28"/>
      <c r="FC324" s="28"/>
      <c r="FD324" s="28"/>
      <c r="FE324" s="28"/>
      <c r="FF324" s="28"/>
      <c r="FG324" s="28"/>
      <c r="FH324" s="28"/>
      <c r="FI324" s="28"/>
      <c r="FJ324" s="28"/>
      <c r="FK324" s="28"/>
      <c r="FL324" s="28"/>
      <c r="FM324" s="28"/>
      <c r="FN324" s="28"/>
      <c r="FO324" s="28"/>
      <c r="FP324" s="28"/>
      <c r="FQ324" s="28"/>
      <c r="FR324" s="28"/>
      <c r="FS324" s="28"/>
      <c r="FT324" s="28"/>
      <c r="FU324" s="28"/>
      <c r="FV324" s="28"/>
      <c r="FW324" s="28"/>
      <c r="FX324" s="28"/>
      <c r="FY324" s="28"/>
      <c r="FZ324" s="28"/>
      <c r="GA324" s="28"/>
      <c r="GB324" s="28"/>
      <c r="GC324" s="28"/>
      <c r="GD324" s="28"/>
      <c r="GE324" s="28"/>
      <c r="GF324" s="28"/>
      <c r="GG324" s="28"/>
      <c r="GH324" s="28"/>
      <c r="GI324" s="28"/>
      <c r="GJ324" s="28"/>
      <c r="GK324" s="28"/>
      <c r="GL324" s="28"/>
      <c r="GM324" s="28"/>
      <c r="GN324" s="28"/>
      <c r="GO324" s="28"/>
      <c r="GP324" s="28"/>
      <c r="GQ324" s="28"/>
      <c r="GR324" s="28"/>
      <c r="GS324" s="28"/>
      <c r="GT324" s="28"/>
      <c r="GU324" s="28"/>
      <c r="GV324" s="28"/>
      <c r="GW324" s="28"/>
      <c r="GX324" s="28"/>
      <c r="GY324" s="28"/>
      <c r="GZ324" s="28"/>
      <c r="HA324" s="28"/>
      <c r="HB324" s="28"/>
      <c r="HC324" s="28"/>
      <c r="HD324" s="28"/>
      <c r="HE324" s="28"/>
      <c r="HF324" s="28"/>
      <c r="HG324" s="28"/>
      <c r="HH324" s="28"/>
      <c r="HI324" s="28"/>
      <c r="HJ324" s="28"/>
      <c r="HK324" s="28"/>
      <c r="HL324" s="28"/>
    </row>
    <row r="325" spans="1:220" ht="15" customHeight="1">
      <c r="A325" s="31">
        <v>6</v>
      </c>
      <c r="B325" s="105" t="str">
        <f>VLOOKUP(Ruimtestaat[[#This Row],[Code]],Locaties[[Code]:[Locatie]],2,FALSE)</f>
        <v>IKC Joannes</v>
      </c>
      <c r="C325" s="105" t="str">
        <f>VLOOKUP(Ruimtestaat[[#This Row],[Code]],Locaties[[#All],[Code]:[Adres]],4,FALSE)</f>
        <v>Kerkakkers 4</v>
      </c>
      <c r="D325" s="105" t="str">
        <f>VLOOKUP(Ruimtestaat[[#This Row],[Code]],Locaties[[#All],[Code]:[Postcode]],5,FALSE)</f>
        <v>6923 BZ</v>
      </c>
      <c r="E325" s="105" t="str">
        <f>VLOOKUP(Ruimtestaat[[#This Row],[Code]],Locaties[#All],6,FALSE)</f>
        <v>Groessen</v>
      </c>
      <c r="F325" s="113" t="s">
        <v>1921</v>
      </c>
      <c r="G325" s="31" t="s">
        <v>1645</v>
      </c>
      <c r="H325" s="31" t="s">
        <v>1951</v>
      </c>
      <c r="I325" s="113" t="s">
        <v>1915</v>
      </c>
      <c r="J325" s="31">
        <v>5</v>
      </c>
      <c r="K325" s="113" t="str">
        <f>VLOOKUP(Ruimtestaat[[#This Row],[Ruimte code]],Ruimtegroepen[[#All],[Code]:[Ruimte omschrijving]],2,FALSE)</f>
        <v>Sanitair</v>
      </c>
      <c r="L325" s="31" t="s">
        <v>101</v>
      </c>
      <c r="M325" s="31" t="s">
        <v>1980</v>
      </c>
      <c r="N325" s="106">
        <v>3</v>
      </c>
      <c r="O325" s="112"/>
      <c r="P325" s="112"/>
      <c r="Q325" s="107" t="str">
        <f>VLOOKUP(Ruimtestaat[[#This Row],[Ruimte code]],Ruimtegroepen[],4,FALSE)</f>
        <v>Sa</v>
      </c>
      <c r="R325" s="73">
        <v>40</v>
      </c>
      <c r="S325" s="73" t="s">
        <v>2</v>
      </c>
      <c r="T325" s="73">
        <f>IF(R325&gt;0,IF(RIGHT(Ruimtestaat[[#This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5" s="73">
        <f>IF(T325&gt;0,VLOOKUP($J325,Ruimtegroepen[],3,FALSE)*VLOOKUP($L325,Vloersoorten[],3,FALSE)*VLOOKUP($S325,Frequenties[],3,FALSE)*VLOOKUP($A325,Locaties[],3,FALSE),0)</f>
        <v>0</v>
      </c>
      <c r="V325" s="73">
        <f>Ruimtestaat[[#This Row],[Uitvoeringen werkdagen]]*Ruimtestaat[[#This Row],[Oppervlak (netto)]]</f>
        <v>600</v>
      </c>
      <c r="W325" s="108">
        <f>IF(U325&gt;0,Ruimtestaat[[#This Row],[Prest. (m2 /jaar) werkdagen]]/Ruimtestaat[[#This Row],[Norm (m2/uur) werkdagen]],0)</f>
        <v>0</v>
      </c>
      <c r="X325" s="109">
        <f>Ruimtestaat[[#This Row],[uren / jaar werkdagen]]*Tariefsopbouw!$E$35</f>
        <v>0</v>
      </c>
      <c r="Y325" s="73"/>
      <c r="Z325" s="73">
        <f>IF(Ruimtestaat[[#This Row],[Frequentie weekend]]&gt;0,VALUE(LEFT(Y325,1))*R325,0)</f>
        <v>0</v>
      </c>
      <c r="AA325" s="72">
        <f>IF($Z325&gt;0,VLOOKUP($J325,Ruimtegroepen[],3,FALSE)*VLOOKUP($L325,Vloersoorten[],3,FALSE)*VLOOKUP($Y325,Frequenties[],3,FALSE)*VLOOKUP(Ruimtestaat[[#This Row],[Code]],Locaties[],3,FALSE),0)</f>
        <v>0</v>
      </c>
      <c r="AB325" s="72">
        <f>Ruimtestaat[[#This Row],[Uitvoeringen weekend]]*Ruimtestaat[[#This Row],[Oppervlak (netto)]]</f>
        <v>0</v>
      </c>
      <c r="AC325" s="72">
        <f>IF(AA325&gt;0,Ruimtestaat[[#This Row],[Prest. (m2 /jaar) weekend]]/Ruimtestaat[[#This Row],[Norm (m2/uur) weekend]],0)</f>
        <v>0</v>
      </c>
      <c r="AD325" s="109">
        <f>Ruimtestaat[[#This Row],[uren / jaar weekend]]*Tariefsopbouw!$D$40</f>
        <v>0</v>
      </c>
      <c r="AE325" s="108">
        <f>Ruimtestaat[[#This Row],[Prest. (m2 /jaar) weekend]]+Ruimtestaat[[#This Row],[Prest. (m2 /jaar) werkdagen]]</f>
        <v>600</v>
      </c>
      <c r="AF325" s="108">
        <f>Ruimtestaat[[#This Row],[uren / jaar weekend]]+Ruimtestaat[[#This Row],[uren / jaar werkdagen]]</f>
        <v>0</v>
      </c>
      <c r="AG325" s="103">
        <f>Ruimtestaat[[#This Row],[kosten / jaar weekend]]+Ruimtestaat[[#This Row],[kosten / jaar werkdagen]]</f>
        <v>0</v>
      </c>
      <c r="AH325" s="103"/>
      <c r="AI325" s="110" t="str">
        <f>IF(Ruimtestaat[[#This Row],[Frequentie werkdagen]]="","",_xlfn.CONCAT(Ruimtestaat[[#This Row],[Ruimte code]],"-",Ruimtestaat[[#This Row],[Frequentie werkdagen]]," ",Ruimtestaat[[#This Row],[Vloer code]]))</f>
        <v>5-5w S</v>
      </c>
      <c r="AJ325" s="114" t="str">
        <f>_xlfn.IFNA(VLOOKUP($AI325,Programma!$F$3:$G$1101,2,0),"")</f>
        <v>_</v>
      </c>
      <c r="AK325" s="114" t="str">
        <f>_xlfn.IFNA(VLOOKUP($AI325,Programma!$F$3:$H$1101,3,0),"")</f>
        <v>_</v>
      </c>
      <c r="AL325" s="114" t="str">
        <f>_xlfn.IFNA(VLOOKUP($AI325,Programma!$F$3:$I$1101,4,0),"")</f>
        <v>_</v>
      </c>
      <c r="AM325" s="114" t="str">
        <f>_xlfn.IFNA(VLOOKUP($AI325,Programma!$F$3:$J$1101,5,0),"")</f>
        <v>4w</v>
      </c>
      <c r="AN325" s="114" t="str">
        <f>_xlfn.IFNA(VLOOKUP($AI325,Programma!$F$3:$K$1101,6,0),"")</f>
        <v>1w</v>
      </c>
      <c r="AO325" s="114" t="str">
        <f>_xlfn.IFNA(VLOOKUP($AI325,Programma!$F$3:$L$1101,7,0),"")</f>
        <v>_</v>
      </c>
      <c r="AP325" s="114" t="str">
        <f>_xlfn.IFNA(VLOOKUP($AI325,Programma!$F$3:$M$1101,8,0),"")</f>
        <v>_</v>
      </c>
      <c r="AQ325" s="114" t="str">
        <f>_xlfn.IFNA(VLOOKUP($AI325,Programma!$F$3:$N$1101,9,0),"")</f>
        <v>_</v>
      </c>
      <c r="AR325" s="114" t="str">
        <f>_xlfn.IFNA(VLOOKUP($AI325,Programma!$F$3:$O$1101,10,0),"")</f>
        <v>_</v>
      </c>
      <c r="AS325" s="114" t="str">
        <f>_xlfn.IFNA(VLOOKUP($AI325,Programma!$F$3:$P$1101,11,0),"")</f>
        <v>_</v>
      </c>
      <c r="AT325" s="114" t="str">
        <f>_xlfn.IFNA(VLOOKUP($AI325,Programma!$F$3:$Q$1101,12,0),"")</f>
        <v>_</v>
      </c>
      <c r="AU325" s="114" t="str">
        <f>_xlfn.IFNA(VLOOKUP($AI325,Programma!$F$3:$R$1101,13,0),"")</f>
        <v>_</v>
      </c>
      <c r="AV325" s="114" t="str">
        <f>_xlfn.IFNA(VLOOKUP($AI325,Programma!$F$3:$S$1101,14,0),"")</f>
        <v>_</v>
      </c>
      <c r="AW325" s="114" t="str">
        <f>_xlfn.IFNA(VLOOKUP($AI325,Programma!$F$3:$T$1101,15,0),"")</f>
        <v>_</v>
      </c>
      <c r="AX325" s="114" t="str">
        <f>_xlfn.IFNA(VLOOKUP($AI325,Programma!$F$3:$U$1101,16,0),"")</f>
        <v>_</v>
      </c>
      <c r="AY325" s="114" t="str">
        <f>_xlfn.IFNA(VLOOKUP($AI325,Programma!$F$3:$V$1101,17,0),"")</f>
        <v>_</v>
      </c>
      <c r="AZ325" s="114" t="str">
        <f>_xlfn.IFNA(VLOOKUP($AI325,Programma!$F$3:$W$1101,18,0),"")</f>
        <v>4w</v>
      </c>
      <c r="BA325" s="114" t="str">
        <f>_xlfn.IFNA(VLOOKUP($AI325,Programma!$F$3:$X$1101,19,0),"")</f>
        <v>1w</v>
      </c>
      <c r="BB325" s="114" t="str">
        <f>_xlfn.IFNA(VLOOKUP($AI325,Programma!$F$3:$Y$1101,20,0),"")</f>
        <v>_</v>
      </c>
      <c r="BC325" s="111"/>
      <c r="BD325" s="110" t="str">
        <f>IF(Ruimtestaat[[#This Row],[Frequentie weekend]]="","",_xlfn.CONCAT(Ruimtestaat[[#This Row],[Ruimte code]],"-",Ruimtestaat[[#This Row],[Frequentie weekend]]," ",Ruimtestaat[[#This Row],[Vloer code]]))</f>
        <v/>
      </c>
      <c r="BE325" s="114" t="str">
        <f>_xlfn.IFNA(VLOOKUP($BD325,Programma!$F$3:$G$1101,2,0),"")</f>
        <v/>
      </c>
      <c r="BF325" s="114" t="str">
        <f>_xlfn.IFNA(VLOOKUP($BD325,Programma!$F$3:$H$1101,3,0),"")</f>
        <v/>
      </c>
      <c r="BG325" s="114" t="str">
        <f>_xlfn.IFNA(VLOOKUP($BD325,Programma!$F$3:$I$1101,4,0),"")</f>
        <v/>
      </c>
      <c r="BH325" s="114" t="str">
        <f>_xlfn.IFNA(VLOOKUP($BD325,Programma!$F$3:$J$1101,5,0),"")</f>
        <v/>
      </c>
      <c r="BI325" s="114" t="str">
        <f>_xlfn.IFNA(VLOOKUP($BD325,Programma!$F$3:$K$1101,6,0),"")</f>
        <v/>
      </c>
      <c r="BJ325" s="114" t="str">
        <f>_xlfn.IFNA(VLOOKUP($BD325,Programma!$F$3:$L$1101,7,0),"")</f>
        <v/>
      </c>
      <c r="BK325" s="114" t="str">
        <f>_xlfn.IFNA(VLOOKUP($BD325,Programma!$F$3:$M$1101,8,0),"")</f>
        <v/>
      </c>
      <c r="BL325" s="114" t="str">
        <f>_xlfn.IFNA(VLOOKUP($BD325,Programma!$F$3:$N$1101,9,0),"")</f>
        <v/>
      </c>
      <c r="BM325" s="114" t="str">
        <f>_xlfn.IFNA(VLOOKUP($BD325,Programma!$F$3:$O$1101,10,0),"")</f>
        <v/>
      </c>
      <c r="BN325" s="114" t="str">
        <f>_xlfn.IFNA(VLOOKUP($BD325,Programma!$F$3:$P$1101,11,0),"")</f>
        <v/>
      </c>
      <c r="BO325" s="114" t="str">
        <f>_xlfn.IFNA(VLOOKUP($BD325,Programma!$F$3:$Q$1101,12,0),"")</f>
        <v/>
      </c>
      <c r="BP325" s="114" t="str">
        <f>_xlfn.IFNA(VLOOKUP($BD325,Programma!$F$3:$R$1101,13,0),"")</f>
        <v/>
      </c>
      <c r="BQ325" s="114" t="str">
        <f>_xlfn.IFNA(VLOOKUP($BD325,Programma!$F$3:$S$1101,14,0),"")</f>
        <v/>
      </c>
      <c r="BR325" s="114" t="str">
        <f>_xlfn.IFNA(VLOOKUP($BD325,Programma!$F$3:$T$1101,15,0),"")</f>
        <v/>
      </c>
      <c r="BS325" s="114" t="str">
        <f>_xlfn.IFNA(VLOOKUP($BD325,Programma!$F$3:$U$1101,16,0),"")</f>
        <v/>
      </c>
      <c r="BT325" s="114" t="str">
        <f>_xlfn.IFNA(VLOOKUP($BD325,Programma!$F$3:$V$1101,17,0),"")</f>
        <v/>
      </c>
      <c r="BU325" s="114" t="str">
        <f>_xlfn.IFNA(VLOOKUP($BD325,Programma!$F$3:$W$1101,18,0),"")</f>
        <v/>
      </c>
      <c r="BV325" s="114" t="str">
        <f>_xlfn.IFNA(VLOOKUP($BD325,Programma!$F$3:$X$1101,19,0),"")</f>
        <v/>
      </c>
      <c r="BW325" s="114" t="str">
        <f>_xlfn.IFNA(VLOOKUP($BD325,Programma!$F$3:$Y$1101,20,0),"")</f>
        <v/>
      </c>
      <c r="BX325" s="28"/>
      <c r="BY325" s="28"/>
      <c r="BZ325" s="28"/>
      <c r="CA325" s="28"/>
      <c r="CB325" s="28"/>
      <c r="CC325" s="28"/>
      <c r="CD325" s="28"/>
      <c r="CE325" s="28"/>
      <c r="CF325" s="28"/>
      <c r="CG325" s="28"/>
      <c r="CH325" s="28"/>
      <c r="CI325" s="28"/>
      <c r="CJ325" s="28"/>
      <c r="CK325" s="28"/>
      <c r="CL325" s="28"/>
      <c r="CM325" s="28"/>
      <c r="CN325" s="28"/>
      <c r="CO325" s="28"/>
      <c r="CP325" s="28"/>
      <c r="CQ325" s="28"/>
      <c r="CR325" s="28"/>
      <c r="CS325" s="28"/>
      <c r="CT325" s="28"/>
      <c r="CU325" s="28"/>
      <c r="CV325" s="28"/>
      <c r="CW325" s="28"/>
      <c r="CX325" s="28"/>
      <c r="CY325" s="28"/>
      <c r="CZ325" s="28"/>
      <c r="DA325" s="28"/>
      <c r="DB325" s="28"/>
      <c r="DC325" s="28"/>
      <c r="DD325" s="28"/>
      <c r="DE325" s="28"/>
      <c r="DF325" s="28"/>
      <c r="DG325" s="28"/>
      <c r="DH325" s="28"/>
      <c r="DI325" s="28"/>
      <c r="DJ325" s="28"/>
      <c r="DK325" s="28"/>
      <c r="DL325" s="28"/>
      <c r="DM325" s="28"/>
      <c r="DN325" s="28"/>
      <c r="DO325" s="28"/>
      <c r="DP325" s="28"/>
      <c r="DQ325" s="28"/>
      <c r="DR325" s="28"/>
      <c r="DS325" s="28"/>
      <c r="DT325" s="28"/>
      <c r="DU325" s="28"/>
      <c r="DV325" s="28"/>
      <c r="DW325" s="28"/>
      <c r="DX325" s="28"/>
      <c r="DY325" s="28"/>
      <c r="DZ325" s="28"/>
      <c r="EA325" s="28"/>
      <c r="EB325" s="28"/>
      <c r="EC325" s="28"/>
      <c r="ED325" s="28"/>
      <c r="EE325" s="28"/>
      <c r="EF325" s="28"/>
      <c r="EG325" s="28"/>
      <c r="EH325" s="28"/>
      <c r="EI325" s="28"/>
      <c r="EJ325" s="28"/>
      <c r="EK325" s="28"/>
      <c r="EL325" s="28"/>
      <c r="EM325" s="28"/>
      <c r="EN325" s="28"/>
      <c r="EO325" s="28"/>
      <c r="EP325" s="28"/>
      <c r="EQ325" s="28"/>
      <c r="ER325" s="28"/>
      <c r="ES325" s="28"/>
      <c r="ET325" s="28"/>
      <c r="EU325" s="28"/>
      <c r="EV325" s="28"/>
      <c r="EW325" s="28"/>
      <c r="EX325" s="28"/>
      <c r="EY325" s="28"/>
      <c r="EZ325" s="28"/>
      <c r="FA325" s="28"/>
      <c r="FB325" s="28"/>
      <c r="FC325" s="28"/>
      <c r="FD325" s="28"/>
      <c r="FE325" s="28"/>
      <c r="FF325" s="28"/>
      <c r="FG325" s="28"/>
      <c r="FH325" s="28"/>
      <c r="FI325" s="28"/>
      <c r="FJ325" s="28"/>
      <c r="FK325" s="28"/>
      <c r="FL325" s="28"/>
      <c r="FM325" s="28"/>
      <c r="FN325" s="28"/>
      <c r="FO325" s="28"/>
      <c r="FP325" s="28"/>
      <c r="FQ325" s="28"/>
      <c r="FR325" s="28"/>
      <c r="FS325" s="28"/>
      <c r="FT325" s="28"/>
      <c r="FU325" s="28"/>
      <c r="FV325" s="28"/>
      <c r="FW325" s="28"/>
      <c r="FX325" s="28"/>
      <c r="FY325" s="28"/>
      <c r="FZ325" s="28"/>
      <c r="GA325" s="28"/>
      <c r="GB325" s="28"/>
      <c r="GC325" s="28"/>
      <c r="GD325" s="28"/>
      <c r="GE325" s="28"/>
      <c r="GF325" s="28"/>
      <c r="GG325" s="28"/>
      <c r="GH325" s="28"/>
      <c r="GI325" s="28"/>
      <c r="GJ325" s="28"/>
      <c r="GK325" s="28"/>
      <c r="GL325" s="28"/>
      <c r="GM325" s="28"/>
      <c r="GN325" s="28"/>
      <c r="GO325" s="28"/>
      <c r="GP325" s="28"/>
      <c r="GQ325" s="28"/>
      <c r="GR325" s="28"/>
      <c r="GS325" s="28"/>
      <c r="GT325" s="28"/>
      <c r="GU325" s="28"/>
      <c r="GV325" s="28"/>
      <c r="GW325" s="28"/>
      <c r="GX325" s="28"/>
      <c r="GY325" s="28"/>
      <c r="GZ325" s="28"/>
      <c r="HA325" s="28"/>
      <c r="HB325" s="28"/>
      <c r="HC325" s="28"/>
      <c r="HD325" s="28"/>
      <c r="HE325" s="28"/>
      <c r="HF325" s="28"/>
      <c r="HG325" s="28"/>
      <c r="HH325" s="28"/>
      <c r="HI325" s="28"/>
      <c r="HJ325" s="28"/>
      <c r="HK325" s="28"/>
      <c r="HL325" s="28"/>
    </row>
    <row r="326" spans="1:220" ht="15" customHeight="1">
      <c r="A326" s="31">
        <v>6</v>
      </c>
      <c r="B326" s="105" t="str">
        <f>VLOOKUP(Ruimtestaat[[#This Row],[Code]],Locaties[[Code]:[Locatie]],2,FALSE)</f>
        <v>IKC Joannes</v>
      </c>
      <c r="C326" s="105" t="str">
        <f>VLOOKUP(Ruimtestaat[[#This Row],[Code]],Locaties[[#All],[Code]:[Adres]],4,FALSE)</f>
        <v>Kerkakkers 4</v>
      </c>
      <c r="D326" s="105" t="str">
        <f>VLOOKUP(Ruimtestaat[[#This Row],[Code]],Locaties[[#All],[Code]:[Postcode]],5,FALSE)</f>
        <v>6923 BZ</v>
      </c>
      <c r="E326" s="105" t="str">
        <f>VLOOKUP(Ruimtestaat[[#This Row],[Code]],Locaties[#All],6,FALSE)</f>
        <v>Groessen</v>
      </c>
      <c r="F326" s="113" t="s">
        <v>1921</v>
      </c>
      <c r="G326" s="31" t="s">
        <v>1645</v>
      </c>
      <c r="H326" s="31" t="s">
        <v>1952</v>
      </c>
      <c r="I326" s="113" t="s">
        <v>1274</v>
      </c>
      <c r="J326" s="31">
        <v>17</v>
      </c>
      <c r="K326" s="113" t="str">
        <f>VLOOKUP(Ruimtestaat[[#This Row],[Ruimte code]],Ruimtegroepen[[#All],[Code]:[Ruimte omschrijving]],2,FALSE)</f>
        <v>Toestelberging</v>
      </c>
      <c r="L326" s="31" t="s">
        <v>102</v>
      </c>
      <c r="M326" s="31" t="s">
        <v>1981</v>
      </c>
      <c r="N326" s="106">
        <v>32.4</v>
      </c>
      <c r="O326" s="112"/>
      <c r="P326" s="112"/>
      <c r="Q326" s="107" t="str">
        <f>VLOOKUP(Ruimtestaat[[#This Row],[Ruimte code]],Ruimtegroepen[],4,FALSE)</f>
        <v>Ve</v>
      </c>
      <c r="R326" s="73">
        <v>40</v>
      </c>
      <c r="S326" s="73" t="s">
        <v>16</v>
      </c>
      <c r="T326" s="73">
        <f>IF(R326&gt;0,IF(RIGHT(Ruimtestaat[[#This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26" s="73">
        <f>IF(T326&gt;0,VLOOKUP($J326,Ruimtegroepen[],3,FALSE)*VLOOKUP($L326,Vloersoorten[],3,FALSE)*VLOOKUP($S326,Frequenties[],3,FALSE)*VLOOKUP($A326,Locaties[],3,FALSE),0)</f>
        <v>0</v>
      </c>
      <c r="V326" s="73">
        <f>Ruimtestaat[[#This Row],[Uitvoeringen werkdagen]]*Ruimtestaat[[#This Row],[Oppervlak (netto)]]</f>
        <v>388.79999999999995</v>
      </c>
      <c r="W326" s="108">
        <f>IF(U326&gt;0,Ruimtestaat[[#This Row],[Prest. (m2 /jaar) werkdagen]]/Ruimtestaat[[#This Row],[Norm (m2/uur) werkdagen]],0)</f>
        <v>0</v>
      </c>
      <c r="X326" s="109">
        <f>Ruimtestaat[[#This Row],[uren / jaar werkdagen]]*Tariefsopbouw!$E$35</f>
        <v>0</v>
      </c>
      <c r="Y326" s="73"/>
      <c r="Z326" s="73">
        <f>IF(Ruimtestaat[[#This Row],[Frequentie weekend]]&gt;0,VALUE(LEFT(Y326,1))*R326,0)</f>
        <v>0</v>
      </c>
      <c r="AA326" s="72">
        <f>IF($Z326&gt;0,VLOOKUP($J326,Ruimtegroepen[],3,FALSE)*VLOOKUP($L326,Vloersoorten[],3,FALSE)*VLOOKUP($Y326,Frequenties[],3,FALSE)*VLOOKUP(Ruimtestaat[[#This Row],[Code]],Locaties[],3,FALSE),0)</f>
        <v>0</v>
      </c>
      <c r="AB326" s="72">
        <f>Ruimtestaat[[#This Row],[Uitvoeringen weekend]]*Ruimtestaat[[#This Row],[Oppervlak (netto)]]</f>
        <v>0</v>
      </c>
      <c r="AC326" s="72">
        <f>IF(AA326&gt;0,Ruimtestaat[[#This Row],[Prest. (m2 /jaar) weekend]]/Ruimtestaat[[#This Row],[Norm (m2/uur) weekend]],0)</f>
        <v>0</v>
      </c>
      <c r="AD326" s="109">
        <f>Ruimtestaat[[#This Row],[uren / jaar weekend]]*Tariefsopbouw!$D$40</f>
        <v>0</v>
      </c>
      <c r="AE326" s="108">
        <f>Ruimtestaat[[#This Row],[Prest. (m2 /jaar) weekend]]+Ruimtestaat[[#This Row],[Prest. (m2 /jaar) werkdagen]]</f>
        <v>388.79999999999995</v>
      </c>
      <c r="AF326" s="108">
        <f>Ruimtestaat[[#This Row],[uren / jaar weekend]]+Ruimtestaat[[#This Row],[uren / jaar werkdagen]]</f>
        <v>0</v>
      </c>
      <c r="AG326" s="103">
        <f>Ruimtestaat[[#This Row],[kosten / jaar weekend]]+Ruimtestaat[[#This Row],[kosten / jaar werkdagen]]</f>
        <v>0</v>
      </c>
      <c r="AH326" s="103"/>
      <c r="AI326" s="110" t="str">
        <f>IF(Ruimtestaat[[#This Row],[Frequentie werkdagen]]="","",_xlfn.CONCAT(Ruimtestaat[[#This Row],[Ruimte code]],"-",Ruimtestaat[[#This Row],[Frequentie werkdagen]]," ",Ruimtestaat[[#This Row],[Vloer code]]))</f>
        <v>17-1m P</v>
      </c>
      <c r="AJ326" s="114" t="str">
        <f>_xlfn.IFNA(VLOOKUP($AI326,Programma!$F$3:$G$1101,2,0),"")</f>
        <v>_</v>
      </c>
      <c r="AK326" s="114" t="str">
        <f>_xlfn.IFNA(VLOOKUP($AI326,Programma!$F$3:$H$1101,3,0),"")</f>
        <v>_</v>
      </c>
      <c r="AL326" s="114" t="str">
        <f>_xlfn.IFNA(VLOOKUP($AI326,Programma!$F$3:$I$1101,4,0),"")</f>
        <v>1m</v>
      </c>
      <c r="AM326" s="114" t="str">
        <f>_xlfn.IFNA(VLOOKUP($AI326,Programma!$F$3:$J$1101,5,0),"")</f>
        <v>_</v>
      </c>
      <c r="AN326" s="114" t="str">
        <f>_xlfn.IFNA(VLOOKUP($AI326,Programma!$F$3:$K$1101,6,0),"")</f>
        <v>4j</v>
      </c>
      <c r="AO326" s="114" t="str">
        <f>_xlfn.IFNA(VLOOKUP($AI326,Programma!$F$3:$L$1101,7,0),"")</f>
        <v>_</v>
      </c>
      <c r="AP326" s="114" t="str">
        <f>_xlfn.IFNA(VLOOKUP($AI326,Programma!$F$3:$M$1101,8,0),"")</f>
        <v>_</v>
      </c>
      <c r="AQ326" s="114" t="str">
        <f>_xlfn.IFNA(VLOOKUP($AI326,Programma!$F$3:$N$1101,9,0),"")</f>
        <v>_</v>
      </c>
      <c r="AR326" s="114" t="str">
        <f>_xlfn.IFNA(VLOOKUP($AI326,Programma!$F$3:$O$1101,10,0),"")</f>
        <v>1m</v>
      </c>
      <c r="AS326" s="114" t="str">
        <f>_xlfn.IFNA(VLOOKUP($AI326,Programma!$F$3:$P$1101,11,0),"")</f>
        <v>1m</v>
      </c>
      <c r="AT326" s="114" t="str">
        <f>_xlfn.IFNA(VLOOKUP($AI326,Programma!$F$3:$Q$1101,12,0),"")</f>
        <v>1m</v>
      </c>
      <c r="AU326" s="114" t="str">
        <f>_xlfn.IFNA(VLOOKUP($AI326,Programma!$F$3:$R$1101,13,0),"")</f>
        <v>1m</v>
      </c>
      <c r="AV326" s="114" t="str">
        <f>_xlfn.IFNA(VLOOKUP($AI326,Programma!$F$3:$S$1101,14,0),"")</f>
        <v>1m</v>
      </c>
      <c r="AW326" s="114" t="str">
        <f>_xlfn.IFNA(VLOOKUP($AI326,Programma!$F$3:$T$1101,15,0),"")</f>
        <v>2j</v>
      </c>
      <c r="AX326" s="114" t="str">
        <f>_xlfn.IFNA(VLOOKUP($AI326,Programma!$F$3:$U$1101,16,0),"")</f>
        <v>1j</v>
      </c>
      <c r="AY326" s="114" t="str">
        <f>_xlfn.IFNA(VLOOKUP($AI326,Programma!$F$3:$V$1101,17,0),"")</f>
        <v>_</v>
      </c>
      <c r="AZ326" s="114" t="str">
        <f>_xlfn.IFNA(VLOOKUP($AI326,Programma!$F$3:$W$1101,18,0),"")</f>
        <v>_</v>
      </c>
      <c r="BA326" s="114" t="str">
        <f>_xlfn.IFNA(VLOOKUP($AI326,Programma!$F$3:$X$1101,19,0),"")</f>
        <v>_</v>
      </c>
      <c r="BB326" s="114" t="str">
        <f>_xlfn.IFNA(VLOOKUP($AI326,Programma!$F$3:$Y$1101,20,0),"")</f>
        <v>_</v>
      </c>
      <c r="BC326" s="111"/>
      <c r="BD326" s="110" t="str">
        <f>IF(Ruimtestaat[[#This Row],[Frequentie weekend]]="","",_xlfn.CONCAT(Ruimtestaat[[#This Row],[Ruimte code]],"-",Ruimtestaat[[#This Row],[Frequentie weekend]]," ",Ruimtestaat[[#This Row],[Vloer code]]))</f>
        <v/>
      </c>
      <c r="BE326" s="114" t="str">
        <f>_xlfn.IFNA(VLOOKUP($BD326,Programma!$F$3:$G$1101,2,0),"")</f>
        <v/>
      </c>
      <c r="BF326" s="114" t="str">
        <f>_xlfn.IFNA(VLOOKUP($BD326,Programma!$F$3:$H$1101,3,0),"")</f>
        <v/>
      </c>
      <c r="BG326" s="114" t="str">
        <f>_xlfn.IFNA(VLOOKUP($BD326,Programma!$F$3:$I$1101,4,0),"")</f>
        <v/>
      </c>
      <c r="BH326" s="114" t="str">
        <f>_xlfn.IFNA(VLOOKUP($BD326,Programma!$F$3:$J$1101,5,0),"")</f>
        <v/>
      </c>
      <c r="BI326" s="114" t="str">
        <f>_xlfn.IFNA(VLOOKUP($BD326,Programma!$F$3:$K$1101,6,0),"")</f>
        <v/>
      </c>
      <c r="BJ326" s="114" t="str">
        <f>_xlfn.IFNA(VLOOKUP($BD326,Programma!$F$3:$L$1101,7,0),"")</f>
        <v/>
      </c>
      <c r="BK326" s="114" t="str">
        <f>_xlfn.IFNA(VLOOKUP($BD326,Programma!$F$3:$M$1101,8,0),"")</f>
        <v/>
      </c>
      <c r="BL326" s="114" t="str">
        <f>_xlfn.IFNA(VLOOKUP($BD326,Programma!$F$3:$N$1101,9,0),"")</f>
        <v/>
      </c>
      <c r="BM326" s="114" t="str">
        <f>_xlfn.IFNA(VLOOKUP($BD326,Programma!$F$3:$O$1101,10,0),"")</f>
        <v/>
      </c>
      <c r="BN326" s="114" t="str">
        <f>_xlfn.IFNA(VLOOKUP($BD326,Programma!$F$3:$P$1101,11,0),"")</f>
        <v/>
      </c>
      <c r="BO326" s="114" t="str">
        <f>_xlfn.IFNA(VLOOKUP($BD326,Programma!$F$3:$Q$1101,12,0),"")</f>
        <v/>
      </c>
      <c r="BP326" s="114" t="str">
        <f>_xlfn.IFNA(VLOOKUP($BD326,Programma!$F$3:$R$1101,13,0),"")</f>
        <v/>
      </c>
      <c r="BQ326" s="114" t="str">
        <f>_xlfn.IFNA(VLOOKUP($BD326,Programma!$F$3:$S$1101,14,0),"")</f>
        <v/>
      </c>
      <c r="BR326" s="114" t="str">
        <f>_xlfn.IFNA(VLOOKUP($BD326,Programma!$F$3:$T$1101,15,0),"")</f>
        <v/>
      </c>
      <c r="BS326" s="114" t="str">
        <f>_xlfn.IFNA(VLOOKUP($BD326,Programma!$F$3:$U$1101,16,0),"")</f>
        <v/>
      </c>
      <c r="BT326" s="114" t="str">
        <f>_xlfn.IFNA(VLOOKUP($BD326,Programma!$F$3:$V$1101,17,0),"")</f>
        <v/>
      </c>
      <c r="BU326" s="114" t="str">
        <f>_xlfn.IFNA(VLOOKUP($BD326,Programma!$F$3:$W$1101,18,0),"")</f>
        <v/>
      </c>
      <c r="BV326" s="114" t="str">
        <f>_xlfn.IFNA(VLOOKUP($BD326,Programma!$F$3:$X$1101,19,0),"")</f>
        <v/>
      </c>
      <c r="BW326" s="114" t="str">
        <f>_xlfn.IFNA(VLOOKUP($BD326,Programma!$F$3:$Y$1101,20,0),"")</f>
        <v/>
      </c>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8"/>
      <c r="FH326" s="28"/>
      <c r="FI326" s="28"/>
      <c r="FJ326" s="28"/>
      <c r="FK326" s="28"/>
      <c r="FL326" s="28"/>
      <c r="FM326" s="28"/>
      <c r="FN326" s="28"/>
      <c r="FO326" s="28"/>
      <c r="FP326" s="28"/>
      <c r="FQ326" s="28"/>
      <c r="FR326" s="28"/>
      <c r="FS326" s="28"/>
      <c r="FT326" s="28"/>
      <c r="FU326" s="28"/>
      <c r="FV326" s="28"/>
      <c r="FW326" s="28"/>
      <c r="FX326" s="28"/>
      <c r="FY326" s="28"/>
      <c r="FZ326" s="28"/>
      <c r="GA326" s="28"/>
      <c r="GB326" s="28"/>
      <c r="GC326" s="28"/>
      <c r="GD326" s="28"/>
      <c r="GE326" s="28"/>
      <c r="GF326" s="28"/>
      <c r="GG326" s="28"/>
      <c r="GH326" s="28"/>
      <c r="GI326" s="28"/>
      <c r="GJ326" s="28"/>
      <c r="GK326" s="28"/>
      <c r="GL326" s="28"/>
      <c r="GM326" s="28"/>
      <c r="GN326" s="28"/>
      <c r="GO326" s="28"/>
      <c r="GP326" s="28"/>
      <c r="GQ326" s="28"/>
      <c r="GR326" s="28"/>
      <c r="GS326" s="28"/>
      <c r="GT326" s="28"/>
      <c r="GU326" s="28"/>
      <c r="GV326" s="28"/>
      <c r="GW326" s="28"/>
      <c r="GX326" s="28"/>
      <c r="GY326" s="28"/>
      <c r="GZ326" s="28"/>
      <c r="HA326" s="28"/>
      <c r="HB326" s="28"/>
      <c r="HC326" s="28"/>
      <c r="HD326" s="28"/>
      <c r="HE326" s="28"/>
      <c r="HF326" s="28"/>
      <c r="HG326" s="28"/>
      <c r="HH326" s="28"/>
      <c r="HI326" s="28"/>
      <c r="HJ326" s="28"/>
      <c r="HK326" s="28"/>
      <c r="HL326" s="28"/>
    </row>
    <row r="327" spans="1:220" ht="15" customHeight="1">
      <c r="A327" s="31">
        <v>6</v>
      </c>
      <c r="B327" s="105" t="str">
        <f>VLOOKUP(Ruimtestaat[[#This Row],[Code]],Locaties[[Code]:[Locatie]],2,FALSE)</f>
        <v>IKC Joannes</v>
      </c>
      <c r="C327" s="105" t="str">
        <f>VLOOKUP(Ruimtestaat[[#This Row],[Code]],Locaties[[#All],[Code]:[Adres]],4,FALSE)</f>
        <v>Kerkakkers 4</v>
      </c>
      <c r="D327" s="105" t="str">
        <f>VLOOKUP(Ruimtestaat[[#This Row],[Code]],Locaties[[#All],[Code]:[Postcode]],5,FALSE)</f>
        <v>6923 BZ</v>
      </c>
      <c r="E327" s="105" t="str">
        <f>VLOOKUP(Ruimtestaat[[#This Row],[Code]],Locaties[#All],6,FALSE)</f>
        <v>Groessen</v>
      </c>
      <c r="F327" s="113" t="s">
        <v>1921</v>
      </c>
      <c r="G327" s="31" t="s">
        <v>1645</v>
      </c>
      <c r="H327" s="31" t="s">
        <v>1953</v>
      </c>
      <c r="I327" s="113" t="s">
        <v>1275</v>
      </c>
      <c r="J327" s="31">
        <v>18</v>
      </c>
      <c r="K327" s="113" t="str">
        <f>VLOOKUP(Ruimtestaat[[#This Row],[Ruimte code]],Ruimtegroepen[[#All],[Code]:[Ruimte omschrijving]],2,FALSE)</f>
        <v>Gymzaal</v>
      </c>
      <c r="L327" s="31" t="s">
        <v>102</v>
      </c>
      <c r="M327" s="31" t="s">
        <v>1981</v>
      </c>
      <c r="N327" s="106">
        <v>252</v>
      </c>
      <c r="O327" s="112"/>
      <c r="P327" s="112"/>
      <c r="Q327" s="107" t="str">
        <f>VLOOKUP(Ruimtestaat[[#This Row],[Ruimte code]],Ruimtegroepen[],4,FALSE)</f>
        <v>Sp</v>
      </c>
      <c r="R327" s="73">
        <v>40</v>
      </c>
      <c r="S327" s="73" t="s">
        <v>18</v>
      </c>
      <c r="T327" s="73">
        <f>IF(R327&gt;0,IF(RIGHT(Ruimtestaat[[#This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27" s="73">
        <f>IF(T327&gt;0,VLOOKUP($J327,Ruimtegroepen[],3,FALSE)*VLOOKUP($L327,Vloersoorten[],3,FALSE)*VLOOKUP($S327,Frequenties[],3,FALSE)*VLOOKUP($A327,Locaties[],3,FALSE),0)</f>
        <v>0</v>
      </c>
      <c r="V327" s="73">
        <f>Ruimtestaat[[#This Row],[Uitvoeringen werkdagen]]*Ruimtestaat[[#This Row],[Oppervlak (netto)]]</f>
        <v>30240</v>
      </c>
      <c r="W327" s="108">
        <f>IF(U327&gt;0,Ruimtestaat[[#This Row],[Prest. (m2 /jaar) werkdagen]]/Ruimtestaat[[#This Row],[Norm (m2/uur) werkdagen]],0)</f>
        <v>0</v>
      </c>
      <c r="X327" s="109">
        <f>Ruimtestaat[[#This Row],[uren / jaar werkdagen]]*Tariefsopbouw!$E$35</f>
        <v>0</v>
      </c>
      <c r="Y327" s="73"/>
      <c r="Z327" s="73">
        <f>IF(Ruimtestaat[[#This Row],[Frequentie weekend]]&gt;0,VALUE(LEFT(Y327,1))*R327,0)</f>
        <v>0</v>
      </c>
      <c r="AA327" s="72">
        <f>IF($Z327&gt;0,VLOOKUP($J327,Ruimtegroepen[],3,FALSE)*VLOOKUP($L327,Vloersoorten[],3,FALSE)*VLOOKUP($Y327,Frequenties[],3,FALSE)*VLOOKUP(Ruimtestaat[[#This Row],[Code]],Locaties[],3,FALSE),0)</f>
        <v>0</v>
      </c>
      <c r="AB327" s="72">
        <f>Ruimtestaat[[#This Row],[Uitvoeringen weekend]]*Ruimtestaat[[#This Row],[Oppervlak (netto)]]</f>
        <v>0</v>
      </c>
      <c r="AC327" s="72">
        <f>IF(AA327&gt;0,Ruimtestaat[[#This Row],[Prest. (m2 /jaar) weekend]]/Ruimtestaat[[#This Row],[Norm (m2/uur) weekend]],0)</f>
        <v>0</v>
      </c>
      <c r="AD327" s="109">
        <f>Ruimtestaat[[#This Row],[uren / jaar weekend]]*Tariefsopbouw!$D$40</f>
        <v>0</v>
      </c>
      <c r="AE327" s="108">
        <f>Ruimtestaat[[#This Row],[Prest. (m2 /jaar) weekend]]+Ruimtestaat[[#This Row],[Prest. (m2 /jaar) werkdagen]]</f>
        <v>30240</v>
      </c>
      <c r="AF327" s="108">
        <f>Ruimtestaat[[#This Row],[uren / jaar weekend]]+Ruimtestaat[[#This Row],[uren / jaar werkdagen]]</f>
        <v>0</v>
      </c>
      <c r="AG327" s="103">
        <f>Ruimtestaat[[#This Row],[kosten / jaar weekend]]+Ruimtestaat[[#This Row],[kosten / jaar werkdagen]]</f>
        <v>0</v>
      </c>
      <c r="AH327" s="103"/>
      <c r="AI327" s="110" t="str">
        <f>IF(Ruimtestaat[[#This Row],[Frequentie werkdagen]]="","",_xlfn.CONCAT(Ruimtestaat[[#This Row],[Ruimte code]],"-",Ruimtestaat[[#This Row],[Frequentie werkdagen]]," ",Ruimtestaat[[#This Row],[Vloer code]]))</f>
        <v>18-3w P</v>
      </c>
      <c r="AJ327" s="114" t="str">
        <f>_xlfn.IFNA(VLOOKUP($AI327,Programma!$F$3:$G$1101,2,0),"")</f>
        <v>_</v>
      </c>
      <c r="AK327" s="114" t="str">
        <f>_xlfn.IFNA(VLOOKUP($AI327,Programma!$F$3:$H$1101,3,0),"")</f>
        <v>_</v>
      </c>
      <c r="AL327" s="114" t="str">
        <f>_xlfn.IFNA(VLOOKUP($AI327,Programma!$F$3:$I$1101,4,0),"")</f>
        <v>2w</v>
      </c>
      <c r="AM327" s="114" t="str">
        <f>_xlfn.IFNA(VLOOKUP($AI327,Programma!$F$3:$J$1101,5,0),"")</f>
        <v>1w</v>
      </c>
      <c r="AN327" s="114" t="str">
        <f>_xlfn.IFNA(VLOOKUP($AI327,Programma!$F$3:$K$1101,6,0),"")</f>
        <v>4j</v>
      </c>
      <c r="AO327" s="114" t="str">
        <f>_xlfn.IFNA(VLOOKUP($AI327,Programma!$F$3:$L$1101,7,0),"")</f>
        <v>_</v>
      </c>
      <c r="AP327" s="114" t="str">
        <f>_xlfn.IFNA(VLOOKUP($AI327,Programma!$F$3:$M$1101,8,0),"")</f>
        <v>_</v>
      </c>
      <c r="AQ327" s="114" t="str">
        <f>_xlfn.IFNA(VLOOKUP($AI327,Programma!$F$3:$N$1101,9,0),"")</f>
        <v>_</v>
      </c>
      <c r="AR327" s="114" t="str">
        <f>_xlfn.IFNA(VLOOKUP($AI327,Programma!$F$3:$O$1101,10,0),"")</f>
        <v>3w</v>
      </c>
      <c r="AS327" s="114" t="str">
        <f>_xlfn.IFNA(VLOOKUP($AI327,Programma!$F$3:$P$1101,11,0),"")</f>
        <v>3w</v>
      </c>
      <c r="AT327" s="114" t="str">
        <f>_xlfn.IFNA(VLOOKUP($AI327,Programma!$F$3:$Q$1101,12,0),"")</f>
        <v>3w</v>
      </c>
      <c r="AU327" s="114" t="str">
        <f>_xlfn.IFNA(VLOOKUP($AI327,Programma!$F$3:$R$1101,13,0),"")</f>
        <v>1w</v>
      </c>
      <c r="AV327" s="114" t="str">
        <f>_xlfn.IFNA(VLOOKUP($AI327,Programma!$F$3:$S$1101,14,0),"")</f>
        <v>1m</v>
      </c>
      <c r="AW327" s="114" t="str">
        <f>_xlfn.IFNA(VLOOKUP($AI327,Programma!$F$3:$T$1101,15,0),"")</f>
        <v>2j</v>
      </c>
      <c r="AX327" s="114" t="str">
        <f>_xlfn.IFNA(VLOOKUP($AI327,Programma!$F$3:$U$1101,16,0),"")</f>
        <v>1j</v>
      </c>
      <c r="AY327" s="114" t="str">
        <f>_xlfn.IFNA(VLOOKUP($AI327,Programma!$F$3:$V$1101,17,0),"")</f>
        <v>_</v>
      </c>
      <c r="AZ327" s="114" t="str">
        <f>_xlfn.IFNA(VLOOKUP($AI327,Programma!$F$3:$W$1101,18,0),"")</f>
        <v>_</v>
      </c>
      <c r="BA327" s="114" t="str">
        <f>_xlfn.IFNA(VLOOKUP($AI327,Programma!$F$3:$X$1101,19,0),"")</f>
        <v>_</v>
      </c>
      <c r="BB327" s="114" t="str">
        <f>_xlfn.IFNA(VLOOKUP($AI327,Programma!$F$3:$Y$1101,20,0),"")</f>
        <v>_</v>
      </c>
      <c r="BC327" s="111"/>
      <c r="BD327" s="110" t="str">
        <f>IF(Ruimtestaat[[#This Row],[Frequentie weekend]]="","",_xlfn.CONCAT(Ruimtestaat[[#This Row],[Ruimte code]],"-",Ruimtestaat[[#This Row],[Frequentie weekend]]," ",Ruimtestaat[[#This Row],[Vloer code]]))</f>
        <v/>
      </c>
      <c r="BE327" s="114" t="str">
        <f>_xlfn.IFNA(VLOOKUP($BD327,Programma!$F$3:$G$1101,2,0),"")</f>
        <v/>
      </c>
      <c r="BF327" s="114" t="str">
        <f>_xlfn.IFNA(VLOOKUP($BD327,Programma!$F$3:$H$1101,3,0),"")</f>
        <v/>
      </c>
      <c r="BG327" s="114" t="str">
        <f>_xlfn.IFNA(VLOOKUP($BD327,Programma!$F$3:$I$1101,4,0),"")</f>
        <v/>
      </c>
      <c r="BH327" s="114" t="str">
        <f>_xlfn.IFNA(VLOOKUP($BD327,Programma!$F$3:$J$1101,5,0),"")</f>
        <v/>
      </c>
      <c r="BI327" s="114" t="str">
        <f>_xlfn.IFNA(VLOOKUP($BD327,Programma!$F$3:$K$1101,6,0),"")</f>
        <v/>
      </c>
      <c r="BJ327" s="114" t="str">
        <f>_xlfn.IFNA(VLOOKUP($BD327,Programma!$F$3:$L$1101,7,0),"")</f>
        <v/>
      </c>
      <c r="BK327" s="114" t="str">
        <f>_xlfn.IFNA(VLOOKUP($BD327,Programma!$F$3:$M$1101,8,0),"")</f>
        <v/>
      </c>
      <c r="BL327" s="114" t="str">
        <f>_xlfn.IFNA(VLOOKUP($BD327,Programma!$F$3:$N$1101,9,0),"")</f>
        <v/>
      </c>
      <c r="BM327" s="114" t="str">
        <f>_xlfn.IFNA(VLOOKUP($BD327,Programma!$F$3:$O$1101,10,0),"")</f>
        <v/>
      </c>
      <c r="BN327" s="114" t="str">
        <f>_xlfn.IFNA(VLOOKUP($BD327,Programma!$F$3:$P$1101,11,0),"")</f>
        <v/>
      </c>
      <c r="BO327" s="114" t="str">
        <f>_xlfn.IFNA(VLOOKUP($BD327,Programma!$F$3:$Q$1101,12,0),"")</f>
        <v/>
      </c>
      <c r="BP327" s="114" t="str">
        <f>_xlfn.IFNA(VLOOKUP($BD327,Programma!$F$3:$R$1101,13,0),"")</f>
        <v/>
      </c>
      <c r="BQ327" s="114" t="str">
        <f>_xlfn.IFNA(VLOOKUP($BD327,Programma!$F$3:$S$1101,14,0),"")</f>
        <v/>
      </c>
      <c r="BR327" s="114" t="str">
        <f>_xlfn.IFNA(VLOOKUP($BD327,Programma!$F$3:$T$1101,15,0),"")</f>
        <v/>
      </c>
      <c r="BS327" s="114" t="str">
        <f>_xlfn.IFNA(VLOOKUP($BD327,Programma!$F$3:$U$1101,16,0),"")</f>
        <v/>
      </c>
      <c r="BT327" s="114" t="str">
        <f>_xlfn.IFNA(VLOOKUP($BD327,Programma!$F$3:$V$1101,17,0),"")</f>
        <v/>
      </c>
      <c r="BU327" s="114" t="str">
        <f>_xlfn.IFNA(VLOOKUP($BD327,Programma!$F$3:$W$1101,18,0),"")</f>
        <v/>
      </c>
      <c r="BV327" s="114" t="str">
        <f>_xlfn.IFNA(VLOOKUP($BD327,Programma!$F$3:$X$1101,19,0),"")</f>
        <v/>
      </c>
      <c r="BW327" s="114" t="str">
        <f>_xlfn.IFNA(VLOOKUP($BD327,Programma!$F$3:$Y$1101,20,0),"")</f>
        <v/>
      </c>
      <c r="BX327" s="28"/>
      <c r="BY327" s="28"/>
      <c r="BZ327" s="28"/>
      <c r="CA327" s="28"/>
      <c r="CB327" s="28"/>
      <c r="CC327" s="28"/>
      <c r="CD327" s="28"/>
      <c r="CE327" s="28"/>
      <c r="CF327" s="28"/>
      <c r="CG327" s="28"/>
      <c r="CH327" s="28"/>
      <c r="CI327" s="28"/>
      <c r="CJ327" s="28"/>
      <c r="CK327" s="28"/>
      <c r="CL327" s="28"/>
      <c r="CM327" s="28"/>
      <c r="CN327" s="28"/>
      <c r="CO327" s="28"/>
      <c r="CP327" s="28"/>
      <c r="CQ327" s="28"/>
      <c r="CR327" s="28"/>
      <c r="CS327" s="28"/>
      <c r="CT327" s="28"/>
      <c r="CU327" s="28"/>
      <c r="CV327" s="28"/>
      <c r="CW327" s="28"/>
      <c r="CX327" s="28"/>
      <c r="CY327" s="28"/>
      <c r="CZ327" s="28"/>
      <c r="DA327" s="28"/>
      <c r="DB327" s="28"/>
      <c r="DC327" s="28"/>
      <c r="DD327" s="28"/>
      <c r="DE327" s="28"/>
      <c r="DF327" s="28"/>
      <c r="DG327" s="28"/>
      <c r="DH327" s="28"/>
      <c r="DI327" s="28"/>
      <c r="DJ327" s="28"/>
      <c r="DK327" s="28"/>
      <c r="DL327" s="28"/>
      <c r="DM327" s="28"/>
      <c r="DN327" s="28"/>
      <c r="DO327" s="28"/>
      <c r="DP327" s="28"/>
      <c r="DQ327" s="28"/>
      <c r="DR327" s="28"/>
      <c r="DS327" s="28"/>
      <c r="DT327" s="28"/>
      <c r="DU327" s="28"/>
      <c r="DV327" s="28"/>
      <c r="DW327" s="28"/>
      <c r="DX327" s="28"/>
      <c r="DY327" s="28"/>
      <c r="DZ327" s="28"/>
      <c r="EA327" s="28"/>
      <c r="EB327" s="28"/>
      <c r="EC327" s="28"/>
      <c r="ED327" s="28"/>
      <c r="EE327" s="28"/>
      <c r="EF327" s="28"/>
      <c r="EG327" s="28"/>
      <c r="EH327" s="28"/>
      <c r="EI327" s="28"/>
      <c r="EJ327" s="28"/>
      <c r="EK327" s="28"/>
      <c r="EL327" s="28"/>
      <c r="EM327" s="28"/>
      <c r="EN327" s="28"/>
      <c r="EO327" s="28"/>
      <c r="EP327" s="28"/>
      <c r="EQ327" s="28"/>
      <c r="ER327" s="28"/>
      <c r="ES327" s="28"/>
      <c r="ET327" s="28"/>
      <c r="EU327" s="28"/>
      <c r="EV327" s="28"/>
      <c r="EW327" s="28"/>
      <c r="EX327" s="28"/>
      <c r="EY327" s="28"/>
      <c r="EZ327" s="28"/>
      <c r="FA327" s="28"/>
      <c r="FB327" s="28"/>
      <c r="FC327" s="28"/>
      <c r="FD327" s="28"/>
      <c r="FE327" s="28"/>
      <c r="FF327" s="28"/>
      <c r="FG327" s="28"/>
      <c r="FH327" s="28"/>
      <c r="FI327" s="28"/>
      <c r="FJ327" s="28"/>
      <c r="FK327" s="28"/>
      <c r="FL327" s="28"/>
      <c r="FM327" s="28"/>
      <c r="FN327" s="28"/>
      <c r="FO327" s="28"/>
      <c r="FP327" s="28"/>
      <c r="FQ327" s="28"/>
      <c r="FR327" s="28"/>
      <c r="FS327" s="28"/>
      <c r="FT327" s="28"/>
      <c r="FU327" s="28"/>
      <c r="FV327" s="28"/>
      <c r="FW327" s="28"/>
      <c r="FX327" s="28"/>
      <c r="FY327" s="28"/>
      <c r="FZ327" s="28"/>
      <c r="GA327" s="28"/>
      <c r="GB327" s="28"/>
      <c r="GC327" s="28"/>
      <c r="GD327" s="28"/>
      <c r="GE327" s="28"/>
      <c r="GF327" s="28"/>
      <c r="GG327" s="28"/>
      <c r="GH327" s="28"/>
      <c r="GI327" s="28"/>
      <c r="GJ327" s="28"/>
      <c r="GK327" s="28"/>
      <c r="GL327" s="28"/>
      <c r="GM327" s="28"/>
      <c r="GN327" s="28"/>
      <c r="GO327" s="28"/>
      <c r="GP327" s="28"/>
      <c r="GQ327" s="28"/>
      <c r="GR327" s="28"/>
      <c r="GS327" s="28"/>
      <c r="GT327" s="28"/>
      <c r="GU327" s="28"/>
      <c r="GV327" s="28"/>
      <c r="GW327" s="28"/>
      <c r="GX327" s="28"/>
      <c r="GY327" s="28"/>
      <c r="GZ327" s="28"/>
      <c r="HA327" s="28"/>
      <c r="HB327" s="28"/>
      <c r="HC327" s="28"/>
      <c r="HD327" s="28"/>
      <c r="HE327" s="28"/>
      <c r="HF327" s="28"/>
      <c r="HG327" s="28"/>
      <c r="HH327" s="28"/>
      <c r="HI327" s="28"/>
      <c r="HJ327" s="28"/>
      <c r="HK327" s="28"/>
      <c r="HL327" s="28"/>
    </row>
    <row r="328" spans="1:220" ht="15" customHeight="1">
      <c r="A328" s="31">
        <v>6</v>
      </c>
      <c r="B328" s="105" t="str">
        <f>VLOOKUP(Ruimtestaat[[#This Row],[Code]],Locaties[[Code]:[Locatie]],2,FALSE)</f>
        <v>IKC Joannes</v>
      </c>
      <c r="C328" s="105" t="str">
        <f>VLOOKUP(Ruimtestaat[[#This Row],[Code]],Locaties[[#All],[Code]:[Adres]],4,FALSE)</f>
        <v>Kerkakkers 4</v>
      </c>
      <c r="D328" s="105" t="str">
        <f>VLOOKUP(Ruimtestaat[[#This Row],[Code]],Locaties[[#All],[Code]:[Postcode]],5,FALSE)</f>
        <v>6923 BZ</v>
      </c>
      <c r="E328" s="105" t="str">
        <f>VLOOKUP(Ruimtestaat[[#This Row],[Code]],Locaties[#All],6,FALSE)</f>
        <v>Groessen</v>
      </c>
      <c r="F328" s="113" t="s">
        <v>1921</v>
      </c>
      <c r="G328" s="31" t="s">
        <v>1645</v>
      </c>
      <c r="H328" s="31" t="s">
        <v>1954</v>
      </c>
      <c r="I328" s="113" t="s">
        <v>1917</v>
      </c>
      <c r="J328" s="31">
        <v>20</v>
      </c>
      <c r="K328" s="113" t="str">
        <f>VLOOKUP(Ruimtestaat[[#This Row],[Ruimte code]],Ruimtegroepen[[#All],[Code]:[Ruimte omschrijving]],2,FALSE)</f>
        <v>Niet in Onderhoud</v>
      </c>
      <c r="M328" s="31"/>
      <c r="N328" s="106"/>
      <c r="O328" s="112"/>
      <c r="P328" s="112"/>
      <c r="Q328" s="107">
        <f>VLOOKUP(Ruimtestaat[[#This Row],[Ruimte code]],Ruimtegroepen[],4,FALSE)</f>
        <v>0</v>
      </c>
      <c r="R328" s="73"/>
      <c r="S328" s="73"/>
      <c r="T328" s="73">
        <f>IF(R328&gt;0,IF(RIGHT(Ruimtestaat[[#This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8" s="73">
        <f>IF(T328&gt;0,VLOOKUP($J328,Ruimtegroepen[],3,FALSE)*VLOOKUP($L328,Vloersoorten[],3,FALSE)*VLOOKUP($S328,Frequenties[],3,FALSE)*VLOOKUP($A328,Locaties[],3,FALSE),0)</f>
        <v>0</v>
      </c>
      <c r="V328" s="73">
        <f>Ruimtestaat[[#This Row],[Uitvoeringen werkdagen]]*Ruimtestaat[[#This Row],[Oppervlak (netto)]]</f>
        <v>0</v>
      </c>
      <c r="W328" s="108">
        <f>IF(U328&gt;0,Ruimtestaat[[#This Row],[Prest. (m2 /jaar) werkdagen]]/Ruimtestaat[[#This Row],[Norm (m2/uur) werkdagen]],0)</f>
        <v>0</v>
      </c>
      <c r="X328" s="109">
        <f>Ruimtestaat[[#This Row],[uren / jaar werkdagen]]*Tariefsopbouw!$E$35</f>
        <v>0</v>
      </c>
      <c r="Y328" s="73"/>
      <c r="Z328" s="73">
        <f>IF(Ruimtestaat[[#This Row],[Frequentie weekend]]&gt;0,VALUE(LEFT(Y328,1))*R328,0)</f>
        <v>0</v>
      </c>
      <c r="AA328" s="72">
        <f>IF($Z328&gt;0,VLOOKUP($J328,Ruimtegroepen[],3,FALSE)*VLOOKUP($L328,Vloersoorten[],3,FALSE)*VLOOKUP($Y328,Frequenties[],3,FALSE)*VLOOKUP(Ruimtestaat[[#This Row],[Code]],Locaties[],3,FALSE),0)</f>
        <v>0</v>
      </c>
      <c r="AB328" s="72">
        <f>Ruimtestaat[[#This Row],[Uitvoeringen weekend]]*Ruimtestaat[[#This Row],[Oppervlak (netto)]]</f>
        <v>0</v>
      </c>
      <c r="AC328" s="72">
        <f>IF(AA328&gt;0,Ruimtestaat[[#This Row],[Prest. (m2 /jaar) weekend]]/Ruimtestaat[[#This Row],[Norm (m2/uur) weekend]],0)</f>
        <v>0</v>
      </c>
      <c r="AD328" s="109">
        <f>Ruimtestaat[[#This Row],[uren / jaar weekend]]*Tariefsopbouw!$D$40</f>
        <v>0</v>
      </c>
      <c r="AE328" s="108">
        <f>Ruimtestaat[[#This Row],[Prest. (m2 /jaar) weekend]]+Ruimtestaat[[#This Row],[Prest. (m2 /jaar) werkdagen]]</f>
        <v>0</v>
      </c>
      <c r="AF328" s="108">
        <f>Ruimtestaat[[#This Row],[uren / jaar weekend]]+Ruimtestaat[[#This Row],[uren / jaar werkdagen]]</f>
        <v>0</v>
      </c>
      <c r="AG328" s="103">
        <f>Ruimtestaat[[#This Row],[kosten / jaar weekend]]+Ruimtestaat[[#This Row],[kosten / jaar werkdagen]]</f>
        <v>0</v>
      </c>
      <c r="AH328" s="103"/>
      <c r="AI328" s="110" t="str">
        <f>IF(Ruimtestaat[[#This Row],[Frequentie werkdagen]]="","",_xlfn.CONCAT(Ruimtestaat[[#This Row],[Ruimte code]],"-",Ruimtestaat[[#This Row],[Frequentie werkdagen]]," ",Ruimtestaat[[#This Row],[Vloer code]]))</f>
        <v/>
      </c>
      <c r="AJ328" s="114" t="str">
        <f>_xlfn.IFNA(VLOOKUP($AI328,Programma!$F$3:$G$1101,2,0),"")</f>
        <v/>
      </c>
      <c r="AK328" s="114" t="str">
        <f>_xlfn.IFNA(VLOOKUP($AI328,Programma!$F$3:$H$1101,3,0),"")</f>
        <v/>
      </c>
      <c r="AL328" s="114" t="str">
        <f>_xlfn.IFNA(VLOOKUP($AI328,Programma!$F$3:$I$1101,4,0),"")</f>
        <v/>
      </c>
      <c r="AM328" s="114" t="str">
        <f>_xlfn.IFNA(VLOOKUP($AI328,Programma!$F$3:$J$1101,5,0),"")</f>
        <v/>
      </c>
      <c r="AN328" s="114" t="str">
        <f>_xlfn.IFNA(VLOOKUP($AI328,Programma!$F$3:$K$1101,6,0),"")</f>
        <v/>
      </c>
      <c r="AO328" s="114" t="str">
        <f>_xlfn.IFNA(VLOOKUP($AI328,Programma!$F$3:$L$1101,7,0),"")</f>
        <v/>
      </c>
      <c r="AP328" s="114" t="str">
        <f>_xlfn.IFNA(VLOOKUP($AI328,Programma!$F$3:$M$1101,8,0),"")</f>
        <v/>
      </c>
      <c r="AQ328" s="114" t="str">
        <f>_xlfn.IFNA(VLOOKUP($AI328,Programma!$F$3:$N$1101,9,0),"")</f>
        <v/>
      </c>
      <c r="AR328" s="114" t="str">
        <f>_xlfn.IFNA(VLOOKUP($AI328,Programma!$F$3:$O$1101,10,0),"")</f>
        <v/>
      </c>
      <c r="AS328" s="114" t="str">
        <f>_xlfn.IFNA(VLOOKUP($AI328,Programma!$F$3:$P$1101,11,0),"")</f>
        <v/>
      </c>
      <c r="AT328" s="114" t="str">
        <f>_xlfn.IFNA(VLOOKUP($AI328,Programma!$F$3:$Q$1101,12,0),"")</f>
        <v/>
      </c>
      <c r="AU328" s="114" t="str">
        <f>_xlfn.IFNA(VLOOKUP($AI328,Programma!$F$3:$R$1101,13,0),"")</f>
        <v/>
      </c>
      <c r="AV328" s="114" t="str">
        <f>_xlfn.IFNA(VLOOKUP($AI328,Programma!$F$3:$S$1101,14,0),"")</f>
        <v/>
      </c>
      <c r="AW328" s="114" t="str">
        <f>_xlfn.IFNA(VLOOKUP($AI328,Programma!$F$3:$T$1101,15,0),"")</f>
        <v/>
      </c>
      <c r="AX328" s="114" t="str">
        <f>_xlfn.IFNA(VLOOKUP($AI328,Programma!$F$3:$U$1101,16,0),"")</f>
        <v/>
      </c>
      <c r="AY328" s="114" t="str">
        <f>_xlfn.IFNA(VLOOKUP($AI328,Programma!$F$3:$V$1101,17,0),"")</f>
        <v/>
      </c>
      <c r="AZ328" s="114" t="str">
        <f>_xlfn.IFNA(VLOOKUP($AI328,Programma!$F$3:$W$1101,18,0),"")</f>
        <v/>
      </c>
      <c r="BA328" s="114" t="str">
        <f>_xlfn.IFNA(VLOOKUP($AI328,Programma!$F$3:$X$1101,19,0),"")</f>
        <v/>
      </c>
      <c r="BB328" s="114" t="str">
        <f>_xlfn.IFNA(VLOOKUP($AI328,Programma!$F$3:$Y$1101,20,0),"")</f>
        <v/>
      </c>
      <c r="BC328" s="111"/>
      <c r="BD328" s="110" t="str">
        <f>IF(Ruimtestaat[[#This Row],[Frequentie weekend]]="","",_xlfn.CONCAT(Ruimtestaat[[#This Row],[Ruimte code]],"-",Ruimtestaat[[#This Row],[Frequentie weekend]]," ",Ruimtestaat[[#This Row],[Vloer code]]))</f>
        <v/>
      </c>
      <c r="BE328" s="114" t="str">
        <f>_xlfn.IFNA(VLOOKUP($BD328,Programma!$F$3:$G$1101,2,0),"")</f>
        <v/>
      </c>
      <c r="BF328" s="114" t="str">
        <f>_xlfn.IFNA(VLOOKUP($BD328,Programma!$F$3:$H$1101,3,0),"")</f>
        <v/>
      </c>
      <c r="BG328" s="114" t="str">
        <f>_xlfn.IFNA(VLOOKUP($BD328,Programma!$F$3:$I$1101,4,0),"")</f>
        <v/>
      </c>
      <c r="BH328" s="114" t="str">
        <f>_xlfn.IFNA(VLOOKUP($BD328,Programma!$F$3:$J$1101,5,0),"")</f>
        <v/>
      </c>
      <c r="BI328" s="114" t="str">
        <f>_xlfn.IFNA(VLOOKUP($BD328,Programma!$F$3:$K$1101,6,0),"")</f>
        <v/>
      </c>
      <c r="BJ328" s="114" t="str">
        <f>_xlfn.IFNA(VLOOKUP($BD328,Programma!$F$3:$L$1101,7,0),"")</f>
        <v/>
      </c>
      <c r="BK328" s="114" t="str">
        <f>_xlfn.IFNA(VLOOKUP($BD328,Programma!$F$3:$M$1101,8,0),"")</f>
        <v/>
      </c>
      <c r="BL328" s="114" t="str">
        <f>_xlfn.IFNA(VLOOKUP($BD328,Programma!$F$3:$N$1101,9,0),"")</f>
        <v/>
      </c>
      <c r="BM328" s="114" t="str">
        <f>_xlfn.IFNA(VLOOKUP($BD328,Programma!$F$3:$O$1101,10,0),"")</f>
        <v/>
      </c>
      <c r="BN328" s="114" t="str">
        <f>_xlfn.IFNA(VLOOKUP($BD328,Programma!$F$3:$P$1101,11,0),"")</f>
        <v/>
      </c>
      <c r="BO328" s="114" t="str">
        <f>_xlfn.IFNA(VLOOKUP($BD328,Programma!$F$3:$Q$1101,12,0),"")</f>
        <v/>
      </c>
      <c r="BP328" s="114" t="str">
        <f>_xlfn.IFNA(VLOOKUP($BD328,Programma!$F$3:$R$1101,13,0),"")</f>
        <v/>
      </c>
      <c r="BQ328" s="114" t="str">
        <f>_xlfn.IFNA(VLOOKUP($BD328,Programma!$F$3:$S$1101,14,0),"")</f>
        <v/>
      </c>
      <c r="BR328" s="114" t="str">
        <f>_xlfn.IFNA(VLOOKUP($BD328,Programma!$F$3:$T$1101,15,0),"")</f>
        <v/>
      </c>
      <c r="BS328" s="114" t="str">
        <f>_xlfn.IFNA(VLOOKUP($BD328,Programma!$F$3:$U$1101,16,0),"")</f>
        <v/>
      </c>
      <c r="BT328" s="114" t="str">
        <f>_xlfn.IFNA(VLOOKUP($BD328,Programma!$F$3:$V$1101,17,0),"")</f>
        <v/>
      </c>
      <c r="BU328" s="114" t="str">
        <f>_xlfn.IFNA(VLOOKUP($BD328,Programma!$F$3:$W$1101,18,0),"")</f>
        <v/>
      </c>
      <c r="BV328" s="114" t="str">
        <f>_xlfn.IFNA(VLOOKUP($BD328,Programma!$F$3:$X$1101,19,0),"")</f>
        <v/>
      </c>
      <c r="BW328" s="114" t="str">
        <f>_xlfn.IFNA(VLOOKUP($BD328,Programma!$F$3:$Y$1101,20,0),"")</f>
        <v/>
      </c>
      <c r="BX328" s="28"/>
      <c r="BY328" s="28"/>
      <c r="BZ328" s="28"/>
      <c r="CA328" s="28"/>
      <c r="CB328" s="28"/>
      <c r="CC328" s="28"/>
      <c r="CD328" s="28"/>
      <c r="CE328" s="28"/>
      <c r="CF328" s="28"/>
      <c r="CG328" s="28"/>
      <c r="CH328" s="28"/>
      <c r="CI328" s="28"/>
      <c r="CJ328" s="28"/>
      <c r="CK328" s="28"/>
      <c r="CL328" s="28"/>
      <c r="CM328" s="28"/>
      <c r="CN328" s="28"/>
      <c r="CO328" s="28"/>
      <c r="CP328" s="28"/>
      <c r="CQ328" s="28"/>
      <c r="CR328" s="28"/>
      <c r="CS328" s="28"/>
      <c r="CT328" s="28"/>
      <c r="CU328" s="28"/>
      <c r="CV328" s="28"/>
      <c r="CW328" s="28"/>
      <c r="CX328" s="28"/>
      <c r="CY328" s="28"/>
      <c r="CZ328" s="28"/>
      <c r="DA328" s="28"/>
      <c r="DB328" s="28"/>
      <c r="DC328" s="28"/>
      <c r="DD328" s="28"/>
      <c r="DE328" s="28"/>
      <c r="DF328" s="28"/>
      <c r="DG328" s="28"/>
      <c r="DH328" s="28"/>
      <c r="DI328" s="28"/>
      <c r="DJ328" s="28"/>
      <c r="DK328" s="28"/>
      <c r="DL328" s="28"/>
      <c r="DM328" s="28"/>
      <c r="DN328" s="28"/>
      <c r="DO328" s="28"/>
      <c r="DP328" s="28"/>
      <c r="DQ328" s="28"/>
      <c r="DR328" s="28"/>
      <c r="DS328" s="28"/>
      <c r="DT328" s="28"/>
      <c r="DU328" s="28"/>
      <c r="DV328" s="28"/>
      <c r="DW328" s="28"/>
      <c r="DX328" s="28"/>
      <c r="DY328" s="28"/>
      <c r="DZ328" s="28"/>
      <c r="EA328" s="28"/>
      <c r="EB328" s="28"/>
      <c r="EC328" s="28"/>
      <c r="ED328" s="28"/>
      <c r="EE328" s="28"/>
      <c r="EF328" s="28"/>
      <c r="EG328" s="28"/>
      <c r="EH328" s="28"/>
      <c r="EI328" s="28"/>
      <c r="EJ328" s="28"/>
      <c r="EK328" s="28"/>
      <c r="EL328" s="28"/>
      <c r="EM328" s="28"/>
      <c r="EN328" s="28"/>
      <c r="EO328" s="28"/>
      <c r="EP328" s="28"/>
      <c r="EQ328" s="28"/>
      <c r="ER328" s="28"/>
      <c r="ES328" s="28"/>
      <c r="ET328" s="28"/>
      <c r="EU328" s="28"/>
      <c r="EV328" s="28"/>
      <c r="EW328" s="28"/>
      <c r="EX328" s="28"/>
      <c r="EY328" s="28"/>
      <c r="EZ328" s="28"/>
      <c r="FA328" s="28"/>
      <c r="FB328" s="28"/>
      <c r="FC328" s="28"/>
      <c r="FD328" s="28"/>
      <c r="FE328" s="28"/>
      <c r="FF328" s="28"/>
      <c r="FG328" s="28"/>
      <c r="FH328" s="28"/>
      <c r="FI328" s="28"/>
      <c r="FJ328" s="28"/>
      <c r="FK328" s="28"/>
      <c r="FL328" s="28"/>
      <c r="FM328" s="28"/>
      <c r="FN328" s="28"/>
      <c r="FO328" s="28"/>
      <c r="FP328" s="28"/>
      <c r="FQ328" s="28"/>
      <c r="FR328" s="28"/>
      <c r="FS328" s="28"/>
      <c r="FT328" s="28"/>
      <c r="FU328" s="28"/>
      <c r="FV328" s="28"/>
      <c r="FW328" s="28"/>
      <c r="FX328" s="28"/>
      <c r="FY328" s="28"/>
      <c r="FZ328" s="28"/>
      <c r="GA328" s="28"/>
      <c r="GB328" s="28"/>
      <c r="GC328" s="28"/>
      <c r="GD328" s="28"/>
      <c r="GE328" s="28"/>
      <c r="GF328" s="28"/>
      <c r="GG328" s="28"/>
      <c r="GH328" s="28"/>
      <c r="GI328" s="28"/>
      <c r="GJ328" s="28"/>
      <c r="GK328" s="28"/>
      <c r="GL328" s="28"/>
      <c r="GM328" s="28"/>
      <c r="GN328" s="28"/>
      <c r="GO328" s="28"/>
      <c r="GP328" s="28"/>
      <c r="GQ328" s="28"/>
      <c r="GR328" s="28"/>
      <c r="GS328" s="28"/>
      <c r="GT328" s="28"/>
      <c r="GU328" s="28"/>
      <c r="GV328" s="28"/>
      <c r="GW328" s="28"/>
      <c r="GX328" s="28"/>
      <c r="GY328" s="28"/>
      <c r="GZ328" s="28"/>
      <c r="HA328" s="28"/>
      <c r="HB328" s="28"/>
      <c r="HC328" s="28"/>
      <c r="HD328" s="28"/>
      <c r="HE328" s="28"/>
      <c r="HF328" s="28"/>
      <c r="HG328" s="28"/>
      <c r="HH328" s="28"/>
      <c r="HI328" s="28"/>
      <c r="HJ328" s="28"/>
      <c r="HK328" s="28"/>
      <c r="HL328" s="28"/>
    </row>
    <row r="329" spans="1:220" ht="15" customHeight="1">
      <c r="A329" s="31">
        <v>6</v>
      </c>
      <c r="B329" s="105" t="str">
        <f>VLOOKUP(Ruimtestaat[[#This Row],[Code]],Locaties[[Code]:[Locatie]],2,FALSE)</f>
        <v>IKC Joannes</v>
      </c>
      <c r="C329" s="105" t="str">
        <f>VLOOKUP(Ruimtestaat[[#This Row],[Code]],Locaties[[#All],[Code]:[Adres]],4,FALSE)</f>
        <v>Kerkakkers 4</v>
      </c>
      <c r="D329" s="105" t="str">
        <f>VLOOKUP(Ruimtestaat[[#This Row],[Code]],Locaties[[#All],[Code]:[Postcode]],5,FALSE)</f>
        <v>6923 BZ</v>
      </c>
      <c r="E329" s="105" t="str">
        <f>VLOOKUP(Ruimtestaat[[#This Row],[Code]],Locaties[#All],6,FALSE)</f>
        <v>Groessen</v>
      </c>
      <c r="F329" s="113" t="s">
        <v>1921</v>
      </c>
      <c r="G329" s="31" t="s">
        <v>1645</v>
      </c>
      <c r="H329" s="31" t="s">
        <v>1955</v>
      </c>
      <c r="I329" s="113" t="s">
        <v>1918</v>
      </c>
      <c r="J329" s="31">
        <v>20</v>
      </c>
      <c r="K329" s="113" t="str">
        <f>VLOOKUP(Ruimtestaat[[#This Row],[Ruimte code]],Ruimtegroepen[[#All],[Code]:[Ruimte omschrijving]],2,FALSE)</f>
        <v>Niet in Onderhoud</v>
      </c>
      <c r="M329" s="31"/>
      <c r="N329" s="106"/>
      <c r="O329" s="112"/>
      <c r="P329" s="112"/>
      <c r="Q329" s="107">
        <f>VLOOKUP(Ruimtestaat[[#This Row],[Ruimte code]],Ruimtegroepen[],4,FALSE)</f>
        <v>0</v>
      </c>
      <c r="R329" s="73"/>
      <c r="S329" s="73"/>
      <c r="T329" s="73">
        <f>IF(R329&gt;0,IF(RIGHT(Ruimtestaat[[#This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9" s="73">
        <f>IF(T329&gt;0,VLOOKUP($J329,Ruimtegroepen[],3,FALSE)*VLOOKUP($L329,Vloersoorten[],3,FALSE)*VLOOKUP($S329,Frequenties[],3,FALSE)*VLOOKUP($A329,Locaties[],3,FALSE),0)</f>
        <v>0</v>
      </c>
      <c r="V329" s="73">
        <f>Ruimtestaat[[#This Row],[Uitvoeringen werkdagen]]*Ruimtestaat[[#This Row],[Oppervlak (netto)]]</f>
        <v>0</v>
      </c>
      <c r="W329" s="108">
        <f>IF(U329&gt;0,Ruimtestaat[[#This Row],[Prest. (m2 /jaar) werkdagen]]/Ruimtestaat[[#This Row],[Norm (m2/uur) werkdagen]],0)</f>
        <v>0</v>
      </c>
      <c r="X329" s="109">
        <f>Ruimtestaat[[#This Row],[uren / jaar werkdagen]]*Tariefsopbouw!$E$35</f>
        <v>0</v>
      </c>
      <c r="Y329" s="73"/>
      <c r="Z329" s="73">
        <f>IF(Ruimtestaat[[#This Row],[Frequentie weekend]]&gt;0,VALUE(LEFT(Y329,1))*R329,0)</f>
        <v>0</v>
      </c>
      <c r="AA329" s="72">
        <f>IF($Z329&gt;0,VLOOKUP($J329,Ruimtegroepen[],3,FALSE)*VLOOKUP($L329,Vloersoorten[],3,FALSE)*VLOOKUP($Y329,Frequenties[],3,FALSE)*VLOOKUP(Ruimtestaat[[#This Row],[Code]],Locaties[],3,FALSE),0)</f>
        <v>0</v>
      </c>
      <c r="AB329" s="72">
        <f>Ruimtestaat[[#This Row],[Uitvoeringen weekend]]*Ruimtestaat[[#This Row],[Oppervlak (netto)]]</f>
        <v>0</v>
      </c>
      <c r="AC329" s="72">
        <f>IF(AA329&gt;0,Ruimtestaat[[#This Row],[Prest. (m2 /jaar) weekend]]/Ruimtestaat[[#This Row],[Norm (m2/uur) weekend]],0)</f>
        <v>0</v>
      </c>
      <c r="AD329" s="109">
        <f>Ruimtestaat[[#This Row],[uren / jaar weekend]]*Tariefsopbouw!$D$40</f>
        <v>0</v>
      </c>
      <c r="AE329" s="108">
        <f>Ruimtestaat[[#This Row],[Prest. (m2 /jaar) weekend]]+Ruimtestaat[[#This Row],[Prest. (m2 /jaar) werkdagen]]</f>
        <v>0</v>
      </c>
      <c r="AF329" s="108">
        <f>Ruimtestaat[[#This Row],[uren / jaar weekend]]+Ruimtestaat[[#This Row],[uren / jaar werkdagen]]</f>
        <v>0</v>
      </c>
      <c r="AG329" s="103">
        <f>Ruimtestaat[[#This Row],[kosten / jaar weekend]]+Ruimtestaat[[#This Row],[kosten / jaar werkdagen]]</f>
        <v>0</v>
      </c>
      <c r="AH329" s="103"/>
      <c r="AI329" s="110" t="str">
        <f>IF(Ruimtestaat[[#This Row],[Frequentie werkdagen]]="","",_xlfn.CONCAT(Ruimtestaat[[#This Row],[Ruimte code]],"-",Ruimtestaat[[#This Row],[Frequentie werkdagen]]," ",Ruimtestaat[[#This Row],[Vloer code]]))</f>
        <v/>
      </c>
      <c r="AJ329" s="114" t="str">
        <f>_xlfn.IFNA(VLOOKUP($AI329,Programma!$F$3:$G$1101,2,0),"")</f>
        <v/>
      </c>
      <c r="AK329" s="114" t="str">
        <f>_xlfn.IFNA(VLOOKUP($AI329,Programma!$F$3:$H$1101,3,0),"")</f>
        <v/>
      </c>
      <c r="AL329" s="114" t="str">
        <f>_xlfn.IFNA(VLOOKUP($AI329,Programma!$F$3:$I$1101,4,0),"")</f>
        <v/>
      </c>
      <c r="AM329" s="114" t="str">
        <f>_xlfn.IFNA(VLOOKUP($AI329,Programma!$F$3:$J$1101,5,0),"")</f>
        <v/>
      </c>
      <c r="AN329" s="114" t="str">
        <f>_xlfn.IFNA(VLOOKUP($AI329,Programma!$F$3:$K$1101,6,0),"")</f>
        <v/>
      </c>
      <c r="AO329" s="114" t="str">
        <f>_xlfn.IFNA(VLOOKUP($AI329,Programma!$F$3:$L$1101,7,0),"")</f>
        <v/>
      </c>
      <c r="AP329" s="114" t="str">
        <f>_xlfn.IFNA(VLOOKUP($AI329,Programma!$F$3:$M$1101,8,0),"")</f>
        <v/>
      </c>
      <c r="AQ329" s="114" t="str">
        <f>_xlfn.IFNA(VLOOKUP($AI329,Programma!$F$3:$N$1101,9,0),"")</f>
        <v/>
      </c>
      <c r="AR329" s="114" t="str">
        <f>_xlfn.IFNA(VLOOKUP($AI329,Programma!$F$3:$O$1101,10,0),"")</f>
        <v/>
      </c>
      <c r="AS329" s="114" t="str">
        <f>_xlfn.IFNA(VLOOKUP($AI329,Programma!$F$3:$P$1101,11,0),"")</f>
        <v/>
      </c>
      <c r="AT329" s="114" t="str">
        <f>_xlfn.IFNA(VLOOKUP($AI329,Programma!$F$3:$Q$1101,12,0),"")</f>
        <v/>
      </c>
      <c r="AU329" s="114" t="str">
        <f>_xlfn.IFNA(VLOOKUP($AI329,Programma!$F$3:$R$1101,13,0),"")</f>
        <v/>
      </c>
      <c r="AV329" s="114" t="str">
        <f>_xlfn.IFNA(VLOOKUP($AI329,Programma!$F$3:$S$1101,14,0),"")</f>
        <v/>
      </c>
      <c r="AW329" s="114" t="str">
        <f>_xlfn.IFNA(VLOOKUP($AI329,Programma!$F$3:$T$1101,15,0),"")</f>
        <v/>
      </c>
      <c r="AX329" s="114" t="str">
        <f>_xlfn.IFNA(VLOOKUP($AI329,Programma!$F$3:$U$1101,16,0),"")</f>
        <v/>
      </c>
      <c r="AY329" s="114" t="str">
        <f>_xlfn.IFNA(VLOOKUP($AI329,Programma!$F$3:$V$1101,17,0),"")</f>
        <v/>
      </c>
      <c r="AZ329" s="114" t="str">
        <f>_xlfn.IFNA(VLOOKUP($AI329,Programma!$F$3:$W$1101,18,0),"")</f>
        <v/>
      </c>
      <c r="BA329" s="114" t="str">
        <f>_xlfn.IFNA(VLOOKUP($AI329,Programma!$F$3:$X$1101,19,0),"")</f>
        <v/>
      </c>
      <c r="BB329" s="114" t="str">
        <f>_xlfn.IFNA(VLOOKUP($AI329,Programma!$F$3:$Y$1101,20,0),"")</f>
        <v/>
      </c>
      <c r="BC329" s="111"/>
      <c r="BD329" s="110" t="str">
        <f>IF(Ruimtestaat[[#This Row],[Frequentie weekend]]="","",_xlfn.CONCAT(Ruimtestaat[[#This Row],[Ruimte code]],"-",Ruimtestaat[[#This Row],[Frequentie weekend]]," ",Ruimtestaat[[#This Row],[Vloer code]]))</f>
        <v/>
      </c>
      <c r="BE329" s="114" t="str">
        <f>_xlfn.IFNA(VLOOKUP($BD329,Programma!$F$3:$G$1101,2,0),"")</f>
        <v/>
      </c>
      <c r="BF329" s="114" t="str">
        <f>_xlfn.IFNA(VLOOKUP($BD329,Programma!$F$3:$H$1101,3,0),"")</f>
        <v/>
      </c>
      <c r="BG329" s="114" t="str">
        <f>_xlfn.IFNA(VLOOKUP($BD329,Programma!$F$3:$I$1101,4,0),"")</f>
        <v/>
      </c>
      <c r="BH329" s="114" t="str">
        <f>_xlfn.IFNA(VLOOKUP($BD329,Programma!$F$3:$J$1101,5,0),"")</f>
        <v/>
      </c>
      <c r="BI329" s="114" t="str">
        <f>_xlfn.IFNA(VLOOKUP($BD329,Programma!$F$3:$K$1101,6,0),"")</f>
        <v/>
      </c>
      <c r="BJ329" s="114" t="str">
        <f>_xlfn.IFNA(VLOOKUP($BD329,Programma!$F$3:$L$1101,7,0),"")</f>
        <v/>
      </c>
      <c r="BK329" s="114" t="str">
        <f>_xlfn.IFNA(VLOOKUP($BD329,Programma!$F$3:$M$1101,8,0),"")</f>
        <v/>
      </c>
      <c r="BL329" s="114" t="str">
        <f>_xlfn.IFNA(VLOOKUP($BD329,Programma!$F$3:$N$1101,9,0),"")</f>
        <v/>
      </c>
      <c r="BM329" s="114" t="str">
        <f>_xlfn.IFNA(VLOOKUP($BD329,Programma!$F$3:$O$1101,10,0),"")</f>
        <v/>
      </c>
      <c r="BN329" s="114" t="str">
        <f>_xlfn.IFNA(VLOOKUP($BD329,Programma!$F$3:$P$1101,11,0),"")</f>
        <v/>
      </c>
      <c r="BO329" s="114" t="str">
        <f>_xlfn.IFNA(VLOOKUP($BD329,Programma!$F$3:$Q$1101,12,0),"")</f>
        <v/>
      </c>
      <c r="BP329" s="114" t="str">
        <f>_xlfn.IFNA(VLOOKUP($BD329,Programma!$F$3:$R$1101,13,0),"")</f>
        <v/>
      </c>
      <c r="BQ329" s="114" t="str">
        <f>_xlfn.IFNA(VLOOKUP($BD329,Programma!$F$3:$S$1101,14,0),"")</f>
        <v/>
      </c>
      <c r="BR329" s="114" t="str">
        <f>_xlfn.IFNA(VLOOKUP($BD329,Programma!$F$3:$T$1101,15,0),"")</f>
        <v/>
      </c>
      <c r="BS329" s="114" t="str">
        <f>_xlfn.IFNA(VLOOKUP($BD329,Programma!$F$3:$U$1101,16,0),"")</f>
        <v/>
      </c>
      <c r="BT329" s="114" t="str">
        <f>_xlfn.IFNA(VLOOKUP($BD329,Programma!$F$3:$V$1101,17,0),"")</f>
        <v/>
      </c>
      <c r="BU329" s="114" t="str">
        <f>_xlfn.IFNA(VLOOKUP($BD329,Programma!$F$3:$W$1101,18,0),"")</f>
        <v/>
      </c>
      <c r="BV329" s="114" t="str">
        <f>_xlfn.IFNA(VLOOKUP($BD329,Programma!$F$3:$X$1101,19,0),"")</f>
        <v/>
      </c>
      <c r="BW329" s="114" t="str">
        <f>_xlfn.IFNA(VLOOKUP($BD329,Programma!$F$3:$Y$1101,20,0),"")</f>
        <v/>
      </c>
      <c r="BX329" s="28"/>
      <c r="BY329" s="28"/>
      <c r="BZ329" s="28"/>
      <c r="CA329" s="28"/>
      <c r="CB329" s="28"/>
      <c r="CC329" s="28"/>
      <c r="CD329" s="28"/>
      <c r="CE329" s="28"/>
      <c r="CF329" s="28"/>
      <c r="CG329" s="28"/>
      <c r="CH329" s="28"/>
      <c r="CI329" s="28"/>
      <c r="CJ329" s="28"/>
      <c r="CK329" s="28"/>
      <c r="CL329" s="28"/>
      <c r="CM329" s="28"/>
      <c r="CN329" s="28"/>
      <c r="CO329" s="28"/>
      <c r="CP329" s="28"/>
      <c r="CQ329" s="28"/>
      <c r="CR329" s="28"/>
      <c r="CS329" s="28"/>
      <c r="CT329" s="28"/>
      <c r="CU329" s="28"/>
      <c r="CV329" s="28"/>
      <c r="CW329" s="28"/>
      <c r="CX329" s="28"/>
      <c r="CY329" s="28"/>
      <c r="CZ329" s="28"/>
      <c r="DA329" s="28"/>
      <c r="DB329" s="28"/>
      <c r="DC329" s="28"/>
      <c r="DD329" s="28"/>
      <c r="DE329" s="28"/>
      <c r="DF329" s="28"/>
      <c r="DG329" s="28"/>
      <c r="DH329" s="28"/>
      <c r="DI329" s="28"/>
      <c r="DJ329" s="28"/>
      <c r="DK329" s="28"/>
      <c r="DL329" s="28"/>
      <c r="DM329" s="28"/>
      <c r="DN329" s="28"/>
      <c r="DO329" s="28"/>
      <c r="DP329" s="28"/>
      <c r="DQ329" s="28"/>
      <c r="DR329" s="28"/>
      <c r="DS329" s="28"/>
      <c r="DT329" s="28"/>
      <c r="DU329" s="28"/>
      <c r="DV329" s="28"/>
      <c r="DW329" s="28"/>
      <c r="DX329" s="28"/>
      <c r="DY329" s="28"/>
      <c r="DZ329" s="28"/>
      <c r="EA329" s="28"/>
      <c r="EB329" s="28"/>
      <c r="EC329" s="28"/>
      <c r="ED329" s="28"/>
      <c r="EE329" s="28"/>
      <c r="EF329" s="28"/>
      <c r="EG329" s="28"/>
      <c r="EH329" s="28"/>
      <c r="EI329" s="28"/>
      <c r="EJ329" s="28"/>
      <c r="EK329" s="28"/>
      <c r="EL329" s="28"/>
      <c r="EM329" s="28"/>
      <c r="EN329" s="28"/>
      <c r="EO329" s="28"/>
      <c r="EP329" s="28"/>
      <c r="EQ329" s="28"/>
      <c r="ER329" s="28"/>
      <c r="ES329" s="28"/>
      <c r="ET329" s="28"/>
      <c r="EU329" s="28"/>
      <c r="EV329" s="28"/>
      <c r="EW329" s="28"/>
      <c r="EX329" s="28"/>
      <c r="EY329" s="28"/>
      <c r="EZ329" s="28"/>
      <c r="FA329" s="28"/>
      <c r="FB329" s="28"/>
      <c r="FC329" s="28"/>
      <c r="FD329" s="28"/>
      <c r="FE329" s="28"/>
      <c r="FF329" s="28"/>
      <c r="FG329" s="28"/>
      <c r="FH329" s="28"/>
      <c r="FI329" s="28"/>
      <c r="FJ329" s="28"/>
      <c r="FK329" s="28"/>
      <c r="FL329" s="28"/>
      <c r="FM329" s="28"/>
      <c r="FN329" s="28"/>
      <c r="FO329" s="28"/>
      <c r="FP329" s="28"/>
      <c r="FQ329" s="28"/>
      <c r="FR329" s="28"/>
      <c r="FS329" s="28"/>
      <c r="FT329" s="28"/>
      <c r="FU329" s="28"/>
      <c r="FV329" s="28"/>
      <c r="FW329" s="28"/>
      <c r="FX329" s="28"/>
      <c r="FY329" s="28"/>
      <c r="FZ329" s="28"/>
      <c r="GA329" s="28"/>
      <c r="GB329" s="28"/>
      <c r="GC329" s="28"/>
      <c r="GD329" s="28"/>
      <c r="GE329" s="28"/>
      <c r="GF329" s="28"/>
      <c r="GG329" s="28"/>
      <c r="GH329" s="28"/>
      <c r="GI329" s="28"/>
      <c r="GJ329" s="28"/>
      <c r="GK329" s="28"/>
      <c r="GL329" s="28"/>
      <c r="GM329" s="28"/>
      <c r="GN329" s="28"/>
      <c r="GO329" s="28"/>
      <c r="GP329" s="28"/>
      <c r="GQ329" s="28"/>
      <c r="GR329" s="28"/>
      <c r="GS329" s="28"/>
      <c r="GT329" s="28"/>
      <c r="GU329" s="28"/>
      <c r="GV329" s="28"/>
      <c r="GW329" s="28"/>
      <c r="GX329" s="28"/>
      <c r="GY329" s="28"/>
      <c r="GZ329" s="28"/>
      <c r="HA329" s="28"/>
      <c r="HB329" s="28"/>
      <c r="HC329" s="28"/>
      <c r="HD329" s="28"/>
      <c r="HE329" s="28"/>
      <c r="HF329" s="28"/>
      <c r="HG329" s="28"/>
      <c r="HH329" s="28"/>
      <c r="HI329" s="28"/>
      <c r="HJ329" s="28"/>
      <c r="HK329" s="28"/>
      <c r="HL329" s="28"/>
    </row>
    <row r="330" spans="1:220" ht="15" customHeight="1">
      <c r="A330" s="31">
        <v>6</v>
      </c>
      <c r="B330" s="105" t="str">
        <f>VLOOKUP(Ruimtestaat[[#This Row],[Code]],Locaties[[Code]:[Locatie]],2,FALSE)</f>
        <v>IKC Joannes</v>
      </c>
      <c r="C330" s="105" t="str">
        <f>VLOOKUP(Ruimtestaat[[#This Row],[Code]],Locaties[[#All],[Code]:[Adres]],4,FALSE)</f>
        <v>Kerkakkers 4</v>
      </c>
      <c r="D330" s="105" t="str">
        <f>VLOOKUP(Ruimtestaat[[#This Row],[Code]],Locaties[[#All],[Code]:[Postcode]],5,FALSE)</f>
        <v>6923 BZ</v>
      </c>
      <c r="E330" s="105" t="str">
        <f>VLOOKUP(Ruimtestaat[[#This Row],[Code]],Locaties[#All],6,FALSE)</f>
        <v>Groessen</v>
      </c>
      <c r="F330" s="113" t="s">
        <v>1921</v>
      </c>
      <c r="G330" s="31" t="s">
        <v>1645</v>
      </c>
      <c r="H330" s="31" t="s">
        <v>1956</v>
      </c>
      <c r="I330" s="113" t="s">
        <v>1666</v>
      </c>
      <c r="J330" s="31">
        <v>20</v>
      </c>
      <c r="K330" s="113" t="str">
        <f>VLOOKUP(Ruimtestaat[[#This Row],[Ruimte code]],Ruimtegroepen[[#All],[Code]:[Ruimte omschrijving]],2,FALSE)</f>
        <v>Niet in Onderhoud</v>
      </c>
      <c r="M330" s="31"/>
      <c r="N330" s="106"/>
      <c r="O330" s="112"/>
      <c r="P330" s="112"/>
      <c r="Q330" s="107">
        <f>VLOOKUP(Ruimtestaat[[#This Row],[Ruimte code]],Ruimtegroepen[],4,FALSE)</f>
        <v>0</v>
      </c>
      <c r="R330" s="73"/>
      <c r="S330" s="73"/>
      <c r="T330" s="73">
        <f>IF(R330&gt;0,IF(RIGHT(Ruimtestaat[[#This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0" s="73">
        <f>IF(T330&gt;0,VLOOKUP($J330,Ruimtegroepen[],3,FALSE)*VLOOKUP($L330,Vloersoorten[],3,FALSE)*VLOOKUP($S330,Frequenties[],3,FALSE)*VLOOKUP($A330,Locaties[],3,FALSE),0)</f>
        <v>0</v>
      </c>
      <c r="V330" s="73">
        <f>Ruimtestaat[[#This Row],[Uitvoeringen werkdagen]]*Ruimtestaat[[#This Row],[Oppervlak (netto)]]</f>
        <v>0</v>
      </c>
      <c r="W330" s="108">
        <f>IF(U330&gt;0,Ruimtestaat[[#This Row],[Prest. (m2 /jaar) werkdagen]]/Ruimtestaat[[#This Row],[Norm (m2/uur) werkdagen]],0)</f>
        <v>0</v>
      </c>
      <c r="X330" s="109">
        <f>Ruimtestaat[[#This Row],[uren / jaar werkdagen]]*Tariefsopbouw!$E$35</f>
        <v>0</v>
      </c>
      <c r="Y330" s="73"/>
      <c r="Z330" s="73">
        <f>IF(Ruimtestaat[[#This Row],[Frequentie weekend]]&gt;0,VALUE(LEFT(Y330,1))*R330,0)</f>
        <v>0</v>
      </c>
      <c r="AA330" s="72">
        <f>IF($Z330&gt;0,VLOOKUP($J330,Ruimtegroepen[],3,FALSE)*VLOOKUP($L330,Vloersoorten[],3,FALSE)*VLOOKUP($Y330,Frequenties[],3,FALSE)*VLOOKUP(Ruimtestaat[[#This Row],[Code]],Locaties[],3,FALSE),0)</f>
        <v>0</v>
      </c>
      <c r="AB330" s="72">
        <f>Ruimtestaat[[#This Row],[Uitvoeringen weekend]]*Ruimtestaat[[#This Row],[Oppervlak (netto)]]</f>
        <v>0</v>
      </c>
      <c r="AC330" s="72">
        <f>IF(AA330&gt;0,Ruimtestaat[[#This Row],[Prest. (m2 /jaar) weekend]]/Ruimtestaat[[#This Row],[Norm (m2/uur) weekend]],0)</f>
        <v>0</v>
      </c>
      <c r="AD330" s="109">
        <f>Ruimtestaat[[#This Row],[uren / jaar weekend]]*Tariefsopbouw!$D$40</f>
        <v>0</v>
      </c>
      <c r="AE330" s="108">
        <f>Ruimtestaat[[#This Row],[Prest. (m2 /jaar) weekend]]+Ruimtestaat[[#This Row],[Prest. (m2 /jaar) werkdagen]]</f>
        <v>0</v>
      </c>
      <c r="AF330" s="108">
        <f>Ruimtestaat[[#This Row],[uren / jaar weekend]]+Ruimtestaat[[#This Row],[uren / jaar werkdagen]]</f>
        <v>0</v>
      </c>
      <c r="AG330" s="103">
        <f>Ruimtestaat[[#This Row],[kosten / jaar weekend]]+Ruimtestaat[[#This Row],[kosten / jaar werkdagen]]</f>
        <v>0</v>
      </c>
      <c r="AH330" s="103"/>
      <c r="AI330" s="110" t="str">
        <f>IF(Ruimtestaat[[#This Row],[Frequentie werkdagen]]="","",_xlfn.CONCAT(Ruimtestaat[[#This Row],[Ruimte code]],"-",Ruimtestaat[[#This Row],[Frequentie werkdagen]]," ",Ruimtestaat[[#This Row],[Vloer code]]))</f>
        <v/>
      </c>
      <c r="AJ330" s="114" t="str">
        <f>_xlfn.IFNA(VLOOKUP($AI330,Programma!$F$3:$G$1101,2,0),"")</f>
        <v/>
      </c>
      <c r="AK330" s="114" t="str">
        <f>_xlfn.IFNA(VLOOKUP($AI330,Programma!$F$3:$H$1101,3,0),"")</f>
        <v/>
      </c>
      <c r="AL330" s="114" t="str">
        <f>_xlfn.IFNA(VLOOKUP($AI330,Programma!$F$3:$I$1101,4,0),"")</f>
        <v/>
      </c>
      <c r="AM330" s="114" t="str">
        <f>_xlfn.IFNA(VLOOKUP($AI330,Programma!$F$3:$J$1101,5,0),"")</f>
        <v/>
      </c>
      <c r="AN330" s="114" t="str">
        <f>_xlfn.IFNA(VLOOKUP($AI330,Programma!$F$3:$K$1101,6,0),"")</f>
        <v/>
      </c>
      <c r="AO330" s="114" t="str">
        <f>_xlfn.IFNA(VLOOKUP($AI330,Programma!$F$3:$L$1101,7,0),"")</f>
        <v/>
      </c>
      <c r="AP330" s="114" t="str">
        <f>_xlfn.IFNA(VLOOKUP($AI330,Programma!$F$3:$M$1101,8,0),"")</f>
        <v/>
      </c>
      <c r="AQ330" s="114" t="str">
        <f>_xlfn.IFNA(VLOOKUP($AI330,Programma!$F$3:$N$1101,9,0),"")</f>
        <v/>
      </c>
      <c r="AR330" s="114" t="str">
        <f>_xlfn.IFNA(VLOOKUP($AI330,Programma!$F$3:$O$1101,10,0),"")</f>
        <v/>
      </c>
      <c r="AS330" s="114" t="str">
        <f>_xlfn.IFNA(VLOOKUP($AI330,Programma!$F$3:$P$1101,11,0),"")</f>
        <v/>
      </c>
      <c r="AT330" s="114" t="str">
        <f>_xlfn.IFNA(VLOOKUP($AI330,Programma!$F$3:$Q$1101,12,0),"")</f>
        <v/>
      </c>
      <c r="AU330" s="114" t="str">
        <f>_xlfn.IFNA(VLOOKUP($AI330,Programma!$F$3:$R$1101,13,0),"")</f>
        <v/>
      </c>
      <c r="AV330" s="114" t="str">
        <f>_xlfn.IFNA(VLOOKUP($AI330,Programma!$F$3:$S$1101,14,0),"")</f>
        <v/>
      </c>
      <c r="AW330" s="114" t="str">
        <f>_xlfn.IFNA(VLOOKUP($AI330,Programma!$F$3:$T$1101,15,0),"")</f>
        <v/>
      </c>
      <c r="AX330" s="114" t="str">
        <f>_xlfn.IFNA(VLOOKUP($AI330,Programma!$F$3:$U$1101,16,0),"")</f>
        <v/>
      </c>
      <c r="AY330" s="114" t="str">
        <f>_xlfn.IFNA(VLOOKUP($AI330,Programma!$F$3:$V$1101,17,0),"")</f>
        <v/>
      </c>
      <c r="AZ330" s="114" t="str">
        <f>_xlfn.IFNA(VLOOKUP($AI330,Programma!$F$3:$W$1101,18,0),"")</f>
        <v/>
      </c>
      <c r="BA330" s="114" t="str">
        <f>_xlfn.IFNA(VLOOKUP($AI330,Programma!$F$3:$X$1101,19,0),"")</f>
        <v/>
      </c>
      <c r="BB330" s="114" t="str">
        <f>_xlfn.IFNA(VLOOKUP($AI330,Programma!$F$3:$Y$1101,20,0),"")</f>
        <v/>
      </c>
      <c r="BC330" s="111"/>
      <c r="BD330" s="110" t="str">
        <f>IF(Ruimtestaat[[#This Row],[Frequentie weekend]]="","",_xlfn.CONCAT(Ruimtestaat[[#This Row],[Ruimte code]],"-",Ruimtestaat[[#This Row],[Frequentie weekend]]," ",Ruimtestaat[[#This Row],[Vloer code]]))</f>
        <v/>
      </c>
      <c r="BE330" s="114" t="str">
        <f>_xlfn.IFNA(VLOOKUP($BD330,Programma!$F$3:$G$1101,2,0),"")</f>
        <v/>
      </c>
      <c r="BF330" s="114" t="str">
        <f>_xlfn.IFNA(VLOOKUP($BD330,Programma!$F$3:$H$1101,3,0),"")</f>
        <v/>
      </c>
      <c r="BG330" s="114" t="str">
        <f>_xlfn.IFNA(VLOOKUP($BD330,Programma!$F$3:$I$1101,4,0),"")</f>
        <v/>
      </c>
      <c r="BH330" s="114" t="str">
        <f>_xlfn.IFNA(VLOOKUP($BD330,Programma!$F$3:$J$1101,5,0),"")</f>
        <v/>
      </c>
      <c r="BI330" s="114" t="str">
        <f>_xlfn.IFNA(VLOOKUP($BD330,Programma!$F$3:$K$1101,6,0),"")</f>
        <v/>
      </c>
      <c r="BJ330" s="114" t="str">
        <f>_xlfn.IFNA(VLOOKUP($BD330,Programma!$F$3:$L$1101,7,0),"")</f>
        <v/>
      </c>
      <c r="BK330" s="114" t="str">
        <f>_xlfn.IFNA(VLOOKUP($BD330,Programma!$F$3:$M$1101,8,0),"")</f>
        <v/>
      </c>
      <c r="BL330" s="114" t="str">
        <f>_xlfn.IFNA(VLOOKUP($BD330,Programma!$F$3:$N$1101,9,0),"")</f>
        <v/>
      </c>
      <c r="BM330" s="114" t="str">
        <f>_xlfn.IFNA(VLOOKUP($BD330,Programma!$F$3:$O$1101,10,0),"")</f>
        <v/>
      </c>
      <c r="BN330" s="114" t="str">
        <f>_xlfn.IFNA(VLOOKUP($BD330,Programma!$F$3:$P$1101,11,0),"")</f>
        <v/>
      </c>
      <c r="BO330" s="114" t="str">
        <f>_xlfn.IFNA(VLOOKUP($BD330,Programma!$F$3:$Q$1101,12,0),"")</f>
        <v/>
      </c>
      <c r="BP330" s="114" t="str">
        <f>_xlfn.IFNA(VLOOKUP($BD330,Programma!$F$3:$R$1101,13,0),"")</f>
        <v/>
      </c>
      <c r="BQ330" s="114" t="str">
        <f>_xlfn.IFNA(VLOOKUP($BD330,Programma!$F$3:$S$1101,14,0),"")</f>
        <v/>
      </c>
      <c r="BR330" s="114" t="str">
        <f>_xlfn.IFNA(VLOOKUP($BD330,Programma!$F$3:$T$1101,15,0),"")</f>
        <v/>
      </c>
      <c r="BS330" s="114" t="str">
        <f>_xlfn.IFNA(VLOOKUP($BD330,Programma!$F$3:$U$1101,16,0),"")</f>
        <v/>
      </c>
      <c r="BT330" s="114" t="str">
        <f>_xlfn.IFNA(VLOOKUP($BD330,Programma!$F$3:$V$1101,17,0),"")</f>
        <v/>
      </c>
      <c r="BU330" s="114" t="str">
        <f>_xlfn.IFNA(VLOOKUP($BD330,Programma!$F$3:$W$1101,18,0),"")</f>
        <v/>
      </c>
      <c r="BV330" s="114" t="str">
        <f>_xlfn.IFNA(VLOOKUP($BD330,Programma!$F$3:$X$1101,19,0),"")</f>
        <v/>
      </c>
      <c r="BW330" s="114" t="str">
        <f>_xlfn.IFNA(VLOOKUP($BD330,Programma!$F$3:$Y$1101,20,0),"")</f>
        <v/>
      </c>
      <c r="BX330" s="28"/>
      <c r="BY330" s="28"/>
      <c r="BZ330" s="28"/>
      <c r="CA330" s="28"/>
      <c r="CB330" s="28"/>
      <c r="CC330" s="28"/>
      <c r="CD330" s="28"/>
      <c r="CE330" s="28"/>
      <c r="CF330" s="28"/>
      <c r="CG330" s="28"/>
      <c r="CH330" s="28"/>
      <c r="CI330" s="28"/>
      <c r="CJ330" s="28"/>
      <c r="CK330" s="28"/>
      <c r="CL330" s="28"/>
      <c r="CM330" s="28"/>
      <c r="CN330" s="28"/>
      <c r="CO330" s="28"/>
      <c r="CP330" s="28"/>
      <c r="CQ330" s="28"/>
      <c r="CR330" s="28"/>
      <c r="CS330" s="28"/>
      <c r="CT330" s="28"/>
      <c r="CU330" s="28"/>
      <c r="CV330" s="28"/>
      <c r="CW330" s="28"/>
      <c r="CX330" s="28"/>
      <c r="CY330" s="28"/>
      <c r="CZ330" s="28"/>
      <c r="DA330" s="28"/>
      <c r="DB330" s="28"/>
      <c r="DC330" s="28"/>
      <c r="DD330" s="28"/>
      <c r="DE330" s="28"/>
      <c r="DF330" s="28"/>
      <c r="DG330" s="28"/>
      <c r="DH330" s="28"/>
      <c r="DI330" s="28"/>
      <c r="DJ330" s="28"/>
      <c r="DK330" s="28"/>
      <c r="DL330" s="28"/>
      <c r="DM330" s="28"/>
      <c r="DN330" s="28"/>
      <c r="DO330" s="28"/>
      <c r="DP330" s="28"/>
      <c r="DQ330" s="28"/>
      <c r="DR330" s="28"/>
      <c r="DS330" s="28"/>
      <c r="DT330" s="28"/>
      <c r="DU330" s="28"/>
      <c r="DV330" s="28"/>
      <c r="DW330" s="28"/>
      <c r="DX330" s="28"/>
      <c r="DY330" s="28"/>
      <c r="DZ330" s="28"/>
      <c r="EA330" s="28"/>
      <c r="EB330" s="28"/>
      <c r="EC330" s="28"/>
      <c r="ED330" s="28"/>
      <c r="EE330" s="28"/>
      <c r="EF330" s="28"/>
      <c r="EG330" s="28"/>
      <c r="EH330" s="28"/>
      <c r="EI330" s="28"/>
      <c r="EJ330" s="28"/>
      <c r="EK330" s="28"/>
      <c r="EL330" s="28"/>
      <c r="EM330" s="28"/>
      <c r="EN330" s="28"/>
      <c r="EO330" s="28"/>
      <c r="EP330" s="28"/>
      <c r="EQ330" s="28"/>
      <c r="ER330" s="28"/>
      <c r="ES330" s="28"/>
      <c r="ET330" s="28"/>
      <c r="EU330" s="28"/>
      <c r="EV330" s="28"/>
      <c r="EW330" s="28"/>
      <c r="EX330" s="28"/>
      <c r="EY330" s="28"/>
      <c r="EZ330" s="28"/>
      <c r="FA330" s="28"/>
      <c r="FB330" s="28"/>
      <c r="FC330" s="28"/>
      <c r="FD330" s="28"/>
      <c r="FE330" s="28"/>
      <c r="FF330" s="28"/>
      <c r="FG330" s="28"/>
      <c r="FH330" s="28"/>
      <c r="FI330" s="28"/>
      <c r="FJ330" s="28"/>
      <c r="FK330" s="28"/>
      <c r="FL330" s="28"/>
      <c r="FM330" s="28"/>
      <c r="FN330" s="28"/>
      <c r="FO330" s="28"/>
      <c r="FP330" s="28"/>
      <c r="FQ330" s="28"/>
      <c r="FR330" s="28"/>
      <c r="FS330" s="28"/>
      <c r="FT330" s="28"/>
      <c r="FU330" s="28"/>
      <c r="FV330" s="28"/>
      <c r="FW330" s="28"/>
      <c r="FX330" s="28"/>
      <c r="FY330" s="28"/>
      <c r="FZ330" s="28"/>
      <c r="GA330" s="28"/>
      <c r="GB330" s="28"/>
      <c r="GC330" s="28"/>
      <c r="GD330" s="28"/>
      <c r="GE330" s="28"/>
      <c r="GF330" s="28"/>
      <c r="GG330" s="28"/>
      <c r="GH330" s="28"/>
      <c r="GI330" s="28"/>
      <c r="GJ330" s="28"/>
      <c r="GK330" s="28"/>
      <c r="GL330" s="28"/>
      <c r="GM330" s="28"/>
      <c r="GN330" s="28"/>
      <c r="GO330" s="28"/>
      <c r="GP330" s="28"/>
      <c r="GQ330" s="28"/>
      <c r="GR330" s="28"/>
      <c r="GS330" s="28"/>
      <c r="GT330" s="28"/>
      <c r="GU330" s="28"/>
      <c r="GV330" s="28"/>
      <c r="GW330" s="28"/>
      <c r="GX330" s="28"/>
      <c r="GY330" s="28"/>
      <c r="GZ330" s="28"/>
      <c r="HA330" s="28"/>
      <c r="HB330" s="28"/>
      <c r="HC330" s="28"/>
      <c r="HD330" s="28"/>
      <c r="HE330" s="28"/>
      <c r="HF330" s="28"/>
      <c r="HG330" s="28"/>
      <c r="HH330" s="28"/>
      <c r="HI330" s="28"/>
      <c r="HJ330" s="28"/>
      <c r="HK330" s="28"/>
      <c r="HL330" s="28"/>
    </row>
    <row r="331" spans="1:220" ht="15" customHeight="1">
      <c r="A331" s="31">
        <v>6</v>
      </c>
      <c r="B331" s="105" t="str">
        <f>VLOOKUP(Ruimtestaat[[#This Row],[Code]],Locaties[[Code]:[Locatie]],2,FALSE)</f>
        <v>IKC Joannes</v>
      </c>
      <c r="C331" s="105" t="str">
        <f>VLOOKUP(Ruimtestaat[[#This Row],[Code]],Locaties[[#All],[Code]:[Adres]],4,FALSE)</f>
        <v>Kerkakkers 4</v>
      </c>
      <c r="D331" s="105" t="str">
        <f>VLOOKUP(Ruimtestaat[[#This Row],[Code]],Locaties[[#All],[Code]:[Postcode]],5,FALSE)</f>
        <v>6923 BZ</v>
      </c>
      <c r="E331" s="105" t="str">
        <f>VLOOKUP(Ruimtestaat[[#This Row],[Code]],Locaties[#All],6,FALSE)</f>
        <v>Groessen</v>
      </c>
      <c r="F331" s="113" t="s">
        <v>1921</v>
      </c>
      <c r="G331" s="31" t="s">
        <v>1645</v>
      </c>
      <c r="H331" s="31" t="s">
        <v>1957</v>
      </c>
      <c r="I331" s="113" t="s">
        <v>1916</v>
      </c>
      <c r="J331" s="31">
        <v>20</v>
      </c>
      <c r="K331" s="113" t="str">
        <f>VLOOKUP(Ruimtestaat[[#This Row],[Ruimte code]],Ruimtegroepen[[#All],[Code]:[Ruimte omschrijving]],2,FALSE)</f>
        <v>Niet in Onderhoud</v>
      </c>
      <c r="M331" s="31"/>
      <c r="N331" s="106"/>
      <c r="O331" s="112"/>
      <c r="P331" s="112"/>
      <c r="Q331" s="107">
        <f>VLOOKUP(Ruimtestaat[[#This Row],[Ruimte code]],Ruimtegroepen[],4,FALSE)</f>
        <v>0</v>
      </c>
      <c r="R331" s="73"/>
      <c r="S331" s="73"/>
      <c r="T331" s="73">
        <f>IF(R331&gt;0,IF(RIGHT(Ruimtestaat[[#This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1" s="73">
        <f>IF(T331&gt;0,VLOOKUP($J331,Ruimtegroepen[],3,FALSE)*VLOOKUP($L331,Vloersoorten[],3,FALSE)*VLOOKUP($S331,Frequenties[],3,FALSE)*VLOOKUP($A331,Locaties[],3,FALSE),0)</f>
        <v>0</v>
      </c>
      <c r="V331" s="73">
        <f>Ruimtestaat[[#This Row],[Uitvoeringen werkdagen]]*Ruimtestaat[[#This Row],[Oppervlak (netto)]]</f>
        <v>0</v>
      </c>
      <c r="W331" s="108">
        <f>IF(U331&gt;0,Ruimtestaat[[#This Row],[Prest. (m2 /jaar) werkdagen]]/Ruimtestaat[[#This Row],[Norm (m2/uur) werkdagen]],0)</f>
        <v>0</v>
      </c>
      <c r="X331" s="109">
        <f>Ruimtestaat[[#This Row],[uren / jaar werkdagen]]*Tariefsopbouw!$E$35</f>
        <v>0</v>
      </c>
      <c r="Y331" s="73"/>
      <c r="Z331" s="73">
        <f>IF(Ruimtestaat[[#This Row],[Frequentie weekend]]&gt;0,VALUE(LEFT(Y331,1))*R331,0)</f>
        <v>0</v>
      </c>
      <c r="AA331" s="72">
        <f>IF($Z331&gt;0,VLOOKUP($J331,Ruimtegroepen[],3,FALSE)*VLOOKUP($L331,Vloersoorten[],3,FALSE)*VLOOKUP($Y331,Frequenties[],3,FALSE)*VLOOKUP(Ruimtestaat[[#This Row],[Code]],Locaties[],3,FALSE),0)</f>
        <v>0</v>
      </c>
      <c r="AB331" s="72">
        <f>Ruimtestaat[[#This Row],[Uitvoeringen weekend]]*Ruimtestaat[[#This Row],[Oppervlak (netto)]]</f>
        <v>0</v>
      </c>
      <c r="AC331" s="72">
        <f>IF(AA331&gt;0,Ruimtestaat[[#This Row],[Prest. (m2 /jaar) weekend]]/Ruimtestaat[[#This Row],[Norm (m2/uur) weekend]],0)</f>
        <v>0</v>
      </c>
      <c r="AD331" s="109">
        <f>Ruimtestaat[[#This Row],[uren / jaar weekend]]*Tariefsopbouw!$D$40</f>
        <v>0</v>
      </c>
      <c r="AE331" s="108">
        <f>Ruimtestaat[[#This Row],[Prest. (m2 /jaar) weekend]]+Ruimtestaat[[#This Row],[Prest. (m2 /jaar) werkdagen]]</f>
        <v>0</v>
      </c>
      <c r="AF331" s="108">
        <f>Ruimtestaat[[#This Row],[uren / jaar weekend]]+Ruimtestaat[[#This Row],[uren / jaar werkdagen]]</f>
        <v>0</v>
      </c>
      <c r="AG331" s="103">
        <f>Ruimtestaat[[#This Row],[kosten / jaar weekend]]+Ruimtestaat[[#This Row],[kosten / jaar werkdagen]]</f>
        <v>0</v>
      </c>
      <c r="AH331" s="103"/>
      <c r="AI331" s="110" t="str">
        <f>IF(Ruimtestaat[[#This Row],[Frequentie werkdagen]]="","",_xlfn.CONCAT(Ruimtestaat[[#This Row],[Ruimte code]],"-",Ruimtestaat[[#This Row],[Frequentie werkdagen]]," ",Ruimtestaat[[#This Row],[Vloer code]]))</f>
        <v/>
      </c>
      <c r="AJ331" s="114" t="str">
        <f>_xlfn.IFNA(VLOOKUP($AI331,Programma!$F$3:$G$1101,2,0),"")</f>
        <v/>
      </c>
      <c r="AK331" s="114" t="str">
        <f>_xlfn.IFNA(VLOOKUP($AI331,Programma!$F$3:$H$1101,3,0),"")</f>
        <v/>
      </c>
      <c r="AL331" s="114" t="str">
        <f>_xlfn.IFNA(VLOOKUP($AI331,Programma!$F$3:$I$1101,4,0),"")</f>
        <v/>
      </c>
      <c r="AM331" s="114" t="str">
        <f>_xlfn.IFNA(VLOOKUP($AI331,Programma!$F$3:$J$1101,5,0),"")</f>
        <v/>
      </c>
      <c r="AN331" s="114" t="str">
        <f>_xlfn.IFNA(VLOOKUP($AI331,Programma!$F$3:$K$1101,6,0),"")</f>
        <v/>
      </c>
      <c r="AO331" s="114" t="str">
        <f>_xlfn.IFNA(VLOOKUP($AI331,Programma!$F$3:$L$1101,7,0),"")</f>
        <v/>
      </c>
      <c r="AP331" s="114" t="str">
        <f>_xlfn.IFNA(VLOOKUP($AI331,Programma!$F$3:$M$1101,8,0),"")</f>
        <v/>
      </c>
      <c r="AQ331" s="114" t="str">
        <f>_xlfn.IFNA(VLOOKUP($AI331,Programma!$F$3:$N$1101,9,0),"")</f>
        <v/>
      </c>
      <c r="AR331" s="114" t="str">
        <f>_xlfn.IFNA(VLOOKUP($AI331,Programma!$F$3:$O$1101,10,0),"")</f>
        <v/>
      </c>
      <c r="AS331" s="114" t="str">
        <f>_xlfn.IFNA(VLOOKUP($AI331,Programma!$F$3:$P$1101,11,0),"")</f>
        <v/>
      </c>
      <c r="AT331" s="114" t="str">
        <f>_xlfn.IFNA(VLOOKUP($AI331,Programma!$F$3:$Q$1101,12,0),"")</f>
        <v/>
      </c>
      <c r="AU331" s="114" t="str">
        <f>_xlfn.IFNA(VLOOKUP($AI331,Programma!$F$3:$R$1101,13,0),"")</f>
        <v/>
      </c>
      <c r="AV331" s="114" t="str">
        <f>_xlfn.IFNA(VLOOKUP($AI331,Programma!$F$3:$S$1101,14,0),"")</f>
        <v/>
      </c>
      <c r="AW331" s="114" t="str">
        <f>_xlfn.IFNA(VLOOKUP($AI331,Programma!$F$3:$T$1101,15,0),"")</f>
        <v/>
      </c>
      <c r="AX331" s="114" t="str">
        <f>_xlfn.IFNA(VLOOKUP($AI331,Programma!$F$3:$U$1101,16,0),"")</f>
        <v/>
      </c>
      <c r="AY331" s="114" t="str">
        <f>_xlfn.IFNA(VLOOKUP($AI331,Programma!$F$3:$V$1101,17,0),"")</f>
        <v/>
      </c>
      <c r="AZ331" s="114" t="str">
        <f>_xlfn.IFNA(VLOOKUP($AI331,Programma!$F$3:$W$1101,18,0),"")</f>
        <v/>
      </c>
      <c r="BA331" s="114" t="str">
        <f>_xlfn.IFNA(VLOOKUP($AI331,Programma!$F$3:$X$1101,19,0),"")</f>
        <v/>
      </c>
      <c r="BB331" s="114" t="str">
        <f>_xlfn.IFNA(VLOOKUP($AI331,Programma!$F$3:$Y$1101,20,0),"")</f>
        <v/>
      </c>
      <c r="BC331" s="111"/>
      <c r="BD331" s="110" t="str">
        <f>IF(Ruimtestaat[[#This Row],[Frequentie weekend]]="","",_xlfn.CONCAT(Ruimtestaat[[#This Row],[Ruimte code]],"-",Ruimtestaat[[#This Row],[Frequentie weekend]]," ",Ruimtestaat[[#This Row],[Vloer code]]))</f>
        <v/>
      </c>
      <c r="BE331" s="114" t="str">
        <f>_xlfn.IFNA(VLOOKUP($BD331,Programma!$F$3:$G$1101,2,0),"")</f>
        <v/>
      </c>
      <c r="BF331" s="114" t="str">
        <f>_xlfn.IFNA(VLOOKUP($BD331,Programma!$F$3:$H$1101,3,0),"")</f>
        <v/>
      </c>
      <c r="BG331" s="114" t="str">
        <f>_xlfn.IFNA(VLOOKUP($BD331,Programma!$F$3:$I$1101,4,0),"")</f>
        <v/>
      </c>
      <c r="BH331" s="114" t="str">
        <f>_xlfn.IFNA(VLOOKUP($BD331,Programma!$F$3:$J$1101,5,0),"")</f>
        <v/>
      </c>
      <c r="BI331" s="114" t="str">
        <f>_xlfn.IFNA(VLOOKUP($BD331,Programma!$F$3:$K$1101,6,0),"")</f>
        <v/>
      </c>
      <c r="BJ331" s="114" t="str">
        <f>_xlfn.IFNA(VLOOKUP($BD331,Programma!$F$3:$L$1101,7,0),"")</f>
        <v/>
      </c>
      <c r="BK331" s="114" t="str">
        <f>_xlfn.IFNA(VLOOKUP($BD331,Programma!$F$3:$M$1101,8,0),"")</f>
        <v/>
      </c>
      <c r="BL331" s="114" t="str">
        <f>_xlfn.IFNA(VLOOKUP($BD331,Programma!$F$3:$N$1101,9,0),"")</f>
        <v/>
      </c>
      <c r="BM331" s="114" t="str">
        <f>_xlfn.IFNA(VLOOKUP($BD331,Programma!$F$3:$O$1101,10,0),"")</f>
        <v/>
      </c>
      <c r="BN331" s="114" t="str">
        <f>_xlfn.IFNA(VLOOKUP($BD331,Programma!$F$3:$P$1101,11,0),"")</f>
        <v/>
      </c>
      <c r="BO331" s="114" t="str">
        <f>_xlfn.IFNA(VLOOKUP($BD331,Programma!$F$3:$Q$1101,12,0),"")</f>
        <v/>
      </c>
      <c r="BP331" s="114" t="str">
        <f>_xlfn.IFNA(VLOOKUP($BD331,Programma!$F$3:$R$1101,13,0),"")</f>
        <v/>
      </c>
      <c r="BQ331" s="114" t="str">
        <f>_xlfn.IFNA(VLOOKUP($BD331,Programma!$F$3:$S$1101,14,0),"")</f>
        <v/>
      </c>
      <c r="BR331" s="114" t="str">
        <f>_xlfn.IFNA(VLOOKUP($BD331,Programma!$F$3:$T$1101,15,0),"")</f>
        <v/>
      </c>
      <c r="BS331" s="114" t="str">
        <f>_xlfn.IFNA(VLOOKUP($BD331,Programma!$F$3:$U$1101,16,0),"")</f>
        <v/>
      </c>
      <c r="BT331" s="114" t="str">
        <f>_xlfn.IFNA(VLOOKUP($BD331,Programma!$F$3:$V$1101,17,0),"")</f>
        <v/>
      </c>
      <c r="BU331" s="114" t="str">
        <f>_xlfn.IFNA(VLOOKUP($BD331,Programma!$F$3:$W$1101,18,0),"")</f>
        <v/>
      </c>
      <c r="BV331" s="114" t="str">
        <f>_xlfn.IFNA(VLOOKUP($BD331,Programma!$F$3:$X$1101,19,0),"")</f>
        <v/>
      </c>
      <c r="BW331" s="114" t="str">
        <f>_xlfn.IFNA(VLOOKUP($BD331,Programma!$F$3:$Y$1101,20,0),"")</f>
        <v/>
      </c>
      <c r="BX331" s="28"/>
      <c r="BY331" s="28"/>
      <c r="BZ331" s="28"/>
      <c r="CA331" s="28"/>
      <c r="CB331" s="28"/>
      <c r="CC331" s="28"/>
      <c r="CD331" s="28"/>
      <c r="CE331" s="28"/>
      <c r="CF331" s="28"/>
      <c r="CG331" s="28"/>
      <c r="CH331" s="28"/>
      <c r="CI331" s="28"/>
      <c r="CJ331" s="28"/>
      <c r="CK331" s="28"/>
      <c r="CL331" s="28"/>
      <c r="CM331" s="28"/>
      <c r="CN331" s="28"/>
      <c r="CO331" s="28"/>
      <c r="CP331" s="28"/>
      <c r="CQ331" s="28"/>
      <c r="CR331" s="28"/>
      <c r="CS331" s="28"/>
      <c r="CT331" s="28"/>
      <c r="CU331" s="28"/>
      <c r="CV331" s="28"/>
      <c r="CW331" s="28"/>
      <c r="CX331" s="28"/>
      <c r="CY331" s="28"/>
      <c r="CZ331" s="28"/>
      <c r="DA331" s="28"/>
      <c r="DB331" s="28"/>
      <c r="DC331" s="28"/>
      <c r="DD331" s="28"/>
      <c r="DE331" s="28"/>
      <c r="DF331" s="28"/>
      <c r="DG331" s="28"/>
      <c r="DH331" s="28"/>
      <c r="DI331" s="28"/>
      <c r="DJ331" s="28"/>
      <c r="DK331" s="28"/>
      <c r="DL331" s="28"/>
      <c r="DM331" s="28"/>
      <c r="DN331" s="28"/>
      <c r="DO331" s="28"/>
      <c r="DP331" s="28"/>
      <c r="DQ331" s="28"/>
      <c r="DR331" s="28"/>
      <c r="DS331" s="28"/>
      <c r="DT331" s="28"/>
      <c r="DU331" s="28"/>
      <c r="DV331" s="28"/>
      <c r="DW331" s="28"/>
      <c r="DX331" s="28"/>
      <c r="DY331" s="28"/>
      <c r="DZ331" s="28"/>
      <c r="EA331" s="28"/>
      <c r="EB331" s="28"/>
      <c r="EC331" s="28"/>
      <c r="ED331" s="28"/>
      <c r="EE331" s="28"/>
      <c r="EF331" s="28"/>
      <c r="EG331" s="28"/>
      <c r="EH331" s="28"/>
      <c r="EI331" s="28"/>
      <c r="EJ331" s="28"/>
      <c r="EK331" s="28"/>
      <c r="EL331" s="28"/>
      <c r="EM331" s="28"/>
      <c r="EN331" s="28"/>
      <c r="EO331" s="28"/>
      <c r="EP331" s="28"/>
      <c r="EQ331" s="28"/>
      <c r="ER331" s="28"/>
      <c r="ES331" s="28"/>
      <c r="ET331" s="28"/>
      <c r="EU331" s="28"/>
      <c r="EV331" s="28"/>
      <c r="EW331" s="28"/>
      <c r="EX331" s="28"/>
      <c r="EY331" s="28"/>
      <c r="EZ331" s="28"/>
      <c r="FA331" s="28"/>
      <c r="FB331" s="28"/>
      <c r="FC331" s="28"/>
      <c r="FD331" s="28"/>
      <c r="FE331" s="28"/>
      <c r="FF331" s="28"/>
      <c r="FG331" s="28"/>
      <c r="FH331" s="28"/>
      <c r="FI331" s="28"/>
      <c r="FJ331" s="28"/>
      <c r="FK331" s="28"/>
      <c r="FL331" s="28"/>
      <c r="FM331" s="28"/>
      <c r="FN331" s="28"/>
      <c r="FO331" s="28"/>
      <c r="FP331" s="28"/>
      <c r="FQ331" s="28"/>
      <c r="FR331" s="28"/>
      <c r="FS331" s="28"/>
      <c r="FT331" s="28"/>
      <c r="FU331" s="28"/>
      <c r="FV331" s="28"/>
      <c r="FW331" s="28"/>
      <c r="FX331" s="28"/>
      <c r="FY331" s="28"/>
      <c r="FZ331" s="28"/>
      <c r="GA331" s="28"/>
      <c r="GB331" s="28"/>
      <c r="GC331" s="28"/>
      <c r="GD331" s="28"/>
      <c r="GE331" s="28"/>
      <c r="GF331" s="28"/>
      <c r="GG331" s="28"/>
      <c r="GH331" s="28"/>
      <c r="GI331" s="28"/>
      <c r="GJ331" s="28"/>
      <c r="GK331" s="28"/>
      <c r="GL331" s="28"/>
      <c r="GM331" s="28"/>
      <c r="GN331" s="28"/>
      <c r="GO331" s="28"/>
      <c r="GP331" s="28"/>
      <c r="GQ331" s="28"/>
      <c r="GR331" s="28"/>
      <c r="GS331" s="28"/>
      <c r="GT331" s="28"/>
      <c r="GU331" s="28"/>
      <c r="GV331" s="28"/>
      <c r="GW331" s="28"/>
      <c r="GX331" s="28"/>
      <c r="GY331" s="28"/>
      <c r="GZ331" s="28"/>
      <c r="HA331" s="28"/>
      <c r="HB331" s="28"/>
      <c r="HC331" s="28"/>
      <c r="HD331" s="28"/>
      <c r="HE331" s="28"/>
      <c r="HF331" s="28"/>
      <c r="HG331" s="28"/>
      <c r="HH331" s="28"/>
      <c r="HI331" s="28"/>
      <c r="HJ331" s="28"/>
      <c r="HK331" s="28"/>
      <c r="HL331" s="28"/>
    </row>
    <row r="332" spans="1:220" ht="15" customHeight="1">
      <c r="A332" s="31">
        <v>6</v>
      </c>
      <c r="B332" s="105" t="str">
        <f>VLOOKUP(Ruimtestaat[[#This Row],[Code]],Locaties[[Code]:[Locatie]],2,FALSE)</f>
        <v>IKC Joannes</v>
      </c>
      <c r="C332" s="105" t="str">
        <f>VLOOKUP(Ruimtestaat[[#This Row],[Code]],Locaties[[#All],[Code]:[Adres]],4,FALSE)</f>
        <v>Kerkakkers 4</v>
      </c>
      <c r="D332" s="105" t="str">
        <f>VLOOKUP(Ruimtestaat[[#This Row],[Code]],Locaties[[#All],[Code]:[Postcode]],5,FALSE)</f>
        <v>6923 BZ</v>
      </c>
      <c r="E332" s="105" t="str">
        <f>VLOOKUP(Ruimtestaat[[#This Row],[Code]],Locaties[#All],6,FALSE)</f>
        <v>Groessen</v>
      </c>
      <c r="F332" s="113" t="s">
        <v>1921</v>
      </c>
      <c r="G332" s="31" t="s">
        <v>1645</v>
      </c>
      <c r="H332" s="31" t="s">
        <v>1958</v>
      </c>
      <c r="I332" s="113" t="s">
        <v>1919</v>
      </c>
      <c r="J332" s="31">
        <v>20</v>
      </c>
      <c r="K332" s="113" t="str">
        <f>VLOOKUP(Ruimtestaat[[#This Row],[Ruimte code]],Ruimtegroepen[[#All],[Code]:[Ruimte omschrijving]],2,FALSE)</f>
        <v>Niet in Onderhoud</v>
      </c>
      <c r="M332" s="31"/>
      <c r="N332" s="106"/>
      <c r="O332" s="112"/>
      <c r="P332" s="112"/>
      <c r="Q332" s="107">
        <f>VLOOKUP(Ruimtestaat[[#This Row],[Ruimte code]],Ruimtegroepen[],4,FALSE)</f>
        <v>0</v>
      </c>
      <c r="R332" s="73"/>
      <c r="S332" s="73"/>
      <c r="T332" s="73">
        <f>IF(R332&gt;0,IF(RIGHT(Ruimtestaat[[#This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2" s="73">
        <f>IF(T332&gt;0,VLOOKUP($J332,Ruimtegroepen[],3,FALSE)*VLOOKUP($L332,Vloersoorten[],3,FALSE)*VLOOKUP($S332,Frequenties[],3,FALSE)*VLOOKUP($A332,Locaties[],3,FALSE),0)</f>
        <v>0</v>
      </c>
      <c r="V332" s="73">
        <f>Ruimtestaat[[#This Row],[Uitvoeringen werkdagen]]*Ruimtestaat[[#This Row],[Oppervlak (netto)]]</f>
        <v>0</v>
      </c>
      <c r="W332" s="108">
        <f>IF(U332&gt;0,Ruimtestaat[[#This Row],[Prest. (m2 /jaar) werkdagen]]/Ruimtestaat[[#This Row],[Norm (m2/uur) werkdagen]],0)</f>
        <v>0</v>
      </c>
      <c r="X332" s="109">
        <f>Ruimtestaat[[#This Row],[uren / jaar werkdagen]]*Tariefsopbouw!$E$35</f>
        <v>0</v>
      </c>
      <c r="Y332" s="73"/>
      <c r="Z332" s="73">
        <f>IF(Ruimtestaat[[#This Row],[Frequentie weekend]]&gt;0,VALUE(LEFT(Y332,1))*R332,0)</f>
        <v>0</v>
      </c>
      <c r="AA332" s="72">
        <f>IF($Z332&gt;0,VLOOKUP($J332,Ruimtegroepen[],3,FALSE)*VLOOKUP($L332,Vloersoorten[],3,FALSE)*VLOOKUP($Y332,Frequenties[],3,FALSE)*VLOOKUP(Ruimtestaat[[#This Row],[Code]],Locaties[],3,FALSE),0)</f>
        <v>0</v>
      </c>
      <c r="AB332" s="72">
        <f>Ruimtestaat[[#This Row],[Uitvoeringen weekend]]*Ruimtestaat[[#This Row],[Oppervlak (netto)]]</f>
        <v>0</v>
      </c>
      <c r="AC332" s="72">
        <f>IF(AA332&gt;0,Ruimtestaat[[#This Row],[Prest. (m2 /jaar) weekend]]/Ruimtestaat[[#This Row],[Norm (m2/uur) weekend]],0)</f>
        <v>0</v>
      </c>
      <c r="AD332" s="109">
        <f>Ruimtestaat[[#This Row],[uren / jaar weekend]]*Tariefsopbouw!$D$40</f>
        <v>0</v>
      </c>
      <c r="AE332" s="108">
        <f>Ruimtestaat[[#This Row],[Prest. (m2 /jaar) weekend]]+Ruimtestaat[[#This Row],[Prest. (m2 /jaar) werkdagen]]</f>
        <v>0</v>
      </c>
      <c r="AF332" s="108">
        <f>Ruimtestaat[[#This Row],[uren / jaar weekend]]+Ruimtestaat[[#This Row],[uren / jaar werkdagen]]</f>
        <v>0</v>
      </c>
      <c r="AG332" s="103">
        <f>Ruimtestaat[[#This Row],[kosten / jaar weekend]]+Ruimtestaat[[#This Row],[kosten / jaar werkdagen]]</f>
        <v>0</v>
      </c>
      <c r="AH332" s="103"/>
      <c r="AI332" s="110" t="str">
        <f>IF(Ruimtestaat[[#This Row],[Frequentie werkdagen]]="","",_xlfn.CONCAT(Ruimtestaat[[#This Row],[Ruimte code]],"-",Ruimtestaat[[#This Row],[Frequentie werkdagen]]," ",Ruimtestaat[[#This Row],[Vloer code]]))</f>
        <v/>
      </c>
      <c r="AJ332" s="114" t="str">
        <f>_xlfn.IFNA(VLOOKUP($AI332,Programma!$F$3:$G$1101,2,0),"")</f>
        <v/>
      </c>
      <c r="AK332" s="114" t="str">
        <f>_xlfn.IFNA(VLOOKUP($AI332,Programma!$F$3:$H$1101,3,0),"")</f>
        <v/>
      </c>
      <c r="AL332" s="114" t="str">
        <f>_xlfn.IFNA(VLOOKUP($AI332,Programma!$F$3:$I$1101,4,0),"")</f>
        <v/>
      </c>
      <c r="AM332" s="114" t="str">
        <f>_xlfn.IFNA(VLOOKUP($AI332,Programma!$F$3:$J$1101,5,0),"")</f>
        <v/>
      </c>
      <c r="AN332" s="114" t="str">
        <f>_xlfn.IFNA(VLOOKUP($AI332,Programma!$F$3:$K$1101,6,0),"")</f>
        <v/>
      </c>
      <c r="AO332" s="114" t="str">
        <f>_xlfn.IFNA(VLOOKUP($AI332,Programma!$F$3:$L$1101,7,0),"")</f>
        <v/>
      </c>
      <c r="AP332" s="114" t="str">
        <f>_xlfn.IFNA(VLOOKUP($AI332,Programma!$F$3:$M$1101,8,0),"")</f>
        <v/>
      </c>
      <c r="AQ332" s="114" t="str">
        <f>_xlfn.IFNA(VLOOKUP($AI332,Programma!$F$3:$N$1101,9,0),"")</f>
        <v/>
      </c>
      <c r="AR332" s="114" t="str">
        <f>_xlfn.IFNA(VLOOKUP($AI332,Programma!$F$3:$O$1101,10,0),"")</f>
        <v/>
      </c>
      <c r="AS332" s="114" t="str">
        <f>_xlfn.IFNA(VLOOKUP($AI332,Programma!$F$3:$P$1101,11,0),"")</f>
        <v/>
      </c>
      <c r="AT332" s="114" t="str">
        <f>_xlfn.IFNA(VLOOKUP($AI332,Programma!$F$3:$Q$1101,12,0),"")</f>
        <v/>
      </c>
      <c r="AU332" s="114" t="str">
        <f>_xlfn.IFNA(VLOOKUP($AI332,Programma!$F$3:$R$1101,13,0),"")</f>
        <v/>
      </c>
      <c r="AV332" s="114" t="str">
        <f>_xlfn.IFNA(VLOOKUP($AI332,Programma!$F$3:$S$1101,14,0),"")</f>
        <v/>
      </c>
      <c r="AW332" s="114" t="str">
        <f>_xlfn.IFNA(VLOOKUP($AI332,Programma!$F$3:$T$1101,15,0),"")</f>
        <v/>
      </c>
      <c r="AX332" s="114" t="str">
        <f>_xlfn.IFNA(VLOOKUP($AI332,Programma!$F$3:$U$1101,16,0),"")</f>
        <v/>
      </c>
      <c r="AY332" s="114" t="str">
        <f>_xlfn.IFNA(VLOOKUP($AI332,Programma!$F$3:$V$1101,17,0),"")</f>
        <v/>
      </c>
      <c r="AZ332" s="114" t="str">
        <f>_xlfn.IFNA(VLOOKUP($AI332,Programma!$F$3:$W$1101,18,0),"")</f>
        <v/>
      </c>
      <c r="BA332" s="114" t="str">
        <f>_xlfn.IFNA(VLOOKUP($AI332,Programma!$F$3:$X$1101,19,0),"")</f>
        <v/>
      </c>
      <c r="BB332" s="114" t="str">
        <f>_xlfn.IFNA(VLOOKUP($AI332,Programma!$F$3:$Y$1101,20,0),"")</f>
        <v/>
      </c>
      <c r="BC332" s="111"/>
      <c r="BD332" s="110" t="str">
        <f>IF(Ruimtestaat[[#This Row],[Frequentie weekend]]="","",_xlfn.CONCAT(Ruimtestaat[[#This Row],[Ruimte code]],"-",Ruimtestaat[[#This Row],[Frequentie weekend]]," ",Ruimtestaat[[#This Row],[Vloer code]]))</f>
        <v/>
      </c>
      <c r="BE332" s="114" t="str">
        <f>_xlfn.IFNA(VLOOKUP($BD332,Programma!$F$3:$G$1101,2,0),"")</f>
        <v/>
      </c>
      <c r="BF332" s="114" t="str">
        <f>_xlfn.IFNA(VLOOKUP($BD332,Programma!$F$3:$H$1101,3,0),"")</f>
        <v/>
      </c>
      <c r="BG332" s="114" t="str">
        <f>_xlfn.IFNA(VLOOKUP($BD332,Programma!$F$3:$I$1101,4,0),"")</f>
        <v/>
      </c>
      <c r="BH332" s="114" t="str">
        <f>_xlfn.IFNA(VLOOKUP($BD332,Programma!$F$3:$J$1101,5,0),"")</f>
        <v/>
      </c>
      <c r="BI332" s="114" t="str">
        <f>_xlfn.IFNA(VLOOKUP($BD332,Programma!$F$3:$K$1101,6,0),"")</f>
        <v/>
      </c>
      <c r="BJ332" s="114" t="str">
        <f>_xlfn.IFNA(VLOOKUP($BD332,Programma!$F$3:$L$1101,7,0),"")</f>
        <v/>
      </c>
      <c r="BK332" s="114" t="str">
        <f>_xlfn.IFNA(VLOOKUP($BD332,Programma!$F$3:$M$1101,8,0),"")</f>
        <v/>
      </c>
      <c r="BL332" s="114" t="str">
        <f>_xlfn.IFNA(VLOOKUP($BD332,Programma!$F$3:$N$1101,9,0),"")</f>
        <v/>
      </c>
      <c r="BM332" s="114" t="str">
        <f>_xlfn.IFNA(VLOOKUP($BD332,Programma!$F$3:$O$1101,10,0),"")</f>
        <v/>
      </c>
      <c r="BN332" s="114" t="str">
        <f>_xlfn.IFNA(VLOOKUP($BD332,Programma!$F$3:$P$1101,11,0),"")</f>
        <v/>
      </c>
      <c r="BO332" s="114" t="str">
        <f>_xlfn.IFNA(VLOOKUP($BD332,Programma!$F$3:$Q$1101,12,0),"")</f>
        <v/>
      </c>
      <c r="BP332" s="114" t="str">
        <f>_xlfn.IFNA(VLOOKUP($BD332,Programma!$F$3:$R$1101,13,0),"")</f>
        <v/>
      </c>
      <c r="BQ332" s="114" t="str">
        <f>_xlfn.IFNA(VLOOKUP($BD332,Programma!$F$3:$S$1101,14,0),"")</f>
        <v/>
      </c>
      <c r="BR332" s="114" t="str">
        <f>_xlfn.IFNA(VLOOKUP($BD332,Programma!$F$3:$T$1101,15,0),"")</f>
        <v/>
      </c>
      <c r="BS332" s="114" t="str">
        <f>_xlfn.IFNA(VLOOKUP($BD332,Programma!$F$3:$U$1101,16,0),"")</f>
        <v/>
      </c>
      <c r="BT332" s="114" t="str">
        <f>_xlfn.IFNA(VLOOKUP($BD332,Programma!$F$3:$V$1101,17,0),"")</f>
        <v/>
      </c>
      <c r="BU332" s="114" t="str">
        <f>_xlfn.IFNA(VLOOKUP($BD332,Programma!$F$3:$W$1101,18,0),"")</f>
        <v/>
      </c>
      <c r="BV332" s="114" t="str">
        <f>_xlfn.IFNA(VLOOKUP($BD332,Programma!$F$3:$X$1101,19,0),"")</f>
        <v/>
      </c>
      <c r="BW332" s="114" t="str">
        <f>_xlfn.IFNA(VLOOKUP($BD332,Programma!$F$3:$Y$1101,20,0),"")</f>
        <v/>
      </c>
      <c r="BX332" s="28"/>
      <c r="BY332" s="28"/>
      <c r="BZ332" s="28"/>
      <c r="CA332" s="28"/>
      <c r="CB332" s="28"/>
      <c r="CC332" s="28"/>
      <c r="CD332" s="28"/>
      <c r="CE332" s="28"/>
      <c r="CF332" s="28"/>
      <c r="CG332" s="28"/>
      <c r="CH332" s="28"/>
      <c r="CI332" s="28"/>
      <c r="CJ332" s="28"/>
      <c r="CK332" s="28"/>
      <c r="CL332" s="28"/>
      <c r="CM332" s="28"/>
      <c r="CN332" s="28"/>
      <c r="CO332" s="28"/>
      <c r="CP332" s="28"/>
      <c r="CQ332" s="28"/>
      <c r="CR332" s="28"/>
      <c r="CS332" s="28"/>
      <c r="CT332" s="28"/>
      <c r="CU332" s="28"/>
      <c r="CV332" s="28"/>
      <c r="CW332" s="28"/>
      <c r="CX332" s="28"/>
      <c r="CY332" s="28"/>
      <c r="CZ332" s="28"/>
      <c r="DA332" s="28"/>
      <c r="DB332" s="28"/>
      <c r="DC332" s="28"/>
      <c r="DD332" s="28"/>
      <c r="DE332" s="28"/>
      <c r="DF332" s="28"/>
      <c r="DG332" s="28"/>
      <c r="DH332" s="28"/>
      <c r="DI332" s="28"/>
      <c r="DJ332" s="28"/>
      <c r="DK332" s="28"/>
      <c r="DL332" s="28"/>
      <c r="DM332" s="28"/>
      <c r="DN332" s="28"/>
      <c r="DO332" s="28"/>
      <c r="DP332" s="28"/>
      <c r="DQ332" s="28"/>
      <c r="DR332" s="28"/>
      <c r="DS332" s="28"/>
      <c r="DT332" s="28"/>
      <c r="DU332" s="28"/>
      <c r="DV332" s="28"/>
      <c r="DW332" s="28"/>
      <c r="DX332" s="28"/>
      <c r="DY332" s="28"/>
      <c r="DZ332" s="28"/>
      <c r="EA332" s="28"/>
      <c r="EB332" s="28"/>
      <c r="EC332" s="28"/>
      <c r="ED332" s="28"/>
      <c r="EE332" s="28"/>
      <c r="EF332" s="28"/>
      <c r="EG332" s="28"/>
      <c r="EH332" s="28"/>
      <c r="EI332" s="28"/>
      <c r="EJ332" s="28"/>
      <c r="EK332" s="28"/>
      <c r="EL332" s="28"/>
      <c r="EM332" s="28"/>
      <c r="EN332" s="28"/>
      <c r="EO332" s="28"/>
      <c r="EP332" s="28"/>
      <c r="EQ332" s="28"/>
      <c r="ER332" s="28"/>
      <c r="ES332" s="28"/>
      <c r="ET332" s="28"/>
      <c r="EU332" s="28"/>
      <c r="EV332" s="28"/>
      <c r="EW332" s="28"/>
      <c r="EX332" s="28"/>
      <c r="EY332" s="28"/>
      <c r="EZ332" s="28"/>
      <c r="FA332" s="28"/>
      <c r="FB332" s="28"/>
      <c r="FC332" s="28"/>
      <c r="FD332" s="28"/>
      <c r="FE332" s="28"/>
      <c r="FF332" s="28"/>
      <c r="FG332" s="28"/>
      <c r="FH332" s="28"/>
      <c r="FI332" s="28"/>
      <c r="FJ332" s="28"/>
      <c r="FK332" s="28"/>
      <c r="FL332" s="28"/>
      <c r="FM332" s="28"/>
      <c r="FN332" s="28"/>
      <c r="FO332" s="28"/>
      <c r="FP332" s="28"/>
      <c r="FQ332" s="28"/>
      <c r="FR332" s="28"/>
      <c r="FS332" s="28"/>
      <c r="FT332" s="28"/>
      <c r="FU332" s="28"/>
      <c r="FV332" s="28"/>
      <c r="FW332" s="28"/>
      <c r="FX332" s="28"/>
      <c r="FY332" s="28"/>
      <c r="FZ332" s="28"/>
      <c r="GA332" s="28"/>
      <c r="GB332" s="28"/>
      <c r="GC332" s="28"/>
      <c r="GD332" s="28"/>
      <c r="GE332" s="28"/>
      <c r="GF332" s="28"/>
      <c r="GG332" s="28"/>
      <c r="GH332" s="28"/>
      <c r="GI332" s="28"/>
      <c r="GJ332" s="28"/>
      <c r="GK332" s="28"/>
      <c r="GL332" s="28"/>
      <c r="GM332" s="28"/>
      <c r="GN332" s="28"/>
      <c r="GO332" s="28"/>
      <c r="GP332" s="28"/>
      <c r="GQ332" s="28"/>
      <c r="GR332" s="28"/>
      <c r="GS332" s="28"/>
      <c r="GT332" s="28"/>
      <c r="GU332" s="28"/>
      <c r="GV332" s="28"/>
      <c r="GW332" s="28"/>
      <c r="GX332" s="28"/>
      <c r="GY332" s="28"/>
      <c r="GZ332" s="28"/>
      <c r="HA332" s="28"/>
      <c r="HB332" s="28"/>
      <c r="HC332" s="28"/>
      <c r="HD332" s="28"/>
      <c r="HE332" s="28"/>
      <c r="HF332" s="28"/>
      <c r="HG332" s="28"/>
      <c r="HH332" s="28"/>
      <c r="HI332" s="28"/>
      <c r="HJ332" s="28"/>
      <c r="HK332" s="28"/>
      <c r="HL332" s="28"/>
    </row>
    <row r="333" spans="1:220" ht="15" customHeight="1">
      <c r="A333" s="31">
        <v>6</v>
      </c>
      <c r="B333" s="105" t="str">
        <f>VLOOKUP(Ruimtestaat[[#This Row],[Code]],Locaties[[Code]:[Locatie]],2,FALSE)</f>
        <v>IKC Joannes</v>
      </c>
      <c r="C333" s="105" t="str">
        <f>VLOOKUP(Ruimtestaat[[#This Row],[Code]],Locaties[[#All],[Code]:[Adres]],4,FALSE)</f>
        <v>Kerkakkers 4</v>
      </c>
      <c r="D333" s="105" t="str">
        <f>VLOOKUP(Ruimtestaat[[#This Row],[Code]],Locaties[[#All],[Code]:[Postcode]],5,FALSE)</f>
        <v>6923 BZ</v>
      </c>
      <c r="E333" s="105" t="str">
        <f>VLOOKUP(Ruimtestaat[[#This Row],[Code]],Locaties[#All],6,FALSE)</f>
        <v>Groessen</v>
      </c>
      <c r="F333" s="113" t="s">
        <v>1921</v>
      </c>
      <c r="G333" s="31" t="s">
        <v>1645</v>
      </c>
      <c r="H333" s="31" t="s">
        <v>1959</v>
      </c>
      <c r="I333" s="113" t="s">
        <v>1920</v>
      </c>
      <c r="J333" s="31">
        <v>20</v>
      </c>
      <c r="K333" s="113" t="str">
        <f>VLOOKUP(Ruimtestaat[[#This Row],[Ruimte code]],Ruimtegroepen[[#All],[Code]:[Ruimte omschrijving]],2,FALSE)</f>
        <v>Niet in Onderhoud</v>
      </c>
      <c r="M333" s="31"/>
      <c r="N333" s="106"/>
      <c r="O333" s="112"/>
      <c r="P333" s="112"/>
      <c r="Q333" s="107">
        <f>VLOOKUP(Ruimtestaat[[#This Row],[Ruimte code]],Ruimtegroepen[],4,FALSE)</f>
        <v>0</v>
      </c>
      <c r="R333" s="73"/>
      <c r="S333" s="73"/>
      <c r="T333" s="73">
        <f>IF(R333&gt;0,IF(RIGHT(Ruimtestaat[[#This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3" s="73">
        <f>IF(T333&gt;0,VLOOKUP($J333,Ruimtegroepen[],3,FALSE)*VLOOKUP($L333,Vloersoorten[],3,FALSE)*VLOOKUP($S333,Frequenties[],3,FALSE)*VLOOKUP($A333,Locaties[],3,FALSE),0)</f>
        <v>0</v>
      </c>
      <c r="V333" s="73">
        <f>Ruimtestaat[[#This Row],[Uitvoeringen werkdagen]]*Ruimtestaat[[#This Row],[Oppervlak (netto)]]</f>
        <v>0</v>
      </c>
      <c r="W333" s="108">
        <f>IF(U333&gt;0,Ruimtestaat[[#This Row],[Prest. (m2 /jaar) werkdagen]]/Ruimtestaat[[#This Row],[Norm (m2/uur) werkdagen]],0)</f>
        <v>0</v>
      </c>
      <c r="X333" s="109">
        <f>Ruimtestaat[[#This Row],[uren / jaar werkdagen]]*Tariefsopbouw!$E$35</f>
        <v>0</v>
      </c>
      <c r="Y333" s="73"/>
      <c r="Z333" s="73">
        <f>IF(Ruimtestaat[[#This Row],[Frequentie weekend]]&gt;0,VALUE(LEFT(Y333,1))*R333,0)</f>
        <v>0</v>
      </c>
      <c r="AA333" s="72">
        <f>IF($Z333&gt;0,VLOOKUP($J333,Ruimtegroepen[],3,FALSE)*VLOOKUP($L333,Vloersoorten[],3,FALSE)*VLOOKUP($Y333,Frequenties[],3,FALSE)*VLOOKUP(Ruimtestaat[[#This Row],[Code]],Locaties[],3,FALSE),0)</f>
        <v>0</v>
      </c>
      <c r="AB333" s="72">
        <f>Ruimtestaat[[#This Row],[Uitvoeringen weekend]]*Ruimtestaat[[#This Row],[Oppervlak (netto)]]</f>
        <v>0</v>
      </c>
      <c r="AC333" s="72">
        <f>IF(AA333&gt;0,Ruimtestaat[[#This Row],[Prest. (m2 /jaar) weekend]]/Ruimtestaat[[#This Row],[Norm (m2/uur) weekend]],0)</f>
        <v>0</v>
      </c>
      <c r="AD333" s="109">
        <f>Ruimtestaat[[#This Row],[uren / jaar weekend]]*Tariefsopbouw!$D$40</f>
        <v>0</v>
      </c>
      <c r="AE333" s="108">
        <f>Ruimtestaat[[#This Row],[Prest. (m2 /jaar) weekend]]+Ruimtestaat[[#This Row],[Prest. (m2 /jaar) werkdagen]]</f>
        <v>0</v>
      </c>
      <c r="AF333" s="108">
        <f>Ruimtestaat[[#This Row],[uren / jaar weekend]]+Ruimtestaat[[#This Row],[uren / jaar werkdagen]]</f>
        <v>0</v>
      </c>
      <c r="AG333" s="103">
        <f>Ruimtestaat[[#This Row],[kosten / jaar weekend]]+Ruimtestaat[[#This Row],[kosten / jaar werkdagen]]</f>
        <v>0</v>
      </c>
      <c r="AH333" s="103"/>
      <c r="AI333" s="110" t="str">
        <f>IF(Ruimtestaat[[#This Row],[Frequentie werkdagen]]="","",_xlfn.CONCAT(Ruimtestaat[[#This Row],[Ruimte code]],"-",Ruimtestaat[[#This Row],[Frequentie werkdagen]]," ",Ruimtestaat[[#This Row],[Vloer code]]))</f>
        <v/>
      </c>
      <c r="AJ333" s="114" t="str">
        <f>_xlfn.IFNA(VLOOKUP($AI333,Programma!$F$3:$G$1101,2,0),"")</f>
        <v/>
      </c>
      <c r="AK333" s="114" t="str">
        <f>_xlfn.IFNA(VLOOKUP($AI333,Programma!$F$3:$H$1101,3,0),"")</f>
        <v/>
      </c>
      <c r="AL333" s="114" t="str">
        <f>_xlfn.IFNA(VLOOKUP($AI333,Programma!$F$3:$I$1101,4,0),"")</f>
        <v/>
      </c>
      <c r="AM333" s="114" t="str">
        <f>_xlfn.IFNA(VLOOKUP($AI333,Programma!$F$3:$J$1101,5,0),"")</f>
        <v/>
      </c>
      <c r="AN333" s="114" t="str">
        <f>_xlfn.IFNA(VLOOKUP($AI333,Programma!$F$3:$K$1101,6,0),"")</f>
        <v/>
      </c>
      <c r="AO333" s="114" t="str">
        <f>_xlfn.IFNA(VLOOKUP($AI333,Programma!$F$3:$L$1101,7,0),"")</f>
        <v/>
      </c>
      <c r="AP333" s="114" t="str">
        <f>_xlfn.IFNA(VLOOKUP($AI333,Programma!$F$3:$M$1101,8,0),"")</f>
        <v/>
      </c>
      <c r="AQ333" s="114" t="str">
        <f>_xlfn.IFNA(VLOOKUP($AI333,Programma!$F$3:$N$1101,9,0),"")</f>
        <v/>
      </c>
      <c r="AR333" s="114" t="str">
        <f>_xlfn.IFNA(VLOOKUP($AI333,Programma!$F$3:$O$1101,10,0),"")</f>
        <v/>
      </c>
      <c r="AS333" s="114" t="str">
        <f>_xlfn.IFNA(VLOOKUP($AI333,Programma!$F$3:$P$1101,11,0),"")</f>
        <v/>
      </c>
      <c r="AT333" s="114" t="str">
        <f>_xlfn.IFNA(VLOOKUP($AI333,Programma!$F$3:$Q$1101,12,0),"")</f>
        <v/>
      </c>
      <c r="AU333" s="114" t="str">
        <f>_xlfn.IFNA(VLOOKUP($AI333,Programma!$F$3:$R$1101,13,0),"")</f>
        <v/>
      </c>
      <c r="AV333" s="114" t="str">
        <f>_xlfn.IFNA(VLOOKUP($AI333,Programma!$F$3:$S$1101,14,0),"")</f>
        <v/>
      </c>
      <c r="AW333" s="114" t="str">
        <f>_xlfn.IFNA(VLOOKUP($AI333,Programma!$F$3:$T$1101,15,0),"")</f>
        <v/>
      </c>
      <c r="AX333" s="114" t="str">
        <f>_xlfn.IFNA(VLOOKUP($AI333,Programma!$F$3:$U$1101,16,0),"")</f>
        <v/>
      </c>
      <c r="AY333" s="114" t="str">
        <f>_xlfn.IFNA(VLOOKUP($AI333,Programma!$F$3:$V$1101,17,0),"")</f>
        <v/>
      </c>
      <c r="AZ333" s="114" t="str">
        <f>_xlfn.IFNA(VLOOKUP($AI333,Programma!$F$3:$W$1101,18,0),"")</f>
        <v/>
      </c>
      <c r="BA333" s="114" t="str">
        <f>_xlfn.IFNA(VLOOKUP($AI333,Programma!$F$3:$X$1101,19,0),"")</f>
        <v/>
      </c>
      <c r="BB333" s="114" t="str">
        <f>_xlfn.IFNA(VLOOKUP($AI333,Programma!$F$3:$Y$1101,20,0),"")</f>
        <v/>
      </c>
      <c r="BC333" s="111"/>
      <c r="BD333" s="110" t="str">
        <f>IF(Ruimtestaat[[#This Row],[Frequentie weekend]]="","",_xlfn.CONCAT(Ruimtestaat[[#This Row],[Ruimte code]],"-",Ruimtestaat[[#This Row],[Frequentie weekend]]," ",Ruimtestaat[[#This Row],[Vloer code]]))</f>
        <v/>
      </c>
      <c r="BE333" s="114" t="str">
        <f>_xlfn.IFNA(VLOOKUP($BD333,Programma!$F$3:$G$1101,2,0),"")</f>
        <v/>
      </c>
      <c r="BF333" s="114" t="str">
        <f>_xlfn.IFNA(VLOOKUP($BD333,Programma!$F$3:$H$1101,3,0),"")</f>
        <v/>
      </c>
      <c r="BG333" s="114" t="str">
        <f>_xlfn.IFNA(VLOOKUP($BD333,Programma!$F$3:$I$1101,4,0),"")</f>
        <v/>
      </c>
      <c r="BH333" s="114" t="str">
        <f>_xlfn.IFNA(VLOOKUP($BD333,Programma!$F$3:$J$1101,5,0),"")</f>
        <v/>
      </c>
      <c r="BI333" s="114" t="str">
        <f>_xlfn.IFNA(VLOOKUP($BD333,Programma!$F$3:$K$1101,6,0),"")</f>
        <v/>
      </c>
      <c r="BJ333" s="114" t="str">
        <f>_xlfn.IFNA(VLOOKUP($BD333,Programma!$F$3:$L$1101,7,0),"")</f>
        <v/>
      </c>
      <c r="BK333" s="114" t="str">
        <f>_xlfn.IFNA(VLOOKUP($BD333,Programma!$F$3:$M$1101,8,0),"")</f>
        <v/>
      </c>
      <c r="BL333" s="114" t="str">
        <f>_xlfn.IFNA(VLOOKUP($BD333,Programma!$F$3:$N$1101,9,0),"")</f>
        <v/>
      </c>
      <c r="BM333" s="114" t="str">
        <f>_xlfn.IFNA(VLOOKUP($BD333,Programma!$F$3:$O$1101,10,0),"")</f>
        <v/>
      </c>
      <c r="BN333" s="114" t="str">
        <f>_xlfn.IFNA(VLOOKUP($BD333,Programma!$F$3:$P$1101,11,0),"")</f>
        <v/>
      </c>
      <c r="BO333" s="114" t="str">
        <f>_xlfn.IFNA(VLOOKUP($BD333,Programma!$F$3:$Q$1101,12,0),"")</f>
        <v/>
      </c>
      <c r="BP333" s="114" t="str">
        <f>_xlfn.IFNA(VLOOKUP($BD333,Programma!$F$3:$R$1101,13,0),"")</f>
        <v/>
      </c>
      <c r="BQ333" s="114" t="str">
        <f>_xlfn.IFNA(VLOOKUP($BD333,Programma!$F$3:$S$1101,14,0),"")</f>
        <v/>
      </c>
      <c r="BR333" s="114" t="str">
        <f>_xlfn.IFNA(VLOOKUP($BD333,Programma!$F$3:$T$1101,15,0),"")</f>
        <v/>
      </c>
      <c r="BS333" s="114" t="str">
        <f>_xlfn.IFNA(VLOOKUP($BD333,Programma!$F$3:$U$1101,16,0),"")</f>
        <v/>
      </c>
      <c r="BT333" s="114" t="str">
        <f>_xlfn.IFNA(VLOOKUP($BD333,Programma!$F$3:$V$1101,17,0),"")</f>
        <v/>
      </c>
      <c r="BU333" s="114" t="str">
        <f>_xlfn.IFNA(VLOOKUP($BD333,Programma!$F$3:$W$1101,18,0),"")</f>
        <v/>
      </c>
      <c r="BV333" s="114" t="str">
        <f>_xlfn.IFNA(VLOOKUP($BD333,Programma!$F$3:$X$1101,19,0),"")</f>
        <v/>
      </c>
      <c r="BW333" s="114" t="str">
        <f>_xlfn.IFNA(VLOOKUP($BD333,Programma!$F$3:$Y$1101,20,0),"")</f>
        <v/>
      </c>
      <c r="BX333" s="28"/>
      <c r="BY333" s="28"/>
      <c r="BZ333" s="28"/>
      <c r="CA333" s="28"/>
      <c r="CB333" s="28"/>
      <c r="CC333" s="28"/>
      <c r="CD333" s="28"/>
      <c r="CE333" s="28"/>
      <c r="CF333" s="28"/>
      <c r="CG333" s="28"/>
      <c r="CH333" s="28"/>
      <c r="CI333" s="28"/>
      <c r="CJ333" s="28"/>
      <c r="CK333" s="28"/>
      <c r="CL333" s="28"/>
      <c r="CM333" s="28"/>
      <c r="CN333" s="28"/>
      <c r="CO333" s="28"/>
      <c r="CP333" s="28"/>
      <c r="CQ333" s="28"/>
      <c r="CR333" s="28"/>
      <c r="CS333" s="28"/>
      <c r="CT333" s="28"/>
      <c r="CU333" s="28"/>
      <c r="CV333" s="28"/>
      <c r="CW333" s="28"/>
      <c r="CX333" s="28"/>
      <c r="CY333" s="28"/>
      <c r="CZ333" s="28"/>
      <c r="DA333" s="28"/>
      <c r="DB333" s="28"/>
      <c r="DC333" s="28"/>
      <c r="DD333" s="28"/>
      <c r="DE333" s="28"/>
      <c r="DF333" s="28"/>
      <c r="DG333" s="28"/>
      <c r="DH333" s="28"/>
      <c r="DI333" s="28"/>
      <c r="DJ333" s="28"/>
      <c r="DK333" s="28"/>
      <c r="DL333" s="28"/>
      <c r="DM333" s="28"/>
      <c r="DN333" s="28"/>
      <c r="DO333" s="28"/>
      <c r="DP333" s="28"/>
      <c r="DQ333" s="28"/>
      <c r="DR333" s="28"/>
      <c r="DS333" s="28"/>
      <c r="DT333" s="28"/>
      <c r="DU333" s="28"/>
      <c r="DV333" s="28"/>
      <c r="DW333" s="28"/>
      <c r="DX333" s="28"/>
      <c r="DY333" s="28"/>
      <c r="DZ333" s="28"/>
      <c r="EA333" s="28"/>
      <c r="EB333" s="28"/>
      <c r="EC333" s="28"/>
      <c r="ED333" s="28"/>
      <c r="EE333" s="28"/>
      <c r="EF333" s="28"/>
      <c r="EG333" s="28"/>
      <c r="EH333" s="28"/>
      <c r="EI333" s="28"/>
      <c r="EJ333" s="28"/>
      <c r="EK333" s="28"/>
      <c r="EL333" s="28"/>
      <c r="EM333" s="28"/>
      <c r="EN333" s="28"/>
      <c r="EO333" s="28"/>
      <c r="EP333" s="28"/>
      <c r="EQ333" s="28"/>
      <c r="ER333" s="28"/>
      <c r="ES333" s="28"/>
      <c r="ET333" s="28"/>
      <c r="EU333" s="28"/>
      <c r="EV333" s="28"/>
      <c r="EW333" s="28"/>
      <c r="EX333" s="28"/>
      <c r="EY333" s="28"/>
      <c r="EZ333" s="28"/>
      <c r="FA333" s="28"/>
      <c r="FB333" s="28"/>
      <c r="FC333" s="28"/>
      <c r="FD333" s="28"/>
      <c r="FE333" s="28"/>
      <c r="FF333" s="28"/>
      <c r="FG333" s="28"/>
      <c r="FH333" s="28"/>
      <c r="FI333" s="28"/>
      <c r="FJ333" s="28"/>
      <c r="FK333" s="28"/>
      <c r="FL333" s="28"/>
      <c r="FM333" s="28"/>
      <c r="FN333" s="28"/>
      <c r="FO333" s="28"/>
      <c r="FP333" s="28"/>
      <c r="FQ333" s="28"/>
      <c r="FR333" s="28"/>
      <c r="FS333" s="28"/>
      <c r="FT333" s="28"/>
      <c r="FU333" s="28"/>
      <c r="FV333" s="28"/>
      <c r="FW333" s="28"/>
      <c r="FX333" s="28"/>
      <c r="FY333" s="28"/>
      <c r="FZ333" s="28"/>
      <c r="GA333" s="28"/>
      <c r="GB333" s="28"/>
      <c r="GC333" s="28"/>
      <c r="GD333" s="28"/>
      <c r="GE333" s="28"/>
      <c r="GF333" s="28"/>
      <c r="GG333" s="28"/>
      <c r="GH333" s="28"/>
      <c r="GI333" s="28"/>
      <c r="GJ333" s="28"/>
      <c r="GK333" s="28"/>
      <c r="GL333" s="28"/>
      <c r="GM333" s="28"/>
      <c r="GN333" s="28"/>
      <c r="GO333" s="28"/>
      <c r="GP333" s="28"/>
      <c r="GQ333" s="28"/>
      <c r="GR333" s="28"/>
      <c r="GS333" s="28"/>
      <c r="GT333" s="28"/>
      <c r="GU333" s="28"/>
      <c r="GV333" s="28"/>
      <c r="GW333" s="28"/>
      <c r="GX333" s="28"/>
      <c r="GY333" s="28"/>
      <c r="GZ333" s="28"/>
      <c r="HA333" s="28"/>
      <c r="HB333" s="28"/>
      <c r="HC333" s="28"/>
      <c r="HD333" s="28"/>
      <c r="HE333" s="28"/>
      <c r="HF333" s="28"/>
      <c r="HG333" s="28"/>
      <c r="HH333" s="28"/>
      <c r="HI333" s="28"/>
      <c r="HJ333" s="28"/>
      <c r="HK333" s="28"/>
      <c r="HL333" s="28"/>
    </row>
    <row r="334" spans="1:220" ht="15" customHeight="1">
      <c r="A334" s="31">
        <v>7</v>
      </c>
      <c r="B334" s="105" t="str">
        <f>VLOOKUP(Ruimtestaat[[#This Row],[Code]],Locaties[[Code]:[Locatie]],2,FALSE)</f>
        <v>Montessori IKC De Groene Ring</v>
      </c>
      <c r="C334" s="105" t="str">
        <f>VLOOKUP(Ruimtestaat[[#This Row],[Code]],Locaties[[#All],[Code]:[Adres]],4,FALSE)</f>
        <v>Bergdravik 2</v>
      </c>
      <c r="D334" s="105" t="str">
        <f>VLOOKUP(Ruimtestaat[[#This Row],[Code]],Locaties[[#All],[Code]:[Postcode]],5,FALSE)</f>
        <v>6922 HM</v>
      </c>
      <c r="E334" s="105" t="str">
        <f>VLOOKUP(Ruimtestaat[[#This Row],[Code]],Locaties[#All],6,FALSE)</f>
        <v>Duiven</v>
      </c>
      <c r="F334" s="113"/>
      <c r="G334" s="31" t="s">
        <v>1645</v>
      </c>
      <c r="I334" s="113" t="s">
        <v>38</v>
      </c>
      <c r="J334" s="31">
        <v>7</v>
      </c>
      <c r="K334" s="113" t="str">
        <f>VLOOKUP(Ruimtestaat[[#This Row],[Ruimte code]],Ruimtegroepen[[#All],[Code]:[Ruimte omschrijving]],2,FALSE)</f>
        <v>Entree</v>
      </c>
      <c r="L334" s="31" t="s">
        <v>99</v>
      </c>
      <c r="M334" s="31" t="s">
        <v>1974</v>
      </c>
      <c r="N334" s="106"/>
      <c r="O334" s="112"/>
      <c r="P334" s="112"/>
      <c r="Q334" s="107" t="str">
        <f>VLOOKUP(Ruimtestaat[[#This Row],[Ruimte code]],Ruimtegroepen[],4,FALSE)</f>
        <v>Ve</v>
      </c>
      <c r="R334" s="73">
        <v>40</v>
      </c>
      <c r="S334" s="73" t="s">
        <v>2</v>
      </c>
      <c r="T334" s="73">
        <f>IF(R334&gt;0,IF(RIGHT(Ruimtestaat[[#This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4" s="73">
        <f>IF(T334&gt;0,VLOOKUP($J334,Ruimtegroepen[],3,FALSE)*VLOOKUP($L334,Vloersoorten[],3,FALSE)*VLOOKUP($S334,Frequenties[],3,FALSE)*VLOOKUP($A334,Locaties[],3,FALSE),0)</f>
        <v>0</v>
      </c>
      <c r="V334" s="73">
        <f>Ruimtestaat[[#This Row],[Uitvoeringen werkdagen]]*Ruimtestaat[[#This Row],[Oppervlak (netto)]]</f>
        <v>0</v>
      </c>
      <c r="W334" s="108">
        <f>IF(U334&gt;0,Ruimtestaat[[#This Row],[Prest. (m2 /jaar) werkdagen]]/Ruimtestaat[[#This Row],[Norm (m2/uur) werkdagen]],0)</f>
        <v>0</v>
      </c>
      <c r="X334" s="109">
        <f>Ruimtestaat[[#This Row],[uren / jaar werkdagen]]*Tariefsopbouw!$E$35</f>
        <v>0</v>
      </c>
      <c r="Y334" s="73"/>
      <c r="Z334" s="73">
        <f>IF(Ruimtestaat[[#This Row],[Frequentie weekend]]&gt;0,VALUE(LEFT(Y334,1))*R334,0)</f>
        <v>0</v>
      </c>
      <c r="AA334" s="72">
        <f>IF($Z334&gt;0,VLOOKUP($J334,Ruimtegroepen[],3,FALSE)*VLOOKUP($L334,Vloersoorten[],3,FALSE)*VLOOKUP($Y334,Frequenties[],3,FALSE)*VLOOKUP(Ruimtestaat[[#This Row],[Code]],Locaties[],3,FALSE),0)</f>
        <v>0</v>
      </c>
      <c r="AB334" s="72">
        <f>Ruimtestaat[[#This Row],[Uitvoeringen weekend]]*Ruimtestaat[[#This Row],[Oppervlak (netto)]]</f>
        <v>0</v>
      </c>
      <c r="AC334" s="72">
        <f>IF(AA334&gt;0,Ruimtestaat[[#This Row],[Prest. (m2 /jaar) weekend]]/Ruimtestaat[[#This Row],[Norm (m2/uur) weekend]],0)</f>
        <v>0</v>
      </c>
      <c r="AD334" s="109">
        <f>Ruimtestaat[[#This Row],[uren / jaar weekend]]*Tariefsopbouw!$D$40</f>
        <v>0</v>
      </c>
      <c r="AE334" s="108">
        <f>Ruimtestaat[[#This Row],[Prest. (m2 /jaar) weekend]]+Ruimtestaat[[#This Row],[Prest. (m2 /jaar) werkdagen]]</f>
        <v>0</v>
      </c>
      <c r="AF334" s="108">
        <f>Ruimtestaat[[#This Row],[uren / jaar weekend]]+Ruimtestaat[[#This Row],[uren / jaar werkdagen]]</f>
        <v>0</v>
      </c>
      <c r="AG334" s="103">
        <f>Ruimtestaat[[#This Row],[kosten / jaar weekend]]+Ruimtestaat[[#This Row],[kosten / jaar werkdagen]]</f>
        <v>0</v>
      </c>
      <c r="AH334" s="103"/>
      <c r="AI334" s="110" t="str">
        <f>IF(Ruimtestaat[[#This Row],[Frequentie werkdagen]]="","",_xlfn.CONCAT(Ruimtestaat[[#This Row],[Ruimte code]],"-",Ruimtestaat[[#This Row],[Frequentie werkdagen]]," ",Ruimtestaat[[#This Row],[Vloer code]]))</f>
        <v>7-5w T</v>
      </c>
      <c r="AJ334" s="114" t="str">
        <f>_xlfn.IFNA(VLOOKUP($AI334,Programma!$F$3:$G$1101,2,0),"")</f>
        <v>_</v>
      </c>
      <c r="AK334" s="114" t="str">
        <f>_xlfn.IFNA(VLOOKUP($AI334,Programma!$F$3:$H$1101,3,0),"")</f>
        <v>5w</v>
      </c>
      <c r="AL334" s="114" t="str">
        <f>_xlfn.IFNA(VLOOKUP($AI334,Programma!$F$3:$I$1101,4,0),"")</f>
        <v>_</v>
      </c>
      <c r="AM334" s="114" t="str">
        <f>_xlfn.IFNA(VLOOKUP($AI334,Programma!$F$3:$J$1101,5,0),"")</f>
        <v>_</v>
      </c>
      <c r="AN334" s="114" t="str">
        <f>_xlfn.IFNA(VLOOKUP($AI334,Programma!$F$3:$K$1101,6,0),"")</f>
        <v>_</v>
      </c>
      <c r="AO334" s="114" t="str">
        <f>_xlfn.IFNA(VLOOKUP($AI334,Programma!$F$3:$L$1101,7,0),"")</f>
        <v>_</v>
      </c>
      <c r="AP334" s="114" t="str">
        <f>_xlfn.IFNA(VLOOKUP($AI334,Programma!$F$3:$M$1101,8,0),"")</f>
        <v>_</v>
      </c>
      <c r="AQ334" s="114" t="str">
        <f>_xlfn.IFNA(VLOOKUP($AI334,Programma!$F$3:$N$1101,9,0),"")</f>
        <v>_</v>
      </c>
      <c r="AR334" s="114" t="str">
        <f>_xlfn.IFNA(VLOOKUP($AI334,Programma!$F$3:$O$1101,10,0),"")</f>
        <v>5w</v>
      </c>
      <c r="AS334" s="114" t="str">
        <f>_xlfn.IFNA(VLOOKUP($AI334,Programma!$F$3:$P$1101,11,0),"")</f>
        <v>5w</v>
      </c>
      <c r="AT334" s="114" t="str">
        <f>_xlfn.IFNA(VLOOKUP($AI334,Programma!$F$3:$Q$1101,12,0),"")</f>
        <v>1w</v>
      </c>
      <c r="AU334" s="114" t="str">
        <f>_xlfn.IFNA(VLOOKUP($AI334,Programma!$F$3:$R$1101,13,0),"")</f>
        <v>1w</v>
      </c>
      <c r="AV334" s="114" t="str">
        <f>_xlfn.IFNA(VLOOKUP($AI334,Programma!$F$3:$S$1101,14,0),"")</f>
        <v>1m</v>
      </c>
      <c r="AW334" s="114" t="str">
        <f>_xlfn.IFNA(VLOOKUP($AI334,Programma!$F$3:$T$1101,15,0),"")</f>
        <v>2j</v>
      </c>
      <c r="AX334" s="114" t="str">
        <f>_xlfn.IFNA(VLOOKUP($AI334,Programma!$F$3:$U$1101,16,0),"")</f>
        <v>1j</v>
      </c>
      <c r="AY334" s="114" t="str">
        <f>_xlfn.IFNA(VLOOKUP($AI334,Programma!$F$3:$V$1101,17,0),"")</f>
        <v>_</v>
      </c>
      <c r="AZ334" s="114" t="str">
        <f>_xlfn.IFNA(VLOOKUP($AI334,Programma!$F$3:$W$1101,18,0),"")</f>
        <v>_</v>
      </c>
      <c r="BA334" s="114" t="str">
        <f>_xlfn.IFNA(VLOOKUP($AI334,Programma!$F$3:$X$1101,19,0),"")</f>
        <v>_</v>
      </c>
      <c r="BB334" s="114" t="str">
        <f>_xlfn.IFNA(VLOOKUP($AI334,Programma!$F$3:$Y$1101,20,0),"")</f>
        <v>_</v>
      </c>
      <c r="BC334" s="111"/>
      <c r="BD334" s="110" t="str">
        <f>IF(Ruimtestaat[[#This Row],[Frequentie weekend]]="","",_xlfn.CONCAT(Ruimtestaat[[#This Row],[Ruimte code]],"-",Ruimtestaat[[#This Row],[Frequentie weekend]]," ",Ruimtestaat[[#This Row],[Vloer code]]))</f>
        <v/>
      </c>
      <c r="BE334" s="114" t="str">
        <f>_xlfn.IFNA(VLOOKUP($BD334,Programma!$F$3:$G$1101,2,0),"")</f>
        <v/>
      </c>
      <c r="BF334" s="114" t="str">
        <f>_xlfn.IFNA(VLOOKUP($BD334,Programma!$F$3:$H$1101,3,0),"")</f>
        <v/>
      </c>
      <c r="BG334" s="114" t="str">
        <f>_xlfn.IFNA(VLOOKUP($BD334,Programma!$F$3:$I$1101,4,0),"")</f>
        <v/>
      </c>
      <c r="BH334" s="114" t="str">
        <f>_xlfn.IFNA(VLOOKUP($BD334,Programma!$F$3:$J$1101,5,0),"")</f>
        <v/>
      </c>
      <c r="BI334" s="114" t="str">
        <f>_xlfn.IFNA(VLOOKUP($BD334,Programma!$F$3:$K$1101,6,0),"")</f>
        <v/>
      </c>
      <c r="BJ334" s="114" t="str">
        <f>_xlfn.IFNA(VLOOKUP($BD334,Programma!$F$3:$L$1101,7,0),"")</f>
        <v/>
      </c>
      <c r="BK334" s="114" t="str">
        <f>_xlfn.IFNA(VLOOKUP($BD334,Programma!$F$3:$M$1101,8,0),"")</f>
        <v/>
      </c>
      <c r="BL334" s="114" t="str">
        <f>_xlfn.IFNA(VLOOKUP($BD334,Programma!$F$3:$N$1101,9,0),"")</f>
        <v/>
      </c>
      <c r="BM334" s="114" t="str">
        <f>_xlfn.IFNA(VLOOKUP($BD334,Programma!$F$3:$O$1101,10,0),"")</f>
        <v/>
      </c>
      <c r="BN334" s="114" t="str">
        <f>_xlfn.IFNA(VLOOKUP($BD334,Programma!$F$3:$P$1101,11,0),"")</f>
        <v/>
      </c>
      <c r="BO334" s="114" t="str">
        <f>_xlfn.IFNA(VLOOKUP($BD334,Programma!$F$3:$Q$1101,12,0),"")</f>
        <v/>
      </c>
      <c r="BP334" s="114" t="str">
        <f>_xlfn.IFNA(VLOOKUP($BD334,Programma!$F$3:$R$1101,13,0),"")</f>
        <v/>
      </c>
      <c r="BQ334" s="114" t="str">
        <f>_xlfn.IFNA(VLOOKUP($BD334,Programma!$F$3:$S$1101,14,0),"")</f>
        <v/>
      </c>
      <c r="BR334" s="114" t="str">
        <f>_xlfn.IFNA(VLOOKUP($BD334,Programma!$F$3:$T$1101,15,0),"")</f>
        <v/>
      </c>
      <c r="BS334" s="114" t="str">
        <f>_xlfn.IFNA(VLOOKUP($BD334,Programma!$F$3:$U$1101,16,0),"")</f>
        <v/>
      </c>
      <c r="BT334" s="114" t="str">
        <f>_xlfn.IFNA(VLOOKUP($BD334,Programma!$F$3:$V$1101,17,0),"")</f>
        <v/>
      </c>
      <c r="BU334" s="114" t="str">
        <f>_xlfn.IFNA(VLOOKUP($BD334,Programma!$F$3:$W$1101,18,0),"")</f>
        <v/>
      </c>
      <c r="BV334" s="114" t="str">
        <f>_xlfn.IFNA(VLOOKUP($BD334,Programma!$F$3:$X$1101,19,0),"")</f>
        <v/>
      </c>
      <c r="BW334" s="114" t="str">
        <f>_xlfn.IFNA(VLOOKUP($BD334,Programma!$F$3:$Y$1101,20,0),"")</f>
        <v/>
      </c>
      <c r="BX334" s="28"/>
      <c r="BY334" s="28"/>
      <c r="BZ334" s="28"/>
      <c r="CA334" s="28"/>
      <c r="CB334" s="28"/>
      <c r="CC334" s="28"/>
      <c r="CD334" s="28"/>
      <c r="CE334" s="28"/>
      <c r="CF334" s="28"/>
      <c r="CG334" s="28"/>
      <c r="CH334" s="28"/>
      <c r="CI334" s="28"/>
      <c r="CJ334" s="28"/>
      <c r="CK334" s="28"/>
      <c r="CL334" s="28"/>
      <c r="CM334" s="28"/>
      <c r="CN334" s="28"/>
      <c r="CO334" s="28"/>
      <c r="CP334" s="28"/>
      <c r="CQ334" s="28"/>
      <c r="CR334" s="28"/>
      <c r="CS334" s="28"/>
      <c r="CT334" s="28"/>
      <c r="CU334" s="28"/>
      <c r="CV334" s="28"/>
      <c r="CW334" s="28"/>
      <c r="CX334" s="28"/>
      <c r="CY334" s="28"/>
      <c r="CZ334" s="28"/>
      <c r="DA334" s="28"/>
      <c r="DB334" s="28"/>
      <c r="DC334" s="28"/>
      <c r="DD334" s="28"/>
      <c r="DE334" s="28"/>
      <c r="DF334" s="28"/>
      <c r="DG334" s="28"/>
      <c r="DH334" s="28"/>
      <c r="DI334" s="28"/>
      <c r="DJ334" s="28"/>
      <c r="DK334" s="28"/>
      <c r="DL334" s="28"/>
      <c r="DM334" s="28"/>
      <c r="DN334" s="28"/>
      <c r="DO334" s="28"/>
      <c r="DP334" s="28"/>
      <c r="DQ334" s="28"/>
      <c r="DR334" s="28"/>
      <c r="DS334" s="28"/>
      <c r="DT334" s="28"/>
      <c r="DU334" s="28"/>
      <c r="DV334" s="28"/>
      <c r="DW334" s="28"/>
      <c r="DX334" s="28"/>
      <c r="DY334" s="28"/>
      <c r="DZ334" s="28"/>
      <c r="EA334" s="28"/>
      <c r="EB334" s="28"/>
      <c r="EC334" s="28"/>
      <c r="ED334" s="28"/>
      <c r="EE334" s="28"/>
      <c r="EF334" s="28"/>
      <c r="EG334" s="28"/>
      <c r="EH334" s="28"/>
      <c r="EI334" s="28"/>
      <c r="EJ334" s="28"/>
      <c r="EK334" s="28"/>
      <c r="EL334" s="28"/>
      <c r="EM334" s="28"/>
      <c r="EN334" s="28"/>
      <c r="EO334" s="28"/>
      <c r="EP334" s="28"/>
      <c r="EQ334" s="28"/>
      <c r="ER334" s="28"/>
      <c r="ES334" s="28"/>
      <c r="ET334" s="28"/>
      <c r="EU334" s="28"/>
      <c r="EV334" s="28"/>
      <c r="EW334" s="28"/>
      <c r="EX334" s="28"/>
      <c r="EY334" s="28"/>
      <c r="EZ334" s="28"/>
      <c r="FA334" s="28"/>
      <c r="FB334" s="28"/>
      <c r="FC334" s="28"/>
      <c r="FD334" s="28"/>
      <c r="FE334" s="28"/>
      <c r="FF334" s="28"/>
      <c r="FG334" s="28"/>
      <c r="FH334" s="28"/>
      <c r="FI334" s="28"/>
      <c r="FJ334" s="28"/>
      <c r="FK334" s="28"/>
      <c r="FL334" s="28"/>
      <c r="FM334" s="28"/>
      <c r="FN334" s="28"/>
      <c r="FO334" s="28"/>
      <c r="FP334" s="28"/>
      <c r="FQ334" s="28"/>
      <c r="FR334" s="28"/>
      <c r="FS334" s="28"/>
      <c r="FT334" s="28"/>
      <c r="FU334" s="28"/>
      <c r="FV334" s="28"/>
      <c r="FW334" s="28"/>
      <c r="FX334" s="28"/>
      <c r="FY334" s="28"/>
      <c r="FZ334" s="28"/>
      <c r="GA334" s="28"/>
      <c r="GB334" s="28"/>
      <c r="GC334" s="28"/>
      <c r="GD334" s="28"/>
      <c r="GE334" s="28"/>
      <c r="GF334" s="28"/>
      <c r="GG334" s="28"/>
      <c r="GH334" s="28"/>
      <c r="GI334" s="28"/>
      <c r="GJ334" s="28"/>
      <c r="GK334" s="28"/>
      <c r="GL334" s="28"/>
      <c r="GM334" s="28"/>
      <c r="GN334" s="28"/>
      <c r="GO334" s="28"/>
      <c r="GP334" s="28"/>
      <c r="GQ334" s="28"/>
      <c r="GR334" s="28"/>
      <c r="GS334" s="28"/>
      <c r="GT334" s="28"/>
      <c r="GU334" s="28"/>
      <c r="GV334" s="28"/>
      <c r="GW334" s="28"/>
      <c r="GX334" s="28"/>
      <c r="GY334" s="28"/>
      <c r="GZ334" s="28"/>
      <c r="HA334" s="28"/>
      <c r="HB334" s="28"/>
      <c r="HC334" s="28"/>
      <c r="HD334" s="28"/>
      <c r="HE334" s="28"/>
      <c r="HF334" s="28"/>
      <c r="HG334" s="28"/>
      <c r="HH334" s="28"/>
      <c r="HI334" s="28"/>
      <c r="HJ334" s="28"/>
      <c r="HK334" s="28"/>
      <c r="HL334" s="28"/>
    </row>
    <row r="335" spans="1:220" ht="15" customHeight="1">
      <c r="A335" s="31">
        <v>7</v>
      </c>
      <c r="B335" s="105" t="str">
        <f>VLOOKUP(Ruimtestaat[[#This Row],[Code]],Locaties[[Code]:[Locatie]],2,FALSE)</f>
        <v>Montessori IKC De Groene Ring</v>
      </c>
      <c r="C335" s="105" t="str">
        <f>VLOOKUP(Ruimtestaat[[#This Row],[Code]],Locaties[[#All],[Code]:[Adres]],4,FALSE)</f>
        <v>Bergdravik 2</v>
      </c>
      <c r="D335" s="105" t="str">
        <f>VLOOKUP(Ruimtestaat[[#This Row],[Code]],Locaties[[#All],[Code]:[Postcode]],5,FALSE)</f>
        <v>6922 HM</v>
      </c>
      <c r="E335" s="105" t="str">
        <f>VLOOKUP(Ruimtestaat[[#This Row],[Code]],Locaties[#All],6,FALSE)</f>
        <v>Duiven</v>
      </c>
      <c r="F335" s="113"/>
      <c r="I335" s="113" t="s">
        <v>1668</v>
      </c>
      <c r="J335" s="31">
        <v>6</v>
      </c>
      <c r="K335" s="113" t="str">
        <f>VLOOKUP(Ruimtestaat[[#This Row],[Ruimte code]],Ruimtegroepen[[#All],[Code]:[Ruimte omschrijving]],2,FALSE)</f>
        <v>Gangen/hallen</v>
      </c>
      <c r="L335" s="31" t="s">
        <v>100</v>
      </c>
      <c r="M335" s="31" t="s">
        <v>1975</v>
      </c>
      <c r="N335" s="106">
        <v>269</v>
      </c>
      <c r="O335" s="112"/>
      <c r="P335" s="112"/>
      <c r="Q335" s="107" t="str">
        <f>VLOOKUP(Ruimtestaat[[#This Row],[Ruimte code]],Ruimtegroepen[],4,FALSE)</f>
        <v>Ve</v>
      </c>
      <c r="R335" s="73">
        <v>40</v>
      </c>
      <c r="S335" s="73" t="s">
        <v>2</v>
      </c>
      <c r="T335" s="73">
        <f>IF(R335&gt;0,IF(RIGHT(Ruimtestaat[[#This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5" s="73">
        <f>IF(T335&gt;0,VLOOKUP($J335,Ruimtegroepen[],3,FALSE)*VLOOKUP($L335,Vloersoorten[],3,FALSE)*VLOOKUP($S335,Frequenties[],3,FALSE)*VLOOKUP($A335,Locaties[],3,FALSE),0)</f>
        <v>0</v>
      </c>
      <c r="V335" s="73">
        <f>Ruimtestaat[[#This Row],[Uitvoeringen werkdagen]]*Ruimtestaat[[#This Row],[Oppervlak (netto)]]</f>
        <v>53800</v>
      </c>
      <c r="W335" s="108">
        <f>IF(U335&gt;0,Ruimtestaat[[#This Row],[Prest. (m2 /jaar) werkdagen]]/Ruimtestaat[[#This Row],[Norm (m2/uur) werkdagen]],0)</f>
        <v>0</v>
      </c>
      <c r="X335" s="109">
        <f>Ruimtestaat[[#This Row],[uren / jaar werkdagen]]*Tariefsopbouw!$E$35</f>
        <v>0</v>
      </c>
      <c r="Y335" s="73"/>
      <c r="Z335" s="73">
        <f>IF(Ruimtestaat[[#This Row],[Frequentie weekend]]&gt;0,VALUE(LEFT(Y335,1))*R335,0)</f>
        <v>0</v>
      </c>
      <c r="AA335" s="72">
        <f>IF($Z335&gt;0,VLOOKUP($J335,Ruimtegroepen[],3,FALSE)*VLOOKUP($L335,Vloersoorten[],3,FALSE)*VLOOKUP($Y335,Frequenties[],3,FALSE)*VLOOKUP(Ruimtestaat[[#This Row],[Code]],Locaties[],3,FALSE),0)</f>
        <v>0</v>
      </c>
      <c r="AB335" s="72">
        <f>Ruimtestaat[[#This Row],[Uitvoeringen weekend]]*Ruimtestaat[[#This Row],[Oppervlak (netto)]]</f>
        <v>0</v>
      </c>
      <c r="AC335" s="72">
        <f>IF(AA335&gt;0,Ruimtestaat[[#This Row],[Prest. (m2 /jaar) weekend]]/Ruimtestaat[[#This Row],[Norm (m2/uur) weekend]],0)</f>
        <v>0</v>
      </c>
      <c r="AD335" s="109">
        <f>Ruimtestaat[[#This Row],[uren / jaar weekend]]*Tariefsopbouw!$D$40</f>
        <v>0</v>
      </c>
      <c r="AE335" s="108">
        <f>Ruimtestaat[[#This Row],[Prest. (m2 /jaar) weekend]]+Ruimtestaat[[#This Row],[Prest. (m2 /jaar) werkdagen]]</f>
        <v>53800</v>
      </c>
      <c r="AF335" s="108">
        <f>Ruimtestaat[[#This Row],[uren / jaar weekend]]+Ruimtestaat[[#This Row],[uren / jaar werkdagen]]</f>
        <v>0</v>
      </c>
      <c r="AG335" s="103">
        <f>Ruimtestaat[[#This Row],[kosten / jaar weekend]]+Ruimtestaat[[#This Row],[kosten / jaar werkdagen]]</f>
        <v>0</v>
      </c>
      <c r="AH335" s="103"/>
      <c r="AI335" s="110" t="str">
        <f>IF(Ruimtestaat[[#This Row],[Frequentie werkdagen]]="","",_xlfn.CONCAT(Ruimtestaat[[#This Row],[Ruimte code]],"-",Ruimtestaat[[#This Row],[Frequentie werkdagen]]," ",Ruimtestaat[[#This Row],[Vloer code]]))</f>
        <v>6-5w L</v>
      </c>
      <c r="AJ335" s="114" t="str">
        <f>_xlfn.IFNA(VLOOKUP($AI335,Programma!$F$3:$G$1101,2,0),"")</f>
        <v>_</v>
      </c>
      <c r="AK335" s="114" t="str">
        <f>_xlfn.IFNA(VLOOKUP($AI335,Programma!$F$3:$H$1101,3,0),"")</f>
        <v>_</v>
      </c>
      <c r="AL335" s="114" t="str">
        <f>_xlfn.IFNA(VLOOKUP($AI335,Programma!$F$3:$I$1101,4,0),"")</f>
        <v>_</v>
      </c>
      <c r="AM335" s="114" t="str">
        <f>_xlfn.IFNA(VLOOKUP($AI335,Programma!$F$3:$J$1101,5,0),"")</f>
        <v>5w</v>
      </c>
      <c r="AN335" s="114" t="str">
        <f>_xlfn.IFNA(VLOOKUP($AI335,Programma!$F$3:$K$1101,6,0),"")</f>
        <v>_</v>
      </c>
      <c r="AO335" s="114" t="str">
        <f>_xlfn.IFNA(VLOOKUP($AI335,Programma!$F$3:$L$1101,7,0),"")</f>
        <v>_</v>
      </c>
      <c r="AP335" s="114" t="str">
        <f>_xlfn.IFNA(VLOOKUP($AI335,Programma!$F$3:$M$1101,8,0),"")</f>
        <v>_</v>
      </c>
      <c r="AQ335" s="114" t="str">
        <f>_xlfn.IFNA(VLOOKUP($AI335,Programma!$F$3:$N$1101,9,0),"")</f>
        <v>_</v>
      </c>
      <c r="AR335" s="114" t="str">
        <f>_xlfn.IFNA(VLOOKUP($AI335,Programma!$F$3:$O$1101,10,0),"")</f>
        <v>5w</v>
      </c>
      <c r="AS335" s="114" t="str">
        <f>_xlfn.IFNA(VLOOKUP($AI335,Programma!$F$3:$P$1101,11,0),"")</f>
        <v>5w</v>
      </c>
      <c r="AT335" s="114" t="str">
        <f>_xlfn.IFNA(VLOOKUP($AI335,Programma!$F$3:$Q$1101,12,0),"")</f>
        <v>1w</v>
      </c>
      <c r="AU335" s="114" t="str">
        <f>_xlfn.IFNA(VLOOKUP($AI335,Programma!$F$3:$R$1101,13,0),"")</f>
        <v>1w</v>
      </c>
      <c r="AV335" s="114" t="str">
        <f>_xlfn.IFNA(VLOOKUP($AI335,Programma!$F$3:$S$1101,14,0),"")</f>
        <v>1m</v>
      </c>
      <c r="AW335" s="114" t="str">
        <f>_xlfn.IFNA(VLOOKUP($AI335,Programma!$F$3:$T$1101,15,0),"")</f>
        <v>2j</v>
      </c>
      <c r="AX335" s="114" t="str">
        <f>_xlfn.IFNA(VLOOKUP($AI335,Programma!$F$3:$U$1101,16,0),"")</f>
        <v>1j</v>
      </c>
      <c r="AY335" s="114" t="str">
        <f>_xlfn.IFNA(VLOOKUP($AI335,Programma!$F$3:$V$1101,17,0),"")</f>
        <v>_</v>
      </c>
      <c r="AZ335" s="114" t="str">
        <f>_xlfn.IFNA(VLOOKUP($AI335,Programma!$F$3:$W$1101,18,0),"")</f>
        <v>_</v>
      </c>
      <c r="BA335" s="114" t="str">
        <f>_xlfn.IFNA(VLOOKUP($AI335,Programma!$F$3:$X$1101,19,0),"")</f>
        <v>_</v>
      </c>
      <c r="BB335" s="114" t="str">
        <f>_xlfn.IFNA(VLOOKUP($AI335,Programma!$F$3:$Y$1101,20,0),"")</f>
        <v>_</v>
      </c>
      <c r="BC335" s="111"/>
      <c r="BD335" s="110" t="str">
        <f>IF(Ruimtestaat[[#This Row],[Frequentie weekend]]="","",_xlfn.CONCAT(Ruimtestaat[[#This Row],[Ruimte code]],"-",Ruimtestaat[[#This Row],[Frequentie weekend]]," ",Ruimtestaat[[#This Row],[Vloer code]]))</f>
        <v/>
      </c>
      <c r="BE335" s="114" t="str">
        <f>_xlfn.IFNA(VLOOKUP($BD335,Programma!$F$3:$G$1101,2,0),"")</f>
        <v/>
      </c>
      <c r="BF335" s="114" t="str">
        <f>_xlfn.IFNA(VLOOKUP($BD335,Programma!$F$3:$H$1101,3,0),"")</f>
        <v/>
      </c>
      <c r="BG335" s="114" t="str">
        <f>_xlfn.IFNA(VLOOKUP($BD335,Programma!$F$3:$I$1101,4,0),"")</f>
        <v/>
      </c>
      <c r="BH335" s="114" t="str">
        <f>_xlfn.IFNA(VLOOKUP($BD335,Programma!$F$3:$J$1101,5,0),"")</f>
        <v/>
      </c>
      <c r="BI335" s="114" t="str">
        <f>_xlfn.IFNA(VLOOKUP($BD335,Programma!$F$3:$K$1101,6,0),"")</f>
        <v/>
      </c>
      <c r="BJ335" s="114" t="str">
        <f>_xlfn.IFNA(VLOOKUP($BD335,Programma!$F$3:$L$1101,7,0),"")</f>
        <v/>
      </c>
      <c r="BK335" s="114" t="str">
        <f>_xlfn.IFNA(VLOOKUP($BD335,Programma!$F$3:$M$1101,8,0),"")</f>
        <v/>
      </c>
      <c r="BL335" s="114" t="str">
        <f>_xlfn.IFNA(VLOOKUP($BD335,Programma!$F$3:$N$1101,9,0),"")</f>
        <v/>
      </c>
      <c r="BM335" s="114" t="str">
        <f>_xlfn.IFNA(VLOOKUP($BD335,Programma!$F$3:$O$1101,10,0),"")</f>
        <v/>
      </c>
      <c r="BN335" s="114" t="str">
        <f>_xlfn.IFNA(VLOOKUP($BD335,Programma!$F$3:$P$1101,11,0),"")</f>
        <v/>
      </c>
      <c r="BO335" s="114" t="str">
        <f>_xlfn.IFNA(VLOOKUP($BD335,Programma!$F$3:$Q$1101,12,0),"")</f>
        <v/>
      </c>
      <c r="BP335" s="114" t="str">
        <f>_xlfn.IFNA(VLOOKUP($BD335,Programma!$F$3:$R$1101,13,0),"")</f>
        <v/>
      </c>
      <c r="BQ335" s="114" t="str">
        <f>_xlfn.IFNA(VLOOKUP($BD335,Programma!$F$3:$S$1101,14,0),"")</f>
        <v/>
      </c>
      <c r="BR335" s="114" t="str">
        <f>_xlfn.IFNA(VLOOKUP($BD335,Programma!$F$3:$T$1101,15,0),"")</f>
        <v/>
      </c>
      <c r="BS335" s="114" t="str">
        <f>_xlfn.IFNA(VLOOKUP($BD335,Programma!$F$3:$U$1101,16,0),"")</f>
        <v/>
      </c>
      <c r="BT335" s="114" t="str">
        <f>_xlfn.IFNA(VLOOKUP($BD335,Programma!$F$3:$V$1101,17,0),"")</f>
        <v/>
      </c>
      <c r="BU335" s="114" t="str">
        <f>_xlfn.IFNA(VLOOKUP($BD335,Programma!$F$3:$W$1101,18,0),"")</f>
        <v/>
      </c>
      <c r="BV335" s="114" t="str">
        <f>_xlfn.IFNA(VLOOKUP($BD335,Programma!$F$3:$X$1101,19,0),"")</f>
        <v/>
      </c>
      <c r="BW335" s="114" t="str">
        <f>_xlfn.IFNA(VLOOKUP($BD335,Programma!$F$3:$Y$1101,20,0),"")</f>
        <v/>
      </c>
      <c r="BX335" s="28"/>
      <c r="BY335" s="28"/>
      <c r="BZ335" s="28"/>
      <c r="CA335" s="28"/>
      <c r="CB335" s="28"/>
      <c r="CC335" s="28"/>
      <c r="CD335" s="28"/>
      <c r="CE335" s="28"/>
      <c r="CF335" s="28"/>
      <c r="CG335" s="28"/>
      <c r="CH335" s="28"/>
      <c r="CI335" s="28"/>
      <c r="CJ335" s="28"/>
      <c r="CK335" s="28"/>
      <c r="CL335" s="28"/>
      <c r="CM335" s="28"/>
      <c r="CN335" s="28"/>
      <c r="CO335" s="28"/>
      <c r="CP335" s="28"/>
      <c r="CQ335" s="28"/>
      <c r="CR335" s="28"/>
      <c r="CS335" s="28"/>
      <c r="CT335" s="28"/>
      <c r="CU335" s="28"/>
      <c r="CV335" s="28"/>
      <c r="CW335" s="28"/>
      <c r="CX335" s="28"/>
      <c r="CY335" s="28"/>
      <c r="CZ335" s="28"/>
      <c r="DA335" s="28"/>
      <c r="DB335" s="28"/>
      <c r="DC335" s="28"/>
      <c r="DD335" s="28"/>
      <c r="DE335" s="28"/>
      <c r="DF335" s="28"/>
      <c r="DG335" s="28"/>
      <c r="DH335" s="28"/>
      <c r="DI335" s="28"/>
      <c r="DJ335" s="28"/>
      <c r="DK335" s="28"/>
      <c r="DL335" s="28"/>
      <c r="DM335" s="28"/>
      <c r="DN335" s="28"/>
      <c r="DO335" s="28"/>
      <c r="DP335" s="28"/>
      <c r="DQ335" s="28"/>
      <c r="DR335" s="28"/>
      <c r="DS335" s="28"/>
      <c r="DT335" s="28"/>
      <c r="DU335" s="28"/>
      <c r="DV335" s="28"/>
      <c r="DW335" s="28"/>
      <c r="DX335" s="28"/>
      <c r="DY335" s="28"/>
      <c r="DZ335" s="28"/>
      <c r="EA335" s="28"/>
      <c r="EB335" s="28"/>
      <c r="EC335" s="28"/>
      <c r="ED335" s="28"/>
      <c r="EE335" s="28"/>
      <c r="EF335" s="28"/>
      <c r="EG335" s="28"/>
      <c r="EH335" s="28"/>
      <c r="EI335" s="28"/>
      <c r="EJ335" s="28"/>
      <c r="EK335" s="28"/>
      <c r="EL335" s="28"/>
      <c r="EM335" s="28"/>
      <c r="EN335" s="28"/>
      <c r="EO335" s="28"/>
      <c r="EP335" s="28"/>
      <c r="EQ335" s="28"/>
      <c r="ER335" s="28"/>
      <c r="ES335" s="28"/>
      <c r="ET335" s="28"/>
      <c r="EU335" s="28"/>
      <c r="EV335" s="28"/>
      <c r="EW335" s="28"/>
      <c r="EX335" s="28"/>
      <c r="EY335" s="28"/>
      <c r="EZ335" s="28"/>
      <c r="FA335" s="28"/>
      <c r="FB335" s="28"/>
      <c r="FC335" s="28"/>
      <c r="FD335" s="28"/>
      <c r="FE335" s="28"/>
      <c r="FF335" s="28"/>
      <c r="FG335" s="28"/>
      <c r="FH335" s="28"/>
      <c r="FI335" s="28"/>
      <c r="FJ335" s="28"/>
      <c r="FK335" s="28"/>
      <c r="FL335" s="28"/>
      <c r="FM335" s="28"/>
      <c r="FN335" s="28"/>
      <c r="FO335" s="28"/>
      <c r="FP335" s="28"/>
      <c r="FQ335" s="28"/>
      <c r="FR335" s="28"/>
      <c r="FS335" s="28"/>
      <c r="FT335" s="28"/>
      <c r="FU335" s="28"/>
      <c r="FV335" s="28"/>
      <c r="FW335" s="28"/>
      <c r="FX335" s="28"/>
      <c r="FY335" s="28"/>
      <c r="FZ335" s="28"/>
      <c r="GA335" s="28"/>
      <c r="GB335" s="28"/>
      <c r="GC335" s="28"/>
      <c r="GD335" s="28"/>
      <c r="GE335" s="28"/>
      <c r="GF335" s="28"/>
      <c r="GG335" s="28"/>
      <c r="GH335" s="28"/>
      <c r="GI335" s="28"/>
      <c r="GJ335" s="28"/>
      <c r="GK335" s="28"/>
      <c r="GL335" s="28"/>
      <c r="GM335" s="28"/>
      <c r="GN335" s="28"/>
      <c r="GO335" s="28"/>
      <c r="GP335" s="28"/>
      <c r="GQ335" s="28"/>
      <c r="GR335" s="28"/>
      <c r="GS335" s="28"/>
      <c r="GT335" s="28"/>
      <c r="GU335" s="28"/>
      <c r="GV335" s="28"/>
      <c r="GW335" s="28"/>
      <c r="GX335" s="28"/>
      <c r="GY335" s="28"/>
      <c r="GZ335" s="28"/>
      <c r="HA335" s="28"/>
      <c r="HB335" s="28"/>
      <c r="HC335" s="28"/>
      <c r="HD335" s="28"/>
      <c r="HE335" s="28"/>
      <c r="HF335" s="28"/>
      <c r="HG335" s="28"/>
      <c r="HH335" s="28"/>
      <c r="HI335" s="28"/>
      <c r="HJ335" s="28"/>
      <c r="HK335" s="28"/>
      <c r="HL335" s="28"/>
    </row>
    <row r="336" spans="1:220" ht="15" customHeight="1">
      <c r="A336" s="31">
        <v>7</v>
      </c>
      <c r="B336" s="105" t="str">
        <f>VLOOKUP(Ruimtestaat[[#This Row],[Code]],Locaties[[Code]:[Locatie]],2,FALSE)</f>
        <v>Montessori IKC De Groene Ring</v>
      </c>
      <c r="C336" s="105" t="str">
        <f>VLOOKUP(Ruimtestaat[[#This Row],[Code]],Locaties[[#All],[Code]:[Adres]],4,FALSE)</f>
        <v>Bergdravik 2</v>
      </c>
      <c r="D336" s="105" t="str">
        <f>VLOOKUP(Ruimtestaat[[#This Row],[Code]],Locaties[[#All],[Code]:[Postcode]],5,FALSE)</f>
        <v>6922 HM</v>
      </c>
      <c r="E336" s="105" t="str">
        <f>VLOOKUP(Ruimtestaat[[#This Row],[Code]],Locaties[#All],6,FALSE)</f>
        <v>Duiven</v>
      </c>
      <c r="F336" s="113"/>
      <c r="I336" s="113" t="s">
        <v>1781</v>
      </c>
      <c r="J336" s="31">
        <v>4</v>
      </c>
      <c r="K336" s="113" t="str">
        <f>VLOOKUP(Ruimtestaat[[#This Row],[Ruimte code]],Ruimtegroepen[[#All],[Code]:[Ruimte omschrijving]],2,FALSE)</f>
        <v>Vergader/spreekkamers</v>
      </c>
      <c r="L336" s="31" t="s">
        <v>100</v>
      </c>
      <c r="M336" s="31" t="s">
        <v>1975</v>
      </c>
      <c r="N336" s="106">
        <v>13</v>
      </c>
      <c r="O336" s="112"/>
      <c r="P336" s="112"/>
      <c r="Q336" s="107" t="str">
        <f>VLOOKUP(Ruimtestaat[[#This Row],[Ruimte code]],Ruimtegroepen[],4,FALSE)</f>
        <v>Bu</v>
      </c>
      <c r="R336" s="73">
        <v>40</v>
      </c>
      <c r="S336" s="73" t="s">
        <v>15</v>
      </c>
      <c r="T336" s="73">
        <f>IF(R336&gt;0,IF(RIGHT(Ruimtestaat[[#This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36" s="73">
        <f>IF(T336&gt;0,VLOOKUP($J336,Ruimtegroepen[],3,FALSE)*VLOOKUP($L336,Vloersoorten[],3,FALSE)*VLOOKUP($S336,Frequenties[],3,FALSE)*VLOOKUP($A336,Locaties[],3,FALSE),0)</f>
        <v>0</v>
      </c>
      <c r="V336" s="73">
        <f>Ruimtestaat[[#This Row],[Uitvoeringen werkdagen]]*Ruimtestaat[[#This Row],[Oppervlak (netto)]]</f>
        <v>520</v>
      </c>
      <c r="W336" s="108">
        <f>IF(U336&gt;0,Ruimtestaat[[#This Row],[Prest. (m2 /jaar) werkdagen]]/Ruimtestaat[[#This Row],[Norm (m2/uur) werkdagen]],0)</f>
        <v>0</v>
      </c>
      <c r="X336" s="109">
        <f>Ruimtestaat[[#This Row],[uren / jaar werkdagen]]*Tariefsopbouw!$E$35</f>
        <v>0</v>
      </c>
      <c r="Y336" s="73"/>
      <c r="Z336" s="73">
        <f>IF(Ruimtestaat[[#This Row],[Frequentie weekend]]&gt;0,VALUE(LEFT(Y336,1))*R336,0)</f>
        <v>0</v>
      </c>
      <c r="AA336" s="72">
        <f>IF($Z336&gt;0,VLOOKUP($J336,Ruimtegroepen[],3,FALSE)*VLOOKUP($L336,Vloersoorten[],3,FALSE)*VLOOKUP($Y336,Frequenties[],3,FALSE)*VLOOKUP(Ruimtestaat[[#This Row],[Code]],Locaties[],3,FALSE),0)</f>
        <v>0</v>
      </c>
      <c r="AB336" s="72">
        <f>Ruimtestaat[[#This Row],[Uitvoeringen weekend]]*Ruimtestaat[[#This Row],[Oppervlak (netto)]]</f>
        <v>0</v>
      </c>
      <c r="AC336" s="72">
        <f>IF(AA336&gt;0,Ruimtestaat[[#This Row],[Prest. (m2 /jaar) weekend]]/Ruimtestaat[[#This Row],[Norm (m2/uur) weekend]],0)</f>
        <v>0</v>
      </c>
      <c r="AD336" s="109">
        <f>Ruimtestaat[[#This Row],[uren / jaar weekend]]*Tariefsopbouw!$D$40</f>
        <v>0</v>
      </c>
      <c r="AE336" s="108">
        <f>Ruimtestaat[[#This Row],[Prest. (m2 /jaar) weekend]]+Ruimtestaat[[#This Row],[Prest. (m2 /jaar) werkdagen]]</f>
        <v>520</v>
      </c>
      <c r="AF336" s="108">
        <f>Ruimtestaat[[#This Row],[uren / jaar weekend]]+Ruimtestaat[[#This Row],[uren / jaar werkdagen]]</f>
        <v>0</v>
      </c>
      <c r="AG336" s="103">
        <f>Ruimtestaat[[#This Row],[kosten / jaar weekend]]+Ruimtestaat[[#This Row],[kosten / jaar werkdagen]]</f>
        <v>0</v>
      </c>
      <c r="AH336" s="103"/>
      <c r="AI336" s="110" t="str">
        <f>IF(Ruimtestaat[[#This Row],[Frequentie werkdagen]]="","",_xlfn.CONCAT(Ruimtestaat[[#This Row],[Ruimte code]],"-",Ruimtestaat[[#This Row],[Frequentie werkdagen]]," ",Ruimtestaat[[#This Row],[Vloer code]]))</f>
        <v>4-1w L</v>
      </c>
      <c r="AJ336" s="114" t="str">
        <f>_xlfn.IFNA(VLOOKUP($AI336,Programma!$F$3:$G$1101,2,0),"")</f>
        <v>_</v>
      </c>
      <c r="AK336" s="114" t="str">
        <f>_xlfn.IFNA(VLOOKUP($AI336,Programma!$F$3:$H$1101,3,0),"")</f>
        <v>_</v>
      </c>
      <c r="AL336" s="114" t="str">
        <f>_xlfn.IFNA(VLOOKUP($AI336,Programma!$F$3:$I$1101,4,0),"")</f>
        <v>_</v>
      </c>
      <c r="AM336" s="114" t="str">
        <f>_xlfn.IFNA(VLOOKUP($AI336,Programma!$F$3:$J$1101,5,0),"")</f>
        <v>1w</v>
      </c>
      <c r="AN336" s="114" t="str">
        <f>_xlfn.IFNA(VLOOKUP($AI336,Programma!$F$3:$K$1101,6,0),"")</f>
        <v>_</v>
      </c>
      <c r="AO336" s="114" t="str">
        <f>_xlfn.IFNA(VLOOKUP($AI336,Programma!$F$3:$L$1101,7,0),"")</f>
        <v>_</v>
      </c>
      <c r="AP336" s="114" t="str">
        <f>_xlfn.IFNA(VLOOKUP($AI336,Programma!$F$3:$M$1101,8,0),"")</f>
        <v>_</v>
      </c>
      <c r="AQ336" s="114" t="str">
        <f>_xlfn.IFNA(VLOOKUP($AI336,Programma!$F$3:$N$1101,9,0),"")</f>
        <v>_</v>
      </c>
      <c r="AR336" s="114" t="str">
        <f>_xlfn.IFNA(VLOOKUP($AI336,Programma!$F$3:$O$1101,10,0),"")</f>
        <v>1w</v>
      </c>
      <c r="AS336" s="114" t="str">
        <f>_xlfn.IFNA(VLOOKUP($AI336,Programma!$F$3:$P$1101,11,0),"")</f>
        <v>1w</v>
      </c>
      <c r="AT336" s="114" t="str">
        <f>_xlfn.IFNA(VLOOKUP($AI336,Programma!$F$3:$Q$1101,12,0),"")</f>
        <v>1w</v>
      </c>
      <c r="AU336" s="114" t="str">
        <f>_xlfn.IFNA(VLOOKUP($AI336,Programma!$F$3:$R$1101,13,0),"")</f>
        <v>1w</v>
      </c>
      <c r="AV336" s="114" t="str">
        <f>_xlfn.IFNA(VLOOKUP($AI336,Programma!$F$3:$S$1101,14,0),"")</f>
        <v>1m</v>
      </c>
      <c r="AW336" s="114" t="str">
        <f>_xlfn.IFNA(VLOOKUP($AI336,Programma!$F$3:$T$1101,15,0),"")</f>
        <v>2j</v>
      </c>
      <c r="AX336" s="114" t="str">
        <f>_xlfn.IFNA(VLOOKUP($AI336,Programma!$F$3:$U$1101,16,0),"")</f>
        <v>1j</v>
      </c>
      <c r="AY336" s="114" t="str">
        <f>_xlfn.IFNA(VLOOKUP($AI336,Programma!$F$3:$V$1101,17,0),"")</f>
        <v>_</v>
      </c>
      <c r="AZ336" s="114" t="str">
        <f>_xlfn.IFNA(VLOOKUP($AI336,Programma!$F$3:$W$1101,18,0),"")</f>
        <v>_</v>
      </c>
      <c r="BA336" s="114" t="str">
        <f>_xlfn.IFNA(VLOOKUP($AI336,Programma!$F$3:$X$1101,19,0),"")</f>
        <v>_</v>
      </c>
      <c r="BB336" s="114" t="str">
        <f>_xlfn.IFNA(VLOOKUP($AI336,Programma!$F$3:$Y$1101,20,0),"")</f>
        <v>_</v>
      </c>
      <c r="BC336" s="111"/>
      <c r="BD336" s="110" t="str">
        <f>IF(Ruimtestaat[[#This Row],[Frequentie weekend]]="","",_xlfn.CONCAT(Ruimtestaat[[#This Row],[Ruimte code]],"-",Ruimtestaat[[#This Row],[Frequentie weekend]]," ",Ruimtestaat[[#This Row],[Vloer code]]))</f>
        <v/>
      </c>
      <c r="BE336" s="114" t="str">
        <f>_xlfn.IFNA(VLOOKUP($BD336,Programma!$F$3:$G$1101,2,0),"")</f>
        <v/>
      </c>
      <c r="BF336" s="114" t="str">
        <f>_xlfn.IFNA(VLOOKUP($BD336,Programma!$F$3:$H$1101,3,0),"")</f>
        <v/>
      </c>
      <c r="BG336" s="114" t="str">
        <f>_xlfn.IFNA(VLOOKUP($BD336,Programma!$F$3:$I$1101,4,0),"")</f>
        <v/>
      </c>
      <c r="BH336" s="114" t="str">
        <f>_xlfn.IFNA(VLOOKUP($BD336,Programma!$F$3:$J$1101,5,0),"")</f>
        <v/>
      </c>
      <c r="BI336" s="114" t="str">
        <f>_xlfn.IFNA(VLOOKUP($BD336,Programma!$F$3:$K$1101,6,0),"")</f>
        <v/>
      </c>
      <c r="BJ336" s="114" t="str">
        <f>_xlfn.IFNA(VLOOKUP($BD336,Programma!$F$3:$L$1101,7,0),"")</f>
        <v/>
      </c>
      <c r="BK336" s="114" t="str">
        <f>_xlfn.IFNA(VLOOKUP($BD336,Programma!$F$3:$M$1101,8,0),"")</f>
        <v/>
      </c>
      <c r="BL336" s="114" t="str">
        <f>_xlfn.IFNA(VLOOKUP($BD336,Programma!$F$3:$N$1101,9,0),"")</f>
        <v/>
      </c>
      <c r="BM336" s="114" t="str">
        <f>_xlfn.IFNA(VLOOKUP($BD336,Programma!$F$3:$O$1101,10,0),"")</f>
        <v/>
      </c>
      <c r="BN336" s="114" t="str">
        <f>_xlfn.IFNA(VLOOKUP($BD336,Programma!$F$3:$P$1101,11,0),"")</f>
        <v/>
      </c>
      <c r="BO336" s="114" t="str">
        <f>_xlfn.IFNA(VLOOKUP($BD336,Programma!$F$3:$Q$1101,12,0),"")</f>
        <v/>
      </c>
      <c r="BP336" s="114" t="str">
        <f>_xlfn.IFNA(VLOOKUP($BD336,Programma!$F$3:$R$1101,13,0),"")</f>
        <v/>
      </c>
      <c r="BQ336" s="114" t="str">
        <f>_xlfn.IFNA(VLOOKUP($BD336,Programma!$F$3:$S$1101,14,0),"")</f>
        <v/>
      </c>
      <c r="BR336" s="114" t="str">
        <f>_xlfn.IFNA(VLOOKUP($BD336,Programma!$F$3:$T$1101,15,0),"")</f>
        <v/>
      </c>
      <c r="BS336" s="114" t="str">
        <f>_xlfn.IFNA(VLOOKUP($BD336,Programma!$F$3:$U$1101,16,0),"")</f>
        <v/>
      </c>
      <c r="BT336" s="114" t="str">
        <f>_xlfn.IFNA(VLOOKUP($BD336,Programma!$F$3:$V$1101,17,0),"")</f>
        <v/>
      </c>
      <c r="BU336" s="114" t="str">
        <f>_xlfn.IFNA(VLOOKUP($BD336,Programma!$F$3:$W$1101,18,0),"")</f>
        <v/>
      </c>
      <c r="BV336" s="114" t="str">
        <f>_xlfn.IFNA(VLOOKUP($BD336,Programma!$F$3:$X$1101,19,0),"")</f>
        <v/>
      </c>
      <c r="BW336" s="114" t="str">
        <f>_xlfn.IFNA(VLOOKUP($BD336,Programma!$F$3:$Y$1101,20,0),"")</f>
        <v/>
      </c>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8"/>
      <c r="FJ336" s="28"/>
      <c r="FK336" s="28"/>
      <c r="FL336" s="28"/>
      <c r="FM336" s="28"/>
      <c r="FN336" s="28"/>
      <c r="FO336" s="28"/>
      <c r="FP336" s="28"/>
      <c r="FQ336" s="28"/>
      <c r="FR336" s="28"/>
      <c r="FS336" s="28"/>
      <c r="FT336" s="28"/>
      <c r="FU336" s="28"/>
      <c r="FV336" s="28"/>
      <c r="FW336" s="28"/>
      <c r="FX336" s="28"/>
      <c r="FY336" s="28"/>
      <c r="FZ336" s="28"/>
      <c r="GA336" s="28"/>
      <c r="GB336" s="28"/>
      <c r="GC336" s="28"/>
      <c r="GD336" s="28"/>
      <c r="GE336" s="28"/>
      <c r="GF336" s="28"/>
      <c r="GG336" s="28"/>
      <c r="GH336" s="28"/>
      <c r="GI336" s="28"/>
      <c r="GJ336" s="28"/>
      <c r="GK336" s="28"/>
      <c r="GL336" s="28"/>
      <c r="GM336" s="28"/>
      <c r="GN336" s="28"/>
      <c r="GO336" s="28"/>
      <c r="GP336" s="28"/>
      <c r="GQ336" s="28"/>
      <c r="GR336" s="28"/>
      <c r="GS336" s="28"/>
      <c r="GT336" s="28"/>
      <c r="GU336" s="28"/>
      <c r="GV336" s="28"/>
      <c r="GW336" s="28"/>
      <c r="GX336" s="28"/>
      <c r="GY336" s="28"/>
      <c r="GZ336" s="28"/>
      <c r="HA336" s="28"/>
      <c r="HB336" s="28"/>
      <c r="HC336" s="28"/>
      <c r="HD336" s="28"/>
      <c r="HE336" s="28"/>
      <c r="HF336" s="28"/>
      <c r="HG336" s="28"/>
      <c r="HH336" s="28"/>
      <c r="HI336" s="28"/>
      <c r="HJ336" s="28"/>
      <c r="HK336" s="28"/>
      <c r="HL336" s="28"/>
    </row>
    <row r="337" spans="1:220" ht="15" customHeight="1">
      <c r="A337" s="31">
        <v>7</v>
      </c>
      <c r="B337" s="105" t="str">
        <f>VLOOKUP(Ruimtestaat[[#This Row],[Code]],Locaties[[Code]:[Locatie]],2,FALSE)</f>
        <v>Montessori IKC De Groene Ring</v>
      </c>
      <c r="C337" s="105" t="str">
        <f>VLOOKUP(Ruimtestaat[[#This Row],[Code]],Locaties[[#All],[Code]:[Adres]],4,FALSE)</f>
        <v>Bergdravik 2</v>
      </c>
      <c r="D337" s="105" t="str">
        <f>VLOOKUP(Ruimtestaat[[#This Row],[Code]],Locaties[[#All],[Code]:[Postcode]],5,FALSE)</f>
        <v>6922 HM</v>
      </c>
      <c r="E337" s="105" t="str">
        <f>VLOOKUP(Ruimtestaat[[#This Row],[Code]],Locaties[#All],6,FALSE)</f>
        <v>Duiven</v>
      </c>
      <c r="F337" s="113"/>
      <c r="I337" s="113" t="s">
        <v>1790</v>
      </c>
      <c r="J337" s="31">
        <v>5</v>
      </c>
      <c r="K337" s="113" t="str">
        <f>VLOOKUP(Ruimtestaat[[#This Row],[Ruimte code]],Ruimtegroepen[[#All],[Code]:[Ruimte omschrijving]],2,FALSE)</f>
        <v>Sanitair</v>
      </c>
      <c r="L337" s="31" t="s">
        <v>101</v>
      </c>
      <c r="M337" s="31" t="s">
        <v>1976</v>
      </c>
      <c r="N337" s="106">
        <v>4</v>
      </c>
      <c r="O337" s="112"/>
      <c r="P337" s="112"/>
      <c r="Q337" s="107" t="str">
        <f>VLOOKUP(Ruimtestaat[[#This Row],[Ruimte code]],Ruimtegroepen[],4,FALSE)</f>
        <v>Sa</v>
      </c>
      <c r="R337" s="73">
        <v>40</v>
      </c>
      <c r="S337" s="73" t="s">
        <v>2</v>
      </c>
      <c r="T337" s="73">
        <f>IF(R337&gt;0,IF(RIGHT(Ruimtestaat[[#This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7" s="73">
        <f>IF(T337&gt;0,VLOOKUP($J337,Ruimtegroepen[],3,FALSE)*VLOOKUP($L337,Vloersoorten[],3,FALSE)*VLOOKUP($S337,Frequenties[],3,FALSE)*VLOOKUP($A337,Locaties[],3,FALSE),0)</f>
        <v>0</v>
      </c>
      <c r="V337" s="73">
        <f>Ruimtestaat[[#This Row],[Uitvoeringen werkdagen]]*Ruimtestaat[[#This Row],[Oppervlak (netto)]]</f>
        <v>800</v>
      </c>
      <c r="W337" s="108">
        <f>IF(U337&gt;0,Ruimtestaat[[#This Row],[Prest. (m2 /jaar) werkdagen]]/Ruimtestaat[[#This Row],[Norm (m2/uur) werkdagen]],0)</f>
        <v>0</v>
      </c>
      <c r="X337" s="109">
        <f>Ruimtestaat[[#This Row],[uren / jaar werkdagen]]*Tariefsopbouw!$E$35</f>
        <v>0</v>
      </c>
      <c r="Y337" s="73"/>
      <c r="Z337" s="73">
        <f>IF(Ruimtestaat[[#This Row],[Frequentie weekend]]&gt;0,VALUE(LEFT(Y337,1))*R337,0)</f>
        <v>0</v>
      </c>
      <c r="AA337" s="72">
        <f>IF($Z337&gt;0,VLOOKUP($J337,Ruimtegroepen[],3,FALSE)*VLOOKUP($L337,Vloersoorten[],3,FALSE)*VLOOKUP($Y337,Frequenties[],3,FALSE)*VLOOKUP(Ruimtestaat[[#This Row],[Code]],Locaties[],3,FALSE),0)</f>
        <v>0</v>
      </c>
      <c r="AB337" s="72">
        <f>Ruimtestaat[[#This Row],[Uitvoeringen weekend]]*Ruimtestaat[[#This Row],[Oppervlak (netto)]]</f>
        <v>0</v>
      </c>
      <c r="AC337" s="72">
        <f>IF(AA337&gt;0,Ruimtestaat[[#This Row],[Prest. (m2 /jaar) weekend]]/Ruimtestaat[[#This Row],[Norm (m2/uur) weekend]],0)</f>
        <v>0</v>
      </c>
      <c r="AD337" s="109">
        <f>Ruimtestaat[[#This Row],[uren / jaar weekend]]*Tariefsopbouw!$D$40</f>
        <v>0</v>
      </c>
      <c r="AE337" s="108">
        <f>Ruimtestaat[[#This Row],[Prest. (m2 /jaar) weekend]]+Ruimtestaat[[#This Row],[Prest. (m2 /jaar) werkdagen]]</f>
        <v>800</v>
      </c>
      <c r="AF337" s="108">
        <f>Ruimtestaat[[#This Row],[uren / jaar weekend]]+Ruimtestaat[[#This Row],[uren / jaar werkdagen]]</f>
        <v>0</v>
      </c>
      <c r="AG337" s="103">
        <f>Ruimtestaat[[#This Row],[kosten / jaar weekend]]+Ruimtestaat[[#This Row],[kosten / jaar werkdagen]]</f>
        <v>0</v>
      </c>
      <c r="AH337" s="103"/>
      <c r="AI337" s="110" t="str">
        <f>IF(Ruimtestaat[[#This Row],[Frequentie werkdagen]]="","",_xlfn.CONCAT(Ruimtestaat[[#This Row],[Ruimte code]],"-",Ruimtestaat[[#This Row],[Frequentie werkdagen]]," ",Ruimtestaat[[#This Row],[Vloer code]]))</f>
        <v>5-5w S</v>
      </c>
      <c r="AJ337" s="114" t="str">
        <f>_xlfn.IFNA(VLOOKUP($AI337,Programma!$F$3:$G$1101,2,0),"")</f>
        <v>_</v>
      </c>
      <c r="AK337" s="114" t="str">
        <f>_xlfn.IFNA(VLOOKUP($AI337,Programma!$F$3:$H$1101,3,0),"")</f>
        <v>_</v>
      </c>
      <c r="AL337" s="114" t="str">
        <f>_xlfn.IFNA(VLOOKUP($AI337,Programma!$F$3:$I$1101,4,0),"")</f>
        <v>_</v>
      </c>
      <c r="AM337" s="114" t="str">
        <f>_xlfn.IFNA(VLOOKUP($AI337,Programma!$F$3:$J$1101,5,0),"")</f>
        <v>4w</v>
      </c>
      <c r="AN337" s="114" t="str">
        <f>_xlfn.IFNA(VLOOKUP($AI337,Programma!$F$3:$K$1101,6,0),"")</f>
        <v>1w</v>
      </c>
      <c r="AO337" s="114" t="str">
        <f>_xlfn.IFNA(VLOOKUP($AI337,Programma!$F$3:$L$1101,7,0),"")</f>
        <v>_</v>
      </c>
      <c r="AP337" s="114" t="str">
        <f>_xlfn.IFNA(VLOOKUP($AI337,Programma!$F$3:$M$1101,8,0),"")</f>
        <v>_</v>
      </c>
      <c r="AQ337" s="114" t="str">
        <f>_xlfn.IFNA(VLOOKUP($AI337,Programma!$F$3:$N$1101,9,0),"")</f>
        <v>_</v>
      </c>
      <c r="AR337" s="114" t="str">
        <f>_xlfn.IFNA(VLOOKUP($AI337,Programma!$F$3:$O$1101,10,0),"")</f>
        <v>_</v>
      </c>
      <c r="AS337" s="114" t="str">
        <f>_xlfn.IFNA(VLOOKUP($AI337,Programma!$F$3:$P$1101,11,0),"")</f>
        <v>_</v>
      </c>
      <c r="AT337" s="114" t="str">
        <f>_xlfn.IFNA(VLOOKUP($AI337,Programma!$F$3:$Q$1101,12,0),"")</f>
        <v>_</v>
      </c>
      <c r="AU337" s="114" t="str">
        <f>_xlfn.IFNA(VLOOKUP($AI337,Programma!$F$3:$R$1101,13,0),"")</f>
        <v>_</v>
      </c>
      <c r="AV337" s="114" t="str">
        <f>_xlfn.IFNA(VLOOKUP($AI337,Programma!$F$3:$S$1101,14,0),"")</f>
        <v>_</v>
      </c>
      <c r="AW337" s="114" t="str">
        <f>_xlfn.IFNA(VLOOKUP($AI337,Programma!$F$3:$T$1101,15,0),"")</f>
        <v>_</v>
      </c>
      <c r="AX337" s="114" t="str">
        <f>_xlfn.IFNA(VLOOKUP($AI337,Programma!$F$3:$U$1101,16,0),"")</f>
        <v>_</v>
      </c>
      <c r="AY337" s="114" t="str">
        <f>_xlfn.IFNA(VLOOKUP($AI337,Programma!$F$3:$V$1101,17,0),"")</f>
        <v>_</v>
      </c>
      <c r="AZ337" s="114" t="str">
        <f>_xlfn.IFNA(VLOOKUP($AI337,Programma!$F$3:$W$1101,18,0),"")</f>
        <v>4w</v>
      </c>
      <c r="BA337" s="114" t="str">
        <f>_xlfn.IFNA(VLOOKUP($AI337,Programma!$F$3:$X$1101,19,0),"")</f>
        <v>1w</v>
      </c>
      <c r="BB337" s="114" t="str">
        <f>_xlfn.IFNA(VLOOKUP($AI337,Programma!$F$3:$Y$1101,20,0),"")</f>
        <v>_</v>
      </c>
      <c r="BC337" s="111"/>
      <c r="BD337" s="110" t="str">
        <f>IF(Ruimtestaat[[#This Row],[Frequentie weekend]]="","",_xlfn.CONCAT(Ruimtestaat[[#This Row],[Ruimte code]],"-",Ruimtestaat[[#This Row],[Frequentie weekend]]," ",Ruimtestaat[[#This Row],[Vloer code]]))</f>
        <v/>
      </c>
      <c r="BE337" s="114" t="str">
        <f>_xlfn.IFNA(VLOOKUP($BD337,Programma!$F$3:$G$1101,2,0),"")</f>
        <v/>
      </c>
      <c r="BF337" s="114" t="str">
        <f>_xlfn.IFNA(VLOOKUP($BD337,Programma!$F$3:$H$1101,3,0),"")</f>
        <v/>
      </c>
      <c r="BG337" s="114" t="str">
        <f>_xlfn.IFNA(VLOOKUP($BD337,Programma!$F$3:$I$1101,4,0),"")</f>
        <v/>
      </c>
      <c r="BH337" s="114" t="str">
        <f>_xlfn.IFNA(VLOOKUP($BD337,Programma!$F$3:$J$1101,5,0),"")</f>
        <v/>
      </c>
      <c r="BI337" s="114" t="str">
        <f>_xlfn.IFNA(VLOOKUP($BD337,Programma!$F$3:$K$1101,6,0),"")</f>
        <v/>
      </c>
      <c r="BJ337" s="114" t="str">
        <f>_xlfn.IFNA(VLOOKUP($BD337,Programma!$F$3:$L$1101,7,0),"")</f>
        <v/>
      </c>
      <c r="BK337" s="114" t="str">
        <f>_xlfn.IFNA(VLOOKUP($BD337,Programma!$F$3:$M$1101,8,0),"")</f>
        <v/>
      </c>
      <c r="BL337" s="114" t="str">
        <f>_xlfn.IFNA(VLOOKUP($BD337,Programma!$F$3:$N$1101,9,0),"")</f>
        <v/>
      </c>
      <c r="BM337" s="114" t="str">
        <f>_xlfn.IFNA(VLOOKUP($BD337,Programma!$F$3:$O$1101,10,0),"")</f>
        <v/>
      </c>
      <c r="BN337" s="114" t="str">
        <f>_xlfn.IFNA(VLOOKUP($BD337,Programma!$F$3:$P$1101,11,0),"")</f>
        <v/>
      </c>
      <c r="BO337" s="114" t="str">
        <f>_xlfn.IFNA(VLOOKUP($BD337,Programma!$F$3:$Q$1101,12,0),"")</f>
        <v/>
      </c>
      <c r="BP337" s="114" t="str">
        <f>_xlfn.IFNA(VLOOKUP($BD337,Programma!$F$3:$R$1101,13,0),"")</f>
        <v/>
      </c>
      <c r="BQ337" s="114" t="str">
        <f>_xlfn.IFNA(VLOOKUP($BD337,Programma!$F$3:$S$1101,14,0),"")</f>
        <v/>
      </c>
      <c r="BR337" s="114" t="str">
        <f>_xlfn.IFNA(VLOOKUP($BD337,Programma!$F$3:$T$1101,15,0),"")</f>
        <v/>
      </c>
      <c r="BS337" s="114" t="str">
        <f>_xlfn.IFNA(VLOOKUP($BD337,Programma!$F$3:$U$1101,16,0),"")</f>
        <v/>
      </c>
      <c r="BT337" s="114" t="str">
        <f>_xlfn.IFNA(VLOOKUP($BD337,Programma!$F$3:$V$1101,17,0),"")</f>
        <v/>
      </c>
      <c r="BU337" s="114" t="str">
        <f>_xlfn.IFNA(VLOOKUP($BD337,Programma!$F$3:$W$1101,18,0),"")</f>
        <v/>
      </c>
      <c r="BV337" s="114" t="str">
        <f>_xlfn.IFNA(VLOOKUP($BD337,Programma!$F$3:$X$1101,19,0),"")</f>
        <v/>
      </c>
      <c r="BW337" s="114" t="str">
        <f>_xlfn.IFNA(VLOOKUP($BD337,Programma!$F$3:$Y$1101,20,0),"")</f>
        <v/>
      </c>
      <c r="BX337" s="28"/>
      <c r="BY337" s="28"/>
      <c r="BZ337" s="28"/>
      <c r="CA337" s="28"/>
      <c r="CB337" s="28"/>
      <c r="CC337" s="28"/>
      <c r="CD337" s="28"/>
      <c r="CE337" s="28"/>
      <c r="CF337" s="28"/>
      <c r="CG337" s="28"/>
      <c r="CH337" s="28"/>
      <c r="CI337" s="28"/>
      <c r="CJ337" s="28"/>
      <c r="CK337" s="28"/>
      <c r="CL337" s="28"/>
      <c r="CM337" s="28"/>
      <c r="CN337" s="28"/>
      <c r="CO337" s="28"/>
      <c r="CP337" s="28"/>
      <c r="CQ337" s="28"/>
      <c r="CR337" s="28"/>
      <c r="CS337" s="28"/>
      <c r="CT337" s="28"/>
      <c r="CU337" s="28"/>
      <c r="CV337" s="28"/>
      <c r="CW337" s="28"/>
      <c r="CX337" s="28"/>
      <c r="CY337" s="28"/>
      <c r="CZ337" s="28"/>
      <c r="DA337" s="28"/>
      <c r="DB337" s="28"/>
      <c r="DC337" s="28"/>
      <c r="DD337" s="28"/>
      <c r="DE337" s="28"/>
      <c r="DF337" s="28"/>
      <c r="DG337" s="28"/>
      <c r="DH337" s="28"/>
      <c r="DI337" s="28"/>
      <c r="DJ337" s="28"/>
      <c r="DK337" s="28"/>
      <c r="DL337" s="28"/>
      <c r="DM337" s="28"/>
      <c r="DN337" s="28"/>
      <c r="DO337" s="28"/>
      <c r="DP337" s="28"/>
      <c r="DQ337" s="28"/>
      <c r="DR337" s="28"/>
      <c r="DS337" s="28"/>
      <c r="DT337" s="28"/>
      <c r="DU337" s="28"/>
      <c r="DV337" s="28"/>
      <c r="DW337" s="28"/>
      <c r="DX337" s="28"/>
      <c r="DY337" s="28"/>
      <c r="DZ337" s="28"/>
      <c r="EA337" s="28"/>
      <c r="EB337" s="28"/>
      <c r="EC337" s="28"/>
      <c r="ED337" s="28"/>
      <c r="EE337" s="28"/>
      <c r="EF337" s="28"/>
      <c r="EG337" s="28"/>
      <c r="EH337" s="28"/>
      <c r="EI337" s="28"/>
      <c r="EJ337" s="28"/>
      <c r="EK337" s="28"/>
      <c r="EL337" s="28"/>
      <c r="EM337" s="28"/>
      <c r="EN337" s="28"/>
      <c r="EO337" s="28"/>
      <c r="EP337" s="28"/>
      <c r="EQ337" s="28"/>
      <c r="ER337" s="28"/>
      <c r="ES337" s="28"/>
      <c r="ET337" s="28"/>
      <c r="EU337" s="28"/>
      <c r="EV337" s="28"/>
      <c r="EW337" s="28"/>
      <c r="EX337" s="28"/>
      <c r="EY337" s="28"/>
      <c r="EZ337" s="28"/>
      <c r="FA337" s="28"/>
      <c r="FB337" s="28"/>
      <c r="FC337" s="28"/>
      <c r="FD337" s="28"/>
      <c r="FE337" s="28"/>
      <c r="FF337" s="28"/>
      <c r="FG337" s="28"/>
      <c r="FH337" s="28"/>
      <c r="FI337" s="28"/>
      <c r="FJ337" s="28"/>
      <c r="FK337" s="28"/>
      <c r="FL337" s="28"/>
      <c r="FM337" s="28"/>
      <c r="FN337" s="28"/>
      <c r="FO337" s="28"/>
      <c r="FP337" s="28"/>
      <c r="FQ337" s="28"/>
      <c r="FR337" s="28"/>
      <c r="FS337" s="28"/>
      <c r="FT337" s="28"/>
      <c r="FU337" s="28"/>
      <c r="FV337" s="28"/>
      <c r="FW337" s="28"/>
      <c r="FX337" s="28"/>
      <c r="FY337" s="28"/>
      <c r="FZ337" s="28"/>
      <c r="GA337" s="28"/>
      <c r="GB337" s="28"/>
      <c r="GC337" s="28"/>
      <c r="GD337" s="28"/>
      <c r="GE337" s="28"/>
      <c r="GF337" s="28"/>
      <c r="GG337" s="28"/>
      <c r="GH337" s="28"/>
      <c r="GI337" s="28"/>
      <c r="GJ337" s="28"/>
      <c r="GK337" s="28"/>
      <c r="GL337" s="28"/>
      <c r="GM337" s="28"/>
      <c r="GN337" s="28"/>
      <c r="GO337" s="28"/>
      <c r="GP337" s="28"/>
      <c r="GQ337" s="28"/>
      <c r="GR337" s="28"/>
      <c r="GS337" s="28"/>
      <c r="GT337" s="28"/>
      <c r="GU337" s="28"/>
      <c r="GV337" s="28"/>
      <c r="GW337" s="28"/>
      <c r="GX337" s="28"/>
      <c r="GY337" s="28"/>
      <c r="GZ337" s="28"/>
      <c r="HA337" s="28"/>
      <c r="HB337" s="28"/>
      <c r="HC337" s="28"/>
      <c r="HD337" s="28"/>
      <c r="HE337" s="28"/>
      <c r="HF337" s="28"/>
      <c r="HG337" s="28"/>
      <c r="HH337" s="28"/>
      <c r="HI337" s="28"/>
      <c r="HJ337" s="28"/>
      <c r="HK337" s="28"/>
      <c r="HL337" s="28"/>
    </row>
    <row r="338" spans="1:220" ht="15" customHeight="1">
      <c r="A338" s="31">
        <v>7</v>
      </c>
      <c r="B338" s="105" t="str">
        <f>VLOOKUP(Ruimtestaat[[#This Row],[Code]],Locaties[[Code]:[Locatie]],2,FALSE)</f>
        <v>Montessori IKC De Groene Ring</v>
      </c>
      <c r="C338" s="105" t="str">
        <f>VLOOKUP(Ruimtestaat[[#This Row],[Code]],Locaties[[#All],[Code]:[Adres]],4,FALSE)</f>
        <v>Bergdravik 2</v>
      </c>
      <c r="D338" s="105" t="str">
        <f>VLOOKUP(Ruimtestaat[[#This Row],[Code]],Locaties[[#All],[Code]:[Postcode]],5,FALSE)</f>
        <v>6922 HM</v>
      </c>
      <c r="E338" s="105" t="str">
        <f>VLOOKUP(Ruimtestaat[[#This Row],[Code]],Locaties[#All],6,FALSE)</f>
        <v>Duiven</v>
      </c>
      <c r="F338" s="113"/>
      <c r="I338" s="113" t="s">
        <v>1723</v>
      </c>
      <c r="J338" s="31">
        <v>5</v>
      </c>
      <c r="K338" s="113" t="str">
        <f>VLOOKUP(Ruimtestaat[[#This Row],[Ruimte code]],Ruimtegroepen[[#All],[Code]:[Ruimte omschrijving]],2,FALSE)</f>
        <v>Sanitair</v>
      </c>
      <c r="L338" s="31" t="s">
        <v>101</v>
      </c>
      <c r="M338" s="31" t="s">
        <v>1976</v>
      </c>
      <c r="N338" s="106">
        <v>4</v>
      </c>
      <c r="O338" s="112"/>
      <c r="P338" s="112"/>
      <c r="Q338" s="107" t="str">
        <f>VLOOKUP(Ruimtestaat[[#This Row],[Ruimte code]],Ruimtegroepen[],4,FALSE)</f>
        <v>Sa</v>
      </c>
      <c r="R338" s="73">
        <v>40</v>
      </c>
      <c r="S338" s="73" t="s">
        <v>2</v>
      </c>
      <c r="T338" s="73">
        <f>IF(R338&gt;0,IF(RIGHT(Ruimtestaat[[#This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8" s="73">
        <f>IF(T338&gt;0,VLOOKUP($J338,Ruimtegroepen[],3,FALSE)*VLOOKUP($L338,Vloersoorten[],3,FALSE)*VLOOKUP($S338,Frequenties[],3,FALSE)*VLOOKUP($A338,Locaties[],3,FALSE),0)</f>
        <v>0</v>
      </c>
      <c r="V338" s="73">
        <f>Ruimtestaat[[#This Row],[Uitvoeringen werkdagen]]*Ruimtestaat[[#This Row],[Oppervlak (netto)]]</f>
        <v>800</v>
      </c>
      <c r="W338" s="108">
        <f>IF(U338&gt;0,Ruimtestaat[[#This Row],[Prest. (m2 /jaar) werkdagen]]/Ruimtestaat[[#This Row],[Norm (m2/uur) werkdagen]],0)</f>
        <v>0</v>
      </c>
      <c r="X338" s="109">
        <f>Ruimtestaat[[#This Row],[uren / jaar werkdagen]]*Tariefsopbouw!$E$35</f>
        <v>0</v>
      </c>
      <c r="Y338" s="73"/>
      <c r="Z338" s="73">
        <f>IF(Ruimtestaat[[#This Row],[Frequentie weekend]]&gt;0,VALUE(LEFT(Y338,1))*R338,0)</f>
        <v>0</v>
      </c>
      <c r="AA338" s="72">
        <f>IF($Z338&gt;0,VLOOKUP($J338,Ruimtegroepen[],3,FALSE)*VLOOKUP($L338,Vloersoorten[],3,FALSE)*VLOOKUP($Y338,Frequenties[],3,FALSE)*VLOOKUP(Ruimtestaat[[#This Row],[Code]],Locaties[],3,FALSE),0)</f>
        <v>0</v>
      </c>
      <c r="AB338" s="72">
        <f>Ruimtestaat[[#This Row],[Uitvoeringen weekend]]*Ruimtestaat[[#This Row],[Oppervlak (netto)]]</f>
        <v>0</v>
      </c>
      <c r="AC338" s="72">
        <f>IF(AA338&gt;0,Ruimtestaat[[#This Row],[Prest. (m2 /jaar) weekend]]/Ruimtestaat[[#This Row],[Norm (m2/uur) weekend]],0)</f>
        <v>0</v>
      </c>
      <c r="AD338" s="109">
        <f>Ruimtestaat[[#This Row],[uren / jaar weekend]]*Tariefsopbouw!$D$40</f>
        <v>0</v>
      </c>
      <c r="AE338" s="108">
        <f>Ruimtestaat[[#This Row],[Prest. (m2 /jaar) weekend]]+Ruimtestaat[[#This Row],[Prest. (m2 /jaar) werkdagen]]</f>
        <v>800</v>
      </c>
      <c r="AF338" s="108">
        <f>Ruimtestaat[[#This Row],[uren / jaar weekend]]+Ruimtestaat[[#This Row],[uren / jaar werkdagen]]</f>
        <v>0</v>
      </c>
      <c r="AG338" s="103">
        <f>Ruimtestaat[[#This Row],[kosten / jaar weekend]]+Ruimtestaat[[#This Row],[kosten / jaar werkdagen]]</f>
        <v>0</v>
      </c>
      <c r="AH338" s="103"/>
      <c r="AI338" s="110" t="str">
        <f>IF(Ruimtestaat[[#This Row],[Frequentie werkdagen]]="","",_xlfn.CONCAT(Ruimtestaat[[#This Row],[Ruimte code]],"-",Ruimtestaat[[#This Row],[Frequentie werkdagen]]," ",Ruimtestaat[[#This Row],[Vloer code]]))</f>
        <v>5-5w S</v>
      </c>
      <c r="AJ338" s="114" t="str">
        <f>_xlfn.IFNA(VLOOKUP($AI338,Programma!$F$3:$G$1101,2,0),"")</f>
        <v>_</v>
      </c>
      <c r="AK338" s="114" t="str">
        <f>_xlfn.IFNA(VLOOKUP($AI338,Programma!$F$3:$H$1101,3,0),"")</f>
        <v>_</v>
      </c>
      <c r="AL338" s="114" t="str">
        <f>_xlfn.IFNA(VLOOKUP($AI338,Programma!$F$3:$I$1101,4,0),"")</f>
        <v>_</v>
      </c>
      <c r="AM338" s="114" t="str">
        <f>_xlfn.IFNA(VLOOKUP($AI338,Programma!$F$3:$J$1101,5,0),"")</f>
        <v>4w</v>
      </c>
      <c r="AN338" s="114" t="str">
        <f>_xlfn.IFNA(VLOOKUP($AI338,Programma!$F$3:$K$1101,6,0),"")</f>
        <v>1w</v>
      </c>
      <c r="AO338" s="114" t="str">
        <f>_xlfn.IFNA(VLOOKUP($AI338,Programma!$F$3:$L$1101,7,0),"")</f>
        <v>_</v>
      </c>
      <c r="AP338" s="114" t="str">
        <f>_xlfn.IFNA(VLOOKUP($AI338,Programma!$F$3:$M$1101,8,0),"")</f>
        <v>_</v>
      </c>
      <c r="AQ338" s="114" t="str">
        <f>_xlfn.IFNA(VLOOKUP($AI338,Programma!$F$3:$N$1101,9,0),"")</f>
        <v>_</v>
      </c>
      <c r="AR338" s="114" t="str">
        <f>_xlfn.IFNA(VLOOKUP($AI338,Programma!$F$3:$O$1101,10,0),"")</f>
        <v>_</v>
      </c>
      <c r="AS338" s="114" t="str">
        <f>_xlfn.IFNA(VLOOKUP($AI338,Programma!$F$3:$P$1101,11,0),"")</f>
        <v>_</v>
      </c>
      <c r="AT338" s="114" t="str">
        <f>_xlfn.IFNA(VLOOKUP($AI338,Programma!$F$3:$Q$1101,12,0),"")</f>
        <v>_</v>
      </c>
      <c r="AU338" s="114" t="str">
        <f>_xlfn.IFNA(VLOOKUP($AI338,Programma!$F$3:$R$1101,13,0),"")</f>
        <v>_</v>
      </c>
      <c r="AV338" s="114" t="str">
        <f>_xlfn.IFNA(VLOOKUP($AI338,Programma!$F$3:$S$1101,14,0),"")</f>
        <v>_</v>
      </c>
      <c r="AW338" s="114" t="str">
        <f>_xlfn.IFNA(VLOOKUP($AI338,Programma!$F$3:$T$1101,15,0),"")</f>
        <v>_</v>
      </c>
      <c r="AX338" s="114" t="str">
        <f>_xlfn.IFNA(VLOOKUP($AI338,Programma!$F$3:$U$1101,16,0),"")</f>
        <v>_</v>
      </c>
      <c r="AY338" s="114" t="str">
        <f>_xlfn.IFNA(VLOOKUP($AI338,Programma!$F$3:$V$1101,17,0),"")</f>
        <v>_</v>
      </c>
      <c r="AZ338" s="114" t="str">
        <f>_xlfn.IFNA(VLOOKUP($AI338,Programma!$F$3:$W$1101,18,0),"")</f>
        <v>4w</v>
      </c>
      <c r="BA338" s="114" t="str">
        <f>_xlfn.IFNA(VLOOKUP($AI338,Programma!$F$3:$X$1101,19,0),"")</f>
        <v>1w</v>
      </c>
      <c r="BB338" s="114" t="str">
        <f>_xlfn.IFNA(VLOOKUP($AI338,Programma!$F$3:$Y$1101,20,0),"")</f>
        <v>_</v>
      </c>
      <c r="BC338" s="111"/>
      <c r="BD338" s="110" t="str">
        <f>IF(Ruimtestaat[[#This Row],[Frequentie weekend]]="","",_xlfn.CONCAT(Ruimtestaat[[#This Row],[Ruimte code]],"-",Ruimtestaat[[#This Row],[Frequentie weekend]]," ",Ruimtestaat[[#This Row],[Vloer code]]))</f>
        <v/>
      </c>
      <c r="BE338" s="114" t="str">
        <f>_xlfn.IFNA(VLOOKUP($BD338,Programma!$F$3:$G$1101,2,0),"")</f>
        <v/>
      </c>
      <c r="BF338" s="114" t="str">
        <f>_xlfn.IFNA(VLOOKUP($BD338,Programma!$F$3:$H$1101,3,0),"")</f>
        <v/>
      </c>
      <c r="BG338" s="114" t="str">
        <f>_xlfn.IFNA(VLOOKUP($BD338,Programma!$F$3:$I$1101,4,0),"")</f>
        <v/>
      </c>
      <c r="BH338" s="114" t="str">
        <f>_xlfn.IFNA(VLOOKUP($BD338,Programma!$F$3:$J$1101,5,0),"")</f>
        <v/>
      </c>
      <c r="BI338" s="114" t="str">
        <f>_xlfn.IFNA(VLOOKUP($BD338,Programma!$F$3:$K$1101,6,0),"")</f>
        <v/>
      </c>
      <c r="BJ338" s="114" t="str">
        <f>_xlfn.IFNA(VLOOKUP($BD338,Programma!$F$3:$L$1101,7,0),"")</f>
        <v/>
      </c>
      <c r="BK338" s="114" t="str">
        <f>_xlfn.IFNA(VLOOKUP($BD338,Programma!$F$3:$M$1101,8,0),"")</f>
        <v/>
      </c>
      <c r="BL338" s="114" t="str">
        <f>_xlfn.IFNA(VLOOKUP($BD338,Programma!$F$3:$N$1101,9,0),"")</f>
        <v/>
      </c>
      <c r="BM338" s="114" t="str">
        <f>_xlfn.IFNA(VLOOKUP($BD338,Programma!$F$3:$O$1101,10,0),"")</f>
        <v/>
      </c>
      <c r="BN338" s="114" t="str">
        <f>_xlfn.IFNA(VLOOKUP($BD338,Programma!$F$3:$P$1101,11,0),"")</f>
        <v/>
      </c>
      <c r="BO338" s="114" t="str">
        <f>_xlfn.IFNA(VLOOKUP($BD338,Programma!$F$3:$Q$1101,12,0),"")</f>
        <v/>
      </c>
      <c r="BP338" s="114" t="str">
        <f>_xlfn.IFNA(VLOOKUP($BD338,Programma!$F$3:$R$1101,13,0),"")</f>
        <v/>
      </c>
      <c r="BQ338" s="114" t="str">
        <f>_xlfn.IFNA(VLOOKUP($BD338,Programma!$F$3:$S$1101,14,0),"")</f>
        <v/>
      </c>
      <c r="BR338" s="114" t="str">
        <f>_xlfn.IFNA(VLOOKUP($BD338,Programma!$F$3:$T$1101,15,0),"")</f>
        <v/>
      </c>
      <c r="BS338" s="114" t="str">
        <f>_xlfn.IFNA(VLOOKUP($BD338,Programma!$F$3:$U$1101,16,0),"")</f>
        <v/>
      </c>
      <c r="BT338" s="114" t="str">
        <f>_xlfn.IFNA(VLOOKUP($BD338,Programma!$F$3:$V$1101,17,0),"")</f>
        <v/>
      </c>
      <c r="BU338" s="114" t="str">
        <f>_xlfn.IFNA(VLOOKUP($BD338,Programma!$F$3:$W$1101,18,0),"")</f>
        <v/>
      </c>
      <c r="BV338" s="114" t="str">
        <f>_xlfn.IFNA(VLOOKUP($BD338,Programma!$F$3:$X$1101,19,0),"")</f>
        <v/>
      </c>
      <c r="BW338" s="114" t="str">
        <f>_xlfn.IFNA(VLOOKUP($BD338,Programma!$F$3:$Y$1101,20,0),"")</f>
        <v/>
      </c>
      <c r="BX338" s="28"/>
      <c r="BY338" s="28"/>
      <c r="BZ338" s="28"/>
      <c r="CA338" s="28"/>
      <c r="CB338" s="28"/>
      <c r="CC338" s="28"/>
      <c r="CD338" s="28"/>
      <c r="CE338" s="28"/>
      <c r="CF338" s="28"/>
      <c r="CG338" s="28"/>
      <c r="CH338" s="28"/>
      <c r="CI338" s="28"/>
      <c r="CJ338" s="28"/>
      <c r="CK338" s="28"/>
      <c r="CL338" s="28"/>
      <c r="CM338" s="28"/>
      <c r="CN338" s="28"/>
      <c r="CO338" s="28"/>
      <c r="CP338" s="28"/>
      <c r="CQ338" s="28"/>
      <c r="CR338" s="28"/>
      <c r="CS338" s="28"/>
      <c r="CT338" s="28"/>
      <c r="CU338" s="28"/>
      <c r="CV338" s="28"/>
      <c r="CW338" s="28"/>
      <c r="CX338" s="28"/>
      <c r="CY338" s="28"/>
      <c r="CZ338" s="28"/>
      <c r="DA338" s="28"/>
      <c r="DB338" s="28"/>
      <c r="DC338" s="28"/>
      <c r="DD338" s="28"/>
      <c r="DE338" s="28"/>
      <c r="DF338" s="28"/>
      <c r="DG338" s="28"/>
      <c r="DH338" s="28"/>
      <c r="DI338" s="28"/>
      <c r="DJ338" s="28"/>
      <c r="DK338" s="28"/>
      <c r="DL338" s="28"/>
      <c r="DM338" s="28"/>
      <c r="DN338" s="28"/>
      <c r="DO338" s="28"/>
      <c r="DP338" s="28"/>
      <c r="DQ338" s="28"/>
      <c r="DR338" s="28"/>
      <c r="DS338" s="28"/>
      <c r="DT338" s="28"/>
      <c r="DU338" s="28"/>
      <c r="DV338" s="28"/>
      <c r="DW338" s="28"/>
      <c r="DX338" s="28"/>
      <c r="DY338" s="28"/>
      <c r="DZ338" s="28"/>
      <c r="EA338" s="28"/>
      <c r="EB338" s="28"/>
      <c r="EC338" s="28"/>
      <c r="ED338" s="28"/>
      <c r="EE338" s="28"/>
      <c r="EF338" s="28"/>
      <c r="EG338" s="28"/>
      <c r="EH338" s="28"/>
      <c r="EI338" s="28"/>
      <c r="EJ338" s="28"/>
      <c r="EK338" s="28"/>
      <c r="EL338" s="28"/>
      <c r="EM338" s="28"/>
      <c r="EN338" s="28"/>
      <c r="EO338" s="28"/>
      <c r="EP338" s="28"/>
      <c r="EQ338" s="28"/>
      <c r="ER338" s="28"/>
      <c r="ES338" s="28"/>
      <c r="ET338" s="28"/>
      <c r="EU338" s="28"/>
      <c r="EV338" s="28"/>
      <c r="EW338" s="28"/>
      <c r="EX338" s="28"/>
      <c r="EY338" s="28"/>
      <c r="EZ338" s="28"/>
      <c r="FA338" s="28"/>
      <c r="FB338" s="28"/>
      <c r="FC338" s="28"/>
      <c r="FD338" s="28"/>
      <c r="FE338" s="28"/>
      <c r="FF338" s="28"/>
      <c r="FG338" s="28"/>
      <c r="FH338" s="28"/>
      <c r="FI338" s="28"/>
      <c r="FJ338" s="28"/>
      <c r="FK338" s="28"/>
      <c r="FL338" s="28"/>
      <c r="FM338" s="28"/>
      <c r="FN338" s="28"/>
      <c r="FO338" s="28"/>
      <c r="FP338" s="28"/>
      <c r="FQ338" s="28"/>
      <c r="FR338" s="28"/>
      <c r="FS338" s="28"/>
      <c r="FT338" s="28"/>
      <c r="FU338" s="28"/>
      <c r="FV338" s="28"/>
      <c r="FW338" s="28"/>
      <c r="FX338" s="28"/>
      <c r="FY338" s="28"/>
      <c r="FZ338" s="28"/>
      <c r="GA338" s="28"/>
      <c r="GB338" s="28"/>
      <c r="GC338" s="28"/>
      <c r="GD338" s="28"/>
      <c r="GE338" s="28"/>
      <c r="GF338" s="28"/>
      <c r="GG338" s="28"/>
      <c r="GH338" s="28"/>
      <c r="GI338" s="28"/>
      <c r="GJ338" s="28"/>
      <c r="GK338" s="28"/>
      <c r="GL338" s="28"/>
      <c r="GM338" s="28"/>
      <c r="GN338" s="28"/>
      <c r="GO338" s="28"/>
      <c r="GP338" s="28"/>
      <c r="GQ338" s="28"/>
      <c r="GR338" s="28"/>
      <c r="GS338" s="28"/>
      <c r="GT338" s="28"/>
      <c r="GU338" s="28"/>
      <c r="GV338" s="28"/>
      <c r="GW338" s="28"/>
      <c r="GX338" s="28"/>
      <c r="GY338" s="28"/>
      <c r="GZ338" s="28"/>
      <c r="HA338" s="28"/>
      <c r="HB338" s="28"/>
      <c r="HC338" s="28"/>
      <c r="HD338" s="28"/>
      <c r="HE338" s="28"/>
      <c r="HF338" s="28"/>
      <c r="HG338" s="28"/>
      <c r="HH338" s="28"/>
      <c r="HI338" s="28"/>
      <c r="HJ338" s="28"/>
      <c r="HK338" s="28"/>
      <c r="HL338" s="28"/>
    </row>
    <row r="339" spans="1:220" ht="15" customHeight="1">
      <c r="A339" s="31">
        <v>7</v>
      </c>
      <c r="B339" s="105" t="str">
        <f>VLOOKUP(Ruimtestaat[[#This Row],[Code]],Locaties[[Code]:[Locatie]],2,FALSE)</f>
        <v>Montessori IKC De Groene Ring</v>
      </c>
      <c r="C339" s="105" t="str">
        <f>VLOOKUP(Ruimtestaat[[#This Row],[Code]],Locaties[[#All],[Code]:[Adres]],4,FALSE)</f>
        <v>Bergdravik 2</v>
      </c>
      <c r="D339" s="105" t="str">
        <f>VLOOKUP(Ruimtestaat[[#This Row],[Code]],Locaties[[#All],[Code]:[Postcode]],5,FALSE)</f>
        <v>6922 HM</v>
      </c>
      <c r="E339" s="105" t="str">
        <f>VLOOKUP(Ruimtestaat[[#This Row],[Code]],Locaties[#All],6,FALSE)</f>
        <v>Duiven</v>
      </c>
      <c r="F339" s="113"/>
      <c r="I339" s="113" t="s">
        <v>1905</v>
      </c>
      <c r="J339" s="31">
        <v>15</v>
      </c>
      <c r="K339" s="113" t="str">
        <f>VLOOKUP(Ruimtestaat[[#This Row],[Ruimte code]],Ruimtegroepen[[#All],[Code]:[Ruimte omschrijving]],2,FALSE)</f>
        <v>Keuken/pantry</v>
      </c>
      <c r="L339" s="31" t="s">
        <v>100</v>
      </c>
      <c r="M339" s="31" t="s">
        <v>1975</v>
      </c>
      <c r="N339" s="106">
        <v>4</v>
      </c>
      <c r="O339" s="112"/>
      <c r="P339" s="112"/>
      <c r="Q339" s="107" t="str">
        <f>VLOOKUP(Ruimtestaat[[#This Row],[Ruimte code]],Ruimtegroepen[],4,FALSE)</f>
        <v>Ve</v>
      </c>
      <c r="R339" s="73">
        <v>40</v>
      </c>
      <c r="S339" s="73" t="s">
        <v>2</v>
      </c>
      <c r="T339" s="73">
        <f>IF(R339&gt;0,IF(RIGHT(Ruimtestaat[[#This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9" s="73">
        <f>IF(T339&gt;0,VLOOKUP($J339,Ruimtegroepen[],3,FALSE)*VLOOKUP($L339,Vloersoorten[],3,FALSE)*VLOOKUP($S339,Frequenties[],3,FALSE)*VLOOKUP($A339,Locaties[],3,FALSE),0)</f>
        <v>0</v>
      </c>
      <c r="V339" s="73">
        <f>Ruimtestaat[[#This Row],[Uitvoeringen werkdagen]]*Ruimtestaat[[#This Row],[Oppervlak (netto)]]</f>
        <v>800</v>
      </c>
      <c r="W339" s="108">
        <f>IF(U339&gt;0,Ruimtestaat[[#This Row],[Prest. (m2 /jaar) werkdagen]]/Ruimtestaat[[#This Row],[Norm (m2/uur) werkdagen]],0)</f>
        <v>0</v>
      </c>
      <c r="X339" s="109">
        <f>Ruimtestaat[[#This Row],[uren / jaar werkdagen]]*Tariefsopbouw!$E$35</f>
        <v>0</v>
      </c>
      <c r="Y339" s="73"/>
      <c r="Z339" s="73">
        <f>IF(Ruimtestaat[[#This Row],[Frequentie weekend]]&gt;0,VALUE(LEFT(Y339,1))*R339,0)</f>
        <v>0</v>
      </c>
      <c r="AA339" s="72">
        <f>IF($Z339&gt;0,VLOOKUP($J339,Ruimtegroepen[],3,FALSE)*VLOOKUP($L339,Vloersoorten[],3,FALSE)*VLOOKUP($Y339,Frequenties[],3,FALSE)*VLOOKUP(Ruimtestaat[[#This Row],[Code]],Locaties[],3,FALSE),0)</f>
        <v>0</v>
      </c>
      <c r="AB339" s="72">
        <f>Ruimtestaat[[#This Row],[Uitvoeringen weekend]]*Ruimtestaat[[#This Row],[Oppervlak (netto)]]</f>
        <v>0</v>
      </c>
      <c r="AC339" s="72">
        <f>IF(AA339&gt;0,Ruimtestaat[[#This Row],[Prest. (m2 /jaar) weekend]]/Ruimtestaat[[#This Row],[Norm (m2/uur) weekend]],0)</f>
        <v>0</v>
      </c>
      <c r="AD339" s="109">
        <f>Ruimtestaat[[#This Row],[uren / jaar weekend]]*Tariefsopbouw!$D$40</f>
        <v>0</v>
      </c>
      <c r="AE339" s="108">
        <f>Ruimtestaat[[#This Row],[Prest. (m2 /jaar) weekend]]+Ruimtestaat[[#This Row],[Prest. (m2 /jaar) werkdagen]]</f>
        <v>800</v>
      </c>
      <c r="AF339" s="108">
        <f>Ruimtestaat[[#This Row],[uren / jaar weekend]]+Ruimtestaat[[#This Row],[uren / jaar werkdagen]]</f>
        <v>0</v>
      </c>
      <c r="AG339" s="103">
        <f>Ruimtestaat[[#This Row],[kosten / jaar weekend]]+Ruimtestaat[[#This Row],[kosten / jaar werkdagen]]</f>
        <v>0</v>
      </c>
      <c r="AH339" s="103"/>
      <c r="AI339" s="110" t="str">
        <f>IF(Ruimtestaat[[#This Row],[Frequentie werkdagen]]="","",_xlfn.CONCAT(Ruimtestaat[[#This Row],[Ruimte code]],"-",Ruimtestaat[[#This Row],[Frequentie werkdagen]]," ",Ruimtestaat[[#This Row],[Vloer code]]))</f>
        <v>15-5w L</v>
      </c>
      <c r="AJ339" s="114" t="str">
        <f>_xlfn.IFNA(VLOOKUP($AI339,Programma!$F$3:$G$1101,2,0),"")</f>
        <v>_</v>
      </c>
      <c r="AK339" s="114" t="str">
        <f>_xlfn.IFNA(VLOOKUP($AI339,Programma!$F$3:$H$1101,3,0),"")</f>
        <v>_</v>
      </c>
      <c r="AL339" s="114" t="str">
        <f>_xlfn.IFNA(VLOOKUP($AI339,Programma!$F$3:$I$1101,4,0),"")</f>
        <v>_</v>
      </c>
      <c r="AM339" s="114" t="str">
        <f>_xlfn.IFNA(VLOOKUP($AI339,Programma!$F$3:$J$1101,5,0),"")</f>
        <v>5w</v>
      </c>
      <c r="AN339" s="114" t="str">
        <f>_xlfn.IFNA(VLOOKUP($AI339,Programma!$F$3:$K$1101,6,0),"")</f>
        <v>_</v>
      </c>
      <c r="AO339" s="114" t="str">
        <f>_xlfn.IFNA(VLOOKUP($AI339,Programma!$F$3:$L$1101,7,0),"")</f>
        <v>_</v>
      </c>
      <c r="AP339" s="114" t="str">
        <f>_xlfn.IFNA(VLOOKUP($AI339,Programma!$F$3:$M$1101,8,0),"")</f>
        <v>_</v>
      </c>
      <c r="AQ339" s="114" t="str">
        <f>_xlfn.IFNA(VLOOKUP($AI339,Programma!$F$3:$N$1101,9,0),"")</f>
        <v>_</v>
      </c>
      <c r="AR339" s="114" t="str">
        <f>_xlfn.IFNA(VLOOKUP($AI339,Programma!$F$3:$O$1101,10,0),"")</f>
        <v>5w</v>
      </c>
      <c r="AS339" s="114" t="str">
        <f>_xlfn.IFNA(VLOOKUP($AI339,Programma!$F$3:$P$1101,11,0),"")</f>
        <v>5w</v>
      </c>
      <c r="AT339" s="114" t="str">
        <f>_xlfn.IFNA(VLOOKUP($AI339,Programma!$F$3:$Q$1101,12,0),"")</f>
        <v>1w</v>
      </c>
      <c r="AU339" s="114" t="str">
        <f>_xlfn.IFNA(VLOOKUP($AI339,Programma!$F$3:$R$1101,13,0),"")</f>
        <v>1w</v>
      </c>
      <c r="AV339" s="114" t="str">
        <f>_xlfn.IFNA(VLOOKUP($AI339,Programma!$F$3:$S$1101,14,0),"")</f>
        <v>1m</v>
      </c>
      <c r="AW339" s="114" t="str">
        <f>_xlfn.IFNA(VLOOKUP($AI339,Programma!$F$3:$T$1101,15,0),"")</f>
        <v>2j</v>
      </c>
      <c r="AX339" s="114" t="str">
        <f>_xlfn.IFNA(VLOOKUP($AI339,Programma!$F$3:$U$1101,16,0),"")</f>
        <v>1j</v>
      </c>
      <c r="AY339" s="114" t="str">
        <f>_xlfn.IFNA(VLOOKUP($AI339,Programma!$F$3:$V$1101,17,0),"")</f>
        <v>_</v>
      </c>
      <c r="AZ339" s="114" t="str">
        <f>_xlfn.IFNA(VLOOKUP($AI339,Programma!$F$3:$W$1101,18,0),"")</f>
        <v>_</v>
      </c>
      <c r="BA339" s="114" t="str">
        <f>_xlfn.IFNA(VLOOKUP($AI339,Programma!$F$3:$X$1101,19,0),"")</f>
        <v>_</v>
      </c>
      <c r="BB339" s="114" t="str">
        <f>_xlfn.IFNA(VLOOKUP($AI339,Programma!$F$3:$Y$1101,20,0),"")</f>
        <v>_</v>
      </c>
      <c r="BC339" s="111"/>
      <c r="BD339" s="110" t="str">
        <f>IF(Ruimtestaat[[#This Row],[Frequentie weekend]]="","",_xlfn.CONCAT(Ruimtestaat[[#This Row],[Ruimte code]],"-",Ruimtestaat[[#This Row],[Frequentie weekend]]," ",Ruimtestaat[[#This Row],[Vloer code]]))</f>
        <v/>
      </c>
      <c r="BE339" s="114" t="str">
        <f>_xlfn.IFNA(VLOOKUP($BD339,Programma!$F$3:$G$1101,2,0),"")</f>
        <v/>
      </c>
      <c r="BF339" s="114" t="str">
        <f>_xlfn.IFNA(VLOOKUP($BD339,Programma!$F$3:$H$1101,3,0),"")</f>
        <v/>
      </c>
      <c r="BG339" s="114" t="str">
        <f>_xlfn.IFNA(VLOOKUP($BD339,Programma!$F$3:$I$1101,4,0),"")</f>
        <v/>
      </c>
      <c r="BH339" s="114" t="str">
        <f>_xlfn.IFNA(VLOOKUP($BD339,Programma!$F$3:$J$1101,5,0),"")</f>
        <v/>
      </c>
      <c r="BI339" s="114" t="str">
        <f>_xlfn.IFNA(VLOOKUP($BD339,Programma!$F$3:$K$1101,6,0),"")</f>
        <v/>
      </c>
      <c r="BJ339" s="114" t="str">
        <f>_xlfn.IFNA(VLOOKUP($BD339,Programma!$F$3:$L$1101,7,0),"")</f>
        <v/>
      </c>
      <c r="BK339" s="114" t="str">
        <f>_xlfn.IFNA(VLOOKUP($BD339,Programma!$F$3:$M$1101,8,0),"")</f>
        <v/>
      </c>
      <c r="BL339" s="114" t="str">
        <f>_xlfn.IFNA(VLOOKUP($BD339,Programma!$F$3:$N$1101,9,0),"")</f>
        <v/>
      </c>
      <c r="BM339" s="114" t="str">
        <f>_xlfn.IFNA(VLOOKUP($BD339,Programma!$F$3:$O$1101,10,0),"")</f>
        <v/>
      </c>
      <c r="BN339" s="114" t="str">
        <f>_xlfn.IFNA(VLOOKUP($BD339,Programma!$F$3:$P$1101,11,0),"")</f>
        <v/>
      </c>
      <c r="BO339" s="114" t="str">
        <f>_xlfn.IFNA(VLOOKUP($BD339,Programma!$F$3:$Q$1101,12,0),"")</f>
        <v/>
      </c>
      <c r="BP339" s="114" t="str">
        <f>_xlfn.IFNA(VLOOKUP($BD339,Programma!$F$3:$R$1101,13,0),"")</f>
        <v/>
      </c>
      <c r="BQ339" s="114" t="str">
        <f>_xlfn.IFNA(VLOOKUP($BD339,Programma!$F$3:$S$1101,14,0),"")</f>
        <v/>
      </c>
      <c r="BR339" s="114" t="str">
        <f>_xlfn.IFNA(VLOOKUP($BD339,Programma!$F$3:$T$1101,15,0),"")</f>
        <v/>
      </c>
      <c r="BS339" s="114" t="str">
        <f>_xlfn.IFNA(VLOOKUP($BD339,Programma!$F$3:$U$1101,16,0),"")</f>
        <v/>
      </c>
      <c r="BT339" s="114" t="str">
        <f>_xlfn.IFNA(VLOOKUP($BD339,Programma!$F$3:$V$1101,17,0),"")</f>
        <v/>
      </c>
      <c r="BU339" s="114" t="str">
        <f>_xlfn.IFNA(VLOOKUP($BD339,Programma!$F$3:$W$1101,18,0),"")</f>
        <v/>
      </c>
      <c r="BV339" s="114" t="str">
        <f>_xlfn.IFNA(VLOOKUP($BD339,Programma!$F$3:$X$1101,19,0),"")</f>
        <v/>
      </c>
      <c r="BW339" s="114" t="str">
        <f>_xlfn.IFNA(VLOOKUP($BD339,Programma!$F$3:$Y$1101,20,0),"")</f>
        <v/>
      </c>
      <c r="BX339" s="28"/>
      <c r="BY339" s="28"/>
      <c r="BZ339" s="28"/>
      <c r="CA339" s="28"/>
      <c r="CB339" s="28"/>
      <c r="CC339" s="28"/>
      <c r="CD339" s="28"/>
      <c r="CE339" s="28"/>
      <c r="CF339" s="28"/>
      <c r="CG339" s="28"/>
      <c r="CH339" s="28"/>
      <c r="CI339" s="28"/>
      <c r="CJ339" s="28"/>
      <c r="CK339" s="28"/>
      <c r="CL339" s="28"/>
      <c r="CM339" s="28"/>
      <c r="CN339" s="28"/>
      <c r="CO339" s="28"/>
      <c r="CP339" s="28"/>
      <c r="CQ339" s="28"/>
      <c r="CR339" s="28"/>
      <c r="CS339" s="28"/>
      <c r="CT339" s="28"/>
      <c r="CU339" s="28"/>
      <c r="CV339" s="28"/>
      <c r="CW339" s="28"/>
      <c r="CX339" s="28"/>
      <c r="CY339" s="28"/>
      <c r="CZ339" s="28"/>
      <c r="DA339" s="28"/>
      <c r="DB339" s="28"/>
      <c r="DC339" s="28"/>
      <c r="DD339" s="28"/>
      <c r="DE339" s="28"/>
      <c r="DF339" s="28"/>
      <c r="DG339" s="28"/>
      <c r="DH339" s="28"/>
      <c r="DI339" s="28"/>
      <c r="DJ339" s="28"/>
      <c r="DK339" s="28"/>
      <c r="DL339" s="28"/>
      <c r="DM339" s="28"/>
      <c r="DN339" s="28"/>
      <c r="DO339" s="28"/>
      <c r="DP339" s="28"/>
      <c r="DQ339" s="28"/>
      <c r="DR339" s="28"/>
      <c r="DS339" s="28"/>
      <c r="DT339" s="28"/>
      <c r="DU339" s="28"/>
      <c r="DV339" s="28"/>
      <c r="DW339" s="28"/>
      <c r="DX339" s="28"/>
      <c r="DY339" s="28"/>
      <c r="DZ339" s="28"/>
      <c r="EA339" s="28"/>
      <c r="EB339" s="28"/>
      <c r="EC339" s="28"/>
      <c r="ED339" s="28"/>
      <c r="EE339" s="28"/>
      <c r="EF339" s="28"/>
      <c r="EG339" s="28"/>
      <c r="EH339" s="28"/>
      <c r="EI339" s="28"/>
      <c r="EJ339" s="28"/>
      <c r="EK339" s="28"/>
      <c r="EL339" s="28"/>
      <c r="EM339" s="28"/>
      <c r="EN339" s="28"/>
      <c r="EO339" s="28"/>
      <c r="EP339" s="28"/>
      <c r="EQ339" s="28"/>
      <c r="ER339" s="28"/>
      <c r="ES339" s="28"/>
      <c r="ET339" s="28"/>
      <c r="EU339" s="28"/>
      <c r="EV339" s="28"/>
      <c r="EW339" s="28"/>
      <c r="EX339" s="28"/>
      <c r="EY339" s="28"/>
      <c r="EZ339" s="28"/>
      <c r="FA339" s="28"/>
      <c r="FB339" s="28"/>
      <c r="FC339" s="28"/>
      <c r="FD339" s="28"/>
      <c r="FE339" s="28"/>
      <c r="FF339" s="28"/>
      <c r="FG339" s="28"/>
      <c r="FH339" s="28"/>
      <c r="FI339" s="28"/>
      <c r="FJ339" s="28"/>
      <c r="FK339" s="28"/>
      <c r="FL339" s="28"/>
      <c r="FM339" s="28"/>
      <c r="FN339" s="28"/>
      <c r="FO339" s="28"/>
      <c r="FP339" s="28"/>
      <c r="FQ339" s="28"/>
      <c r="FR339" s="28"/>
      <c r="FS339" s="28"/>
      <c r="FT339" s="28"/>
      <c r="FU339" s="28"/>
      <c r="FV339" s="28"/>
      <c r="FW339" s="28"/>
      <c r="FX339" s="28"/>
      <c r="FY339" s="28"/>
      <c r="FZ339" s="28"/>
      <c r="GA339" s="28"/>
      <c r="GB339" s="28"/>
      <c r="GC339" s="28"/>
      <c r="GD339" s="28"/>
      <c r="GE339" s="28"/>
      <c r="GF339" s="28"/>
      <c r="GG339" s="28"/>
      <c r="GH339" s="28"/>
      <c r="GI339" s="28"/>
      <c r="GJ339" s="28"/>
      <c r="GK339" s="28"/>
      <c r="GL339" s="28"/>
      <c r="GM339" s="28"/>
      <c r="GN339" s="28"/>
      <c r="GO339" s="28"/>
      <c r="GP339" s="28"/>
      <c r="GQ339" s="28"/>
      <c r="GR339" s="28"/>
      <c r="GS339" s="28"/>
      <c r="GT339" s="28"/>
      <c r="GU339" s="28"/>
      <c r="GV339" s="28"/>
      <c r="GW339" s="28"/>
      <c r="GX339" s="28"/>
      <c r="GY339" s="28"/>
      <c r="GZ339" s="28"/>
      <c r="HA339" s="28"/>
      <c r="HB339" s="28"/>
      <c r="HC339" s="28"/>
      <c r="HD339" s="28"/>
      <c r="HE339" s="28"/>
      <c r="HF339" s="28"/>
      <c r="HG339" s="28"/>
      <c r="HH339" s="28"/>
      <c r="HI339" s="28"/>
      <c r="HJ339" s="28"/>
      <c r="HK339" s="28"/>
      <c r="HL339" s="28"/>
    </row>
    <row r="340" spans="1:220" ht="15" customHeight="1">
      <c r="A340" s="31">
        <v>7</v>
      </c>
      <c r="B340" s="105" t="str">
        <f>VLOOKUP(Ruimtestaat[[#This Row],[Code]],Locaties[[Code]:[Locatie]],2,FALSE)</f>
        <v>Montessori IKC De Groene Ring</v>
      </c>
      <c r="C340" s="105" t="str">
        <f>VLOOKUP(Ruimtestaat[[#This Row],[Code]],Locaties[[#All],[Code]:[Adres]],4,FALSE)</f>
        <v>Bergdravik 2</v>
      </c>
      <c r="D340" s="105" t="str">
        <f>VLOOKUP(Ruimtestaat[[#This Row],[Code]],Locaties[[#All],[Code]:[Postcode]],5,FALSE)</f>
        <v>6922 HM</v>
      </c>
      <c r="E340" s="105" t="str">
        <f>VLOOKUP(Ruimtestaat[[#This Row],[Code]],Locaties[#All],6,FALSE)</f>
        <v>Duiven</v>
      </c>
      <c r="F340" s="113"/>
      <c r="I340" s="113" t="s">
        <v>1659</v>
      </c>
      <c r="J340" s="31">
        <v>6</v>
      </c>
      <c r="K340" s="113" t="str">
        <f>VLOOKUP(Ruimtestaat[[#This Row],[Ruimte code]],Ruimtegroepen[[#All],[Code]:[Ruimte omschrijving]],2,FALSE)</f>
        <v>Gangen/hallen</v>
      </c>
      <c r="L340" s="31" t="s">
        <v>100</v>
      </c>
      <c r="M340" s="31" t="s">
        <v>1975</v>
      </c>
      <c r="N340" s="106">
        <v>16.8</v>
      </c>
      <c r="O340" s="112"/>
      <c r="P340" s="112"/>
      <c r="Q340" s="107" t="str">
        <f>VLOOKUP(Ruimtestaat[[#This Row],[Ruimte code]],Ruimtegroepen[],4,FALSE)</f>
        <v>Ve</v>
      </c>
      <c r="R340" s="73">
        <v>40</v>
      </c>
      <c r="S340" s="73" t="s">
        <v>2</v>
      </c>
      <c r="T340" s="73">
        <f>IF(R340&gt;0,IF(RIGHT(Ruimtestaat[[#This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0" s="73">
        <f>IF(T340&gt;0,VLOOKUP($J340,Ruimtegroepen[],3,FALSE)*VLOOKUP($L340,Vloersoorten[],3,FALSE)*VLOOKUP($S340,Frequenties[],3,FALSE)*VLOOKUP($A340,Locaties[],3,FALSE),0)</f>
        <v>0</v>
      </c>
      <c r="V340" s="73">
        <f>Ruimtestaat[[#This Row],[Uitvoeringen werkdagen]]*Ruimtestaat[[#This Row],[Oppervlak (netto)]]</f>
        <v>3360</v>
      </c>
      <c r="W340" s="108">
        <f>IF(U340&gt;0,Ruimtestaat[[#This Row],[Prest. (m2 /jaar) werkdagen]]/Ruimtestaat[[#This Row],[Norm (m2/uur) werkdagen]],0)</f>
        <v>0</v>
      </c>
      <c r="X340" s="109">
        <f>Ruimtestaat[[#This Row],[uren / jaar werkdagen]]*Tariefsopbouw!$E$35</f>
        <v>0</v>
      </c>
      <c r="Y340" s="73"/>
      <c r="Z340" s="73">
        <f>IF(Ruimtestaat[[#This Row],[Frequentie weekend]]&gt;0,VALUE(LEFT(Y340,1))*R340,0)</f>
        <v>0</v>
      </c>
      <c r="AA340" s="72">
        <f>IF($Z340&gt;0,VLOOKUP($J340,Ruimtegroepen[],3,FALSE)*VLOOKUP($L340,Vloersoorten[],3,FALSE)*VLOOKUP($Y340,Frequenties[],3,FALSE)*VLOOKUP(Ruimtestaat[[#This Row],[Code]],Locaties[],3,FALSE),0)</f>
        <v>0</v>
      </c>
      <c r="AB340" s="72">
        <f>Ruimtestaat[[#This Row],[Uitvoeringen weekend]]*Ruimtestaat[[#This Row],[Oppervlak (netto)]]</f>
        <v>0</v>
      </c>
      <c r="AC340" s="72">
        <f>IF(AA340&gt;0,Ruimtestaat[[#This Row],[Prest. (m2 /jaar) weekend]]/Ruimtestaat[[#This Row],[Norm (m2/uur) weekend]],0)</f>
        <v>0</v>
      </c>
      <c r="AD340" s="109">
        <f>Ruimtestaat[[#This Row],[uren / jaar weekend]]*Tariefsopbouw!$D$40</f>
        <v>0</v>
      </c>
      <c r="AE340" s="108">
        <f>Ruimtestaat[[#This Row],[Prest. (m2 /jaar) weekend]]+Ruimtestaat[[#This Row],[Prest. (m2 /jaar) werkdagen]]</f>
        <v>3360</v>
      </c>
      <c r="AF340" s="108">
        <f>Ruimtestaat[[#This Row],[uren / jaar weekend]]+Ruimtestaat[[#This Row],[uren / jaar werkdagen]]</f>
        <v>0</v>
      </c>
      <c r="AG340" s="103">
        <f>Ruimtestaat[[#This Row],[kosten / jaar weekend]]+Ruimtestaat[[#This Row],[kosten / jaar werkdagen]]</f>
        <v>0</v>
      </c>
      <c r="AH340" s="103"/>
      <c r="AI340" s="110" t="str">
        <f>IF(Ruimtestaat[[#This Row],[Frequentie werkdagen]]="","",_xlfn.CONCAT(Ruimtestaat[[#This Row],[Ruimte code]],"-",Ruimtestaat[[#This Row],[Frequentie werkdagen]]," ",Ruimtestaat[[#This Row],[Vloer code]]))</f>
        <v>6-5w L</v>
      </c>
      <c r="AJ340" s="114" t="str">
        <f>_xlfn.IFNA(VLOOKUP($AI340,Programma!$F$3:$G$1101,2,0),"")</f>
        <v>_</v>
      </c>
      <c r="AK340" s="114" t="str">
        <f>_xlfn.IFNA(VLOOKUP($AI340,Programma!$F$3:$H$1101,3,0),"")</f>
        <v>_</v>
      </c>
      <c r="AL340" s="114" t="str">
        <f>_xlfn.IFNA(VLOOKUP($AI340,Programma!$F$3:$I$1101,4,0),"")</f>
        <v>_</v>
      </c>
      <c r="AM340" s="114" t="str">
        <f>_xlfn.IFNA(VLOOKUP($AI340,Programma!$F$3:$J$1101,5,0),"")</f>
        <v>5w</v>
      </c>
      <c r="AN340" s="114" t="str">
        <f>_xlfn.IFNA(VLOOKUP($AI340,Programma!$F$3:$K$1101,6,0),"")</f>
        <v>_</v>
      </c>
      <c r="AO340" s="114" t="str">
        <f>_xlfn.IFNA(VLOOKUP($AI340,Programma!$F$3:$L$1101,7,0),"")</f>
        <v>_</v>
      </c>
      <c r="AP340" s="114" t="str">
        <f>_xlfn.IFNA(VLOOKUP($AI340,Programma!$F$3:$M$1101,8,0),"")</f>
        <v>_</v>
      </c>
      <c r="AQ340" s="114" t="str">
        <f>_xlfn.IFNA(VLOOKUP($AI340,Programma!$F$3:$N$1101,9,0),"")</f>
        <v>_</v>
      </c>
      <c r="AR340" s="114" t="str">
        <f>_xlfn.IFNA(VLOOKUP($AI340,Programma!$F$3:$O$1101,10,0),"")</f>
        <v>5w</v>
      </c>
      <c r="AS340" s="114" t="str">
        <f>_xlfn.IFNA(VLOOKUP($AI340,Programma!$F$3:$P$1101,11,0),"")</f>
        <v>5w</v>
      </c>
      <c r="AT340" s="114" t="str">
        <f>_xlfn.IFNA(VLOOKUP($AI340,Programma!$F$3:$Q$1101,12,0),"")</f>
        <v>1w</v>
      </c>
      <c r="AU340" s="114" t="str">
        <f>_xlfn.IFNA(VLOOKUP($AI340,Programma!$F$3:$R$1101,13,0),"")</f>
        <v>1w</v>
      </c>
      <c r="AV340" s="114" t="str">
        <f>_xlfn.IFNA(VLOOKUP($AI340,Programma!$F$3:$S$1101,14,0),"")</f>
        <v>1m</v>
      </c>
      <c r="AW340" s="114" t="str">
        <f>_xlfn.IFNA(VLOOKUP($AI340,Programma!$F$3:$T$1101,15,0),"")</f>
        <v>2j</v>
      </c>
      <c r="AX340" s="114" t="str">
        <f>_xlfn.IFNA(VLOOKUP($AI340,Programma!$F$3:$U$1101,16,0),"")</f>
        <v>1j</v>
      </c>
      <c r="AY340" s="114" t="str">
        <f>_xlfn.IFNA(VLOOKUP($AI340,Programma!$F$3:$V$1101,17,0),"")</f>
        <v>_</v>
      </c>
      <c r="AZ340" s="114" t="str">
        <f>_xlfn.IFNA(VLOOKUP($AI340,Programma!$F$3:$W$1101,18,0),"")</f>
        <v>_</v>
      </c>
      <c r="BA340" s="114" t="str">
        <f>_xlfn.IFNA(VLOOKUP($AI340,Programma!$F$3:$X$1101,19,0),"")</f>
        <v>_</v>
      </c>
      <c r="BB340" s="114" t="str">
        <f>_xlfn.IFNA(VLOOKUP($AI340,Programma!$F$3:$Y$1101,20,0),"")</f>
        <v>_</v>
      </c>
      <c r="BC340" s="111"/>
      <c r="BD340" s="110" t="str">
        <f>IF(Ruimtestaat[[#This Row],[Frequentie weekend]]="","",_xlfn.CONCAT(Ruimtestaat[[#This Row],[Ruimte code]],"-",Ruimtestaat[[#This Row],[Frequentie weekend]]," ",Ruimtestaat[[#This Row],[Vloer code]]))</f>
        <v/>
      </c>
      <c r="BE340" s="114" t="str">
        <f>_xlfn.IFNA(VLOOKUP($BD340,Programma!$F$3:$G$1101,2,0),"")</f>
        <v/>
      </c>
      <c r="BF340" s="114" t="str">
        <f>_xlfn.IFNA(VLOOKUP($BD340,Programma!$F$3:$H$1101,3,0),"")</f>
        <v/>
      </c>
      <c r="BG340" s="114" t="str">
        <f>_xlfn.IFNA(VLOOKUP($BD340,Programma!$F$3:$I$1101,4,0),"")</f>
        <v/>
      </c>
      <c r="BH340" s="114" t="str">
        <f>_xlfn.IFNA(VLOOKUP($BD340,Programma!$F$3:$J$1101,5,0),"")</f>
        <v/>
      </c>
      <c r="BI340" s="114" t="str">
        <f>_xlfn.IFNA(VLOOKUP($BD340,Programma!$F$3:$K$1101,6,0),"")</f>
        <v/>
      </c>
      <c r="BJ340" s="114" t="str">
        <f>_xlfn.IFNA(VLOOKUP($BD340,Programma!$F$3:$L$1101,7,0),"")</f>
        <v/>
      </c>
      <c r="BK340" s="114" t="str">
        <f>_xlfn.IFNA(VLOOKUP($BD340,Programma!$F$3:$M$1101,8,0),"")</f>
        <v/>
      </c>
      <c r="BL340" s="114" t="str">
        <f>_xlfn.IFNA(VLOOKUP($BD340,Programma!$F$3:$N$1101,9,0),"")</f>
        <v/>
      </c>
      <c r="BM340" s="114" t="str">
        <f>_xlfn.IFNA(VLOOKUP($BD340,Programma!$F$3:$O$1101,10,0),"")</f>
        <v/>
      </c>
      <c r="BN340" s="114" t="str">
        <f>_xlfn.IFNA(VLOOKUP($BD340,Programma!$F$3:$P$1101,11,0),"")</f>
        <v/>
      </c>
      <c r="BO340" s="114" t="str">
        <f>_xlfn.IFNA(VLOOKUP($BD340,Programma!$F$3:$Q$1101,12,0),"")</f>
        <v/>
      </c>
      <c r="BP340" s="114" t="str">
        <f>_xlfn.IFNA(VLOOKUP($BD340,Programma!$F$3:$R$1101,13,0),"")</f>
        <v/>
      </c>
      <c r="BQ340" s="114" t="str">
        <f>_xlfn.IFNA(VLOOKUP($BD340,Programma!$F$3:$S$1101,14,0),"")</f>
        <v/>
      </c>
      <c r="BR340" s="114" t="str">
        <f>_xlfn.IFNA(VLOOKUP($BD340,Programma!$F$3:$T$1101,15,0),"")</f>
        <v/>
      </c>
      <c r="BS340" s="114" t="str">
        <f>_xlfn.IFNA(VLOOKUP($BD340,Programma!$F$3:$U$1101,16,0),"")</f>
        <v/>
      </c>
      <c r="BT340" s="114" t="str">
        <f>_xlfn.IFNA(VLOOKUP($BD340,Programma!$F$3:$V$1101,17,0),"")</f>
        <v/>
      </c>
      <c r="BU340" s="114" t="str">
        <f>_xlfn.IFNA(VLOOKUP($BD340,Programma!$F$3:$W$1101,18,0),"")</f>
        <v/>
      </c>
      <c r="BV340" s="114" t="str">
        <f>_xlfn.IFNA(VLOOKUP($BD340,Programma!$F$3:$X$1101,19,0),"")</f>
        <v/>
      </c>
      <c r="BW340" s="114" t="str">
        <f>_xlfn.IFNA(VLOOKUP($BD340,Programma!$F$3:$Y$1101,20,0),"")</f>
        <v/>
      </c>
      <c r="BX340" s="28"/>
      <c r="BY340" s="28"/>
      <c r="BZ340" s="28"/>
      <c r="CA340" s="28"/>
      <c r="CB340" s="28"/>
      <c r="CC340" s="28"/>
      <c r="CD340" s="28"/>
      <c r="CE340" s="28"/>
      <c r="CF340" s="28"/>
      <c r="CG340" s="28"/>
      <c r="CH340" s="28"/>
      <c r="CI340" s="28"/>
      <c r="CJ340" s="28"/>
      <c r="CK340" s="28"/>
      <c r="CL340" s="28"/>
      <c r="CM340" s="28"/>
      <c r="CN340" s="28"/>
      <c r="CO340" s="28"/>
      <c r="CP340" s="28"/>
      <c r="CQ340" s="28"/>
      <c r="CR340" s="28"/>
      <c r="CS340" s="28"/>
      <c r="CT340" s="28"/>
      <c r="CU340" s="28"/>
      <c r="CV340" s="28"/>
      <c r="CW340" s="28"/>
      <c r="CX340" s="28"/>
      <c r="CY340" s="28"/>
      <c r="CZ340" s="28"/>
      <c r="DA340" s="28"/>
      <c r="DB340" s="28"/>
      <c r="DC340" s="28"/>
      <c r="DD340" s="28"/>
      <c r="DE340" s="28"/>
      <c r="DF340" s="28"/>
      <c r="DG340" s="28"/>
      <c r="DH340" s="28"/>
      <c r="DI340" s="28"/>
      <c r="DJ340" s="28"/>
      <c r="DK340" s="28"/>
      <c r="DL340" s="28"/>
      <c r="DM340" s="28"/>
      <c r="DN340" s="28"/>
      <c r="DO340" s="28"/>
      <c r="DP340" s="28"/>
      <c r="DQ340" s="28"/>
      <c r="DR340" s="28"/>
      <c r="DS340" s="28"/>
      <c r="DT340" s="28"/>
      <c r="DU340" s="28"/>
      <c r="DV340" s="28"/>
      <c r="DW340" s="28"/>
      <c r="DX340" s="28"/>
      <c r="DY340" s="28"/>
      <c r="DZ340" s="28"/>
      <c r="EA340" s="28"/>
      <c r="EB340" s="28"/>
      <c r="EC340" s="28"/>
      <c r="ED340" s="28"/>
      <c r="EE340" s="28"/>
      <c r="EF340" s="28"/>
      <c r="EG340" s="28"/>
      <c r="EH340" s="28"/>
      <c r="EI340" s="28"/>
      <c r="EJ340" s="28"/>
      <c r="EK340" s="28"/>
      <c r="EL340" s="28"/>
      <c r="EM340" s="28"/>
      <c r="EN340" s="28"/>
      <c r="EO340" s="28"/>
      <c r="EP340" s="28"/>
      <c r="EQ340" s="28"/>
      <c r="ER340" s="28"/>
      <c r="ES340" s="28"/>
      <c r="ET340" s="28"/>
      <c r="EU340" s="28"/>
      <c r="EV340" s="28"/>
      <c r="EW340" s="28"/>
      <c r="EX340" s="28"/>
      <c r="EY340" s="28"/>
      <c r="EZ340" s="28"/>
      <c r="FA340" s="28"/>
      <c r="FB340" s="28"/>
      <c r="FC340" s="28"/>
      <c r="FD340" s="28"/>
      <c r="FE340" s="28"/>
      <c r="FF340" s="28"/>
      <c r="FG340" s="28"/>
      <c r="FH340" s="28"/>
      <c r="FI340" s="28"/>
      <c r="FJ340" s="28"/>
      <c r="FK340" s="28"/>
      <c r="FL340" s="28"/>
      <c r="FM340" s="28"/>
      <c r="FN340" s="28"/>
      <c r="FO340" s="28"/>
      <c r="FP340" s="28"/>
      <c r="FQ340" s="28"/>
      <c r="FR340" s="28"/>
      <c r="FS340" s="28"/>
      <c r="FT340" s="28"/>
      <c r="FU340" s="28"/>
      <c r="FV340" s="28"/>
      <c r="FW340" s="28"/>
      <c r="FX340" s="28"/>
      <c r="FY340" s="28"/>
      <c r="FZ340" s="28"/>
      <c r="GA340" s="28"/>
      <c r="GB340" s="28"/>
      <c r="GC340" s="28"/>
      <c r="GD340" s="28"/>
      <c r="GE340" s="28"/>
      <c r="GF340" s="28"/>
      <c r="GG340" s="28"/>
      <c r="GH340" s="28"/>
      <c r="GI340" s="28"/>
      <c r="GJ340" s="28"/>
      <c r="GK340" s="28"/>
      <c r="GL340" s="28"/>
      <c r="GM340" s="28"/>
      <c r="GN340" s="28"/>
      <c r="GO340" s="28"/>
      <c r="GP340" s="28"/>
      <c r="GQ340" s="28"/>
      <c r="GR340" s="28"/>
      <c r="GS340" s="28"/>
      <c r="GT340" s="28"/>
      <c r="GU340" s="28"/>
      <c r="GV340" s="28"/>
      <c r="GW340" s="28"/>
      <c r="GX340" s="28"/>
      <c r="GY340" s="28"/>
      <c r="GZ340" s="28"/>
      <c r="HA340" s="28"/>
      <c r="HB340" s="28"/>
      <c r="HC340" s="28"/>
      <c r="HD340" s="28"/>
      <c r="HE340" s="28"/>
      <c r="HF340" s="28"/>
      <c r="HG340" s="28"/>
      <c r="HH340" s="28"/>
      <c r="HI340" s="28"/>
      <c r="HJ340" s="28"/>
      <c r="HK340" s="28"/>
      <c r="HL340" s="28"/>
    </row>
    <row r="341" spans="1:220" ht="15" customHeight="1">
      <c r="A341" s="31">
        <v>7</v>
      </c>
      <c r="B341" s="105" t="str">
        <f>VLOOKUP(Ruimtestaat[[#This Row],[Code]],Locaties[[Code]:[Locatie]],2,FALSE)</f>
        <v>Montessori IKC De Groene Ring</v>
      </c>
      <c r="C341" s="105" t="str">
        <f>VLOOKUP(Ruimtestaat[[#This Row],[Code]],Locaties[[#All],[Code]:[Adres]],4,FALSE)</f>
        <v>Bergdravik 2</v>
      </c>
      <c r="D341" s="105" t="str">
        <f>VLOOKUP(Ruimtestaat[[#This Row],[Code]],Locaties[[#All],[Code]:[Postcode]],5,FALSE)</f>
        <v>6922 HM</v>
      </c>
      <c r="E341" s="105" t="str">
        <f>VLOOKUP(Ruimtestaat[[#This Row],[Code]],Locaties[#All],6,FALSE)</f>
        <v>Duiven</v>
      </c>
      <c r="F341" s="113"/>
      <c r="I341" s="113" t="s">
        <v>1586</v>
      </c>
      <c r="J341" s="31">
        <v>13</v>
      </c>
      <c r="K341" s="113" t="str">
        <f>VLOOKUP(Ruimtestaat[[#This Row],[Ruimte code]],Ruimtegroepen[[#All],[Code]:[Ruimte omschrijving]],2,FALSE)</f>
        <v>Personeelskamer</v>
      </c>
      <c r="L341" s="31" t="s">
        <v>100</v>
      </c>
      <c r="M341" s="31" t="s">
        <v>1975</v>
      </c>
      <c r="N341" s="106">
        <v>19</v>
      </c>
      <c r="O341" s="112"/>
      <c r="P341" s="112"/>
      <c r="Q341" s="107" t="str">
        <f>VLOOKUP(Ruimtestaat[[#This Row],[Ruimte code]],Ruimtegroepen[],4,FALSE)</f>
        <v>Ve</v>
      </c>
      <c r="R341" s="73">
        <v>40</v>
      </c>
      <c r="S341" s="73" t="s">
        <v>18</v>
      </c>
      <c r="T341" s="73">
        <f>IF(R341&gt;0,IF(RIGHT(Ruimtestaat[[#This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41" s="73">
        <f>IF(T341&gt;0,VLOOKUP($J341,Ruimtegroepen[],3,FALSE)*VLOOKUP($L341,Vloersoorten[],3,FALSE)*VLOOKUP($S341,Frequenties[],3,FALSE)*VLOOKUP($A341,Locaties[],3,FALSE),0)</f>
        <v>0</v>
      </c>
      <c r="V341" s="73">
        <f>Ruimtestaat[[#This Row],[Uitvoeringen werkdagen]]*Ruimtestaat[[#This Row],[Oppervlak (netto)]]</f>
        <v>2280</v>
      </c>
      <c r="W341" s="108">
        <f>IF(U341&gt;0,Ruimtestaat[[#This Row],[Prest. (m2 /jaar) werkdagen]]/Ruimtestaat[[#This Row],[Norm (m2/uur) werkdagen]],0)</f>
        <v>0</v>
      </c>
      <c r="X341" s="109">
        <f>Ruimtestaat[[#This Row],[uren / jaar werkdagen]]*Tariefsopbouw!$E$35</f>
        <v>0</v>
      </c>
      <c r="Y341" s="73"/>
      <c r="Z341" s="73">
        <f>IF(Ruimtestaat[[#This Row],[Frequentie weekend]]&gt;0,VALUE(LEFT(Y341,1))*R341,0)</f>
        <v>0</v>
      </c>
      <c r="AA341" s="72">
        <f>IF($Z341&gt;0,VLOOKUP($J341,Ruimtegroepen[],3,FALSE)*VLOOKUP($L341,Vloersoorten[],3,FALSE)*VLOOKUP($Y341,Frequenties[],3,FALSE)*VLOOKUP(Ruimtestaat[[#This Row],[Code]],Locaties[],3,FALSE),0)</f>
        <v>0</v>
      </c>
      <c r="AB341" s="72">
        <f>Ruimtestaat[[#This Row],[Uitvoeringen weekend]]*Ruimtestaat[[#This Row],[Oppervlak (netto)]]</f>
        <v>0</v>
      </c>
      <c r="AC341" s="72">
        <f>IF(AA341&gt;0,Ruimtestaat[[#This Row],[Prest. (m2 /jaar) weekend]]/Ruimtestaat[[#This Row],[Norm (m2/uur) weekend]],0)</f>
        <v>0</v>
      </c>
      <c r="AD341" s="109">
        <f>Ruimtestaat[[#This Row],[uren / jaar weekend]]*Tariefsopbouw!$D$40</f>
        <v>0</v>
      </c>
      <c r="AE341" s="108">
        <f>Ruimtestaat[[#This Row],[Prest. (m2 /jaar) weekend]]+Ruimtestaat[[#This Row],[Prest. (m2 /jaar) werkdagen]]</f>
        <v>2280</v>
      </c>
      <c r="AF341" s="108">
        <f>Ruimtestaat[[#This Row],[uren / jaar weekend]]+Ruimtestaat[[#This Row],[uren / jaar werkdagen]]</f>
        <v>0</v>
      </c>
      <c r="AG341" s="103">
        <f>Ruimtestaat[[#This Row],[kosten / jaar weekend]]+Ruimtestaat[[#This Row],[kosten / jaar werkdagen]]</f>
        <v>0</v>
      </c>
      <c r="AH341" s="103"/>
      <c r="AI341" s="110" t="str">
        <f>IF(Ruimtestaat[[#This Row],[Frequentie werkdagen]]="","",_xlfn.CONCAT(Ruimtestaat[[#This Row],[Ruimte code]],"-",Ruimtestaat[[#This Row],[Frequentie werkdagen]]," ",Ruimtestaat[[#This Row],[Vloer code]]))</f>
        <v>13-3w L</v>
      </c>
      <c r="AJ341" s="114" t="str">
        <f>_xlfn.IFNA(VLOOKUP($AI341,Programma!$F$3:$G$1101,2,0),"")</f>
        <v>_</v>
      </c>
      <c r="AK341" s="114" t="str">
        <f>_xlfn.IFNA(VLOOKUP($AI341,Programma!$F$3:$H$1101,3,0),"")</f>
        <v>_</v>
      </c>
      <c r="AL341" s="114" t="str">
        <f>_xlfn.IFNA(VLOOKUP($AI341,Programma!$F$3:$I$1101,4,0),"")</f>
        <v>2w</v>
      </c>
      <c r="AM341" s="114" t="str">
        <f>_xlfn.IFNA(VLOOKUP($AI341,Programma!$F$3:$J$1101,5,0),"")</f>
        <v>1w</v>
      </c>
      <c r="AN341" s="114" t="str">
        <f>_xlfn.IFNA(VLOOKUP($AI341,Programma!$F$3:$K$1101,6,0),"")</f>
        <v>_</v>
      </c>
      <c r="AO341" s="114" t="str">
        <f>_xlfn.IFNA(VLOOKUP($AI341,Programma!$F$3:$L$1101,7,0),"")</f>
        <v>_</v>
      </c>
      <c r="AP341" s="114" t="str">
        <f>_xlfn.IFNA(VLOOKUP($AI341,Programma!$F$3:$M$1101,8,0),"")</f>
        <v>_</v>
      </c>
      <c r="AQ341" s="114" t="str">
        <f>_xlfn.IFNA(VLOOKUP($AI341,Programma!$F$3:$N$1101,9,0),"")</f>
        <v>_</v>
      </c>
      <c r="AR341" s="114" t="str">
        <f>_xlfn.IFNA(VLOOKUP($AI341,Programma!$F$3:$O$1101,10,0),"")</f>
        <v>3w</v>
      </c>
      <c r="AS341" s="114" t="str">
        <f>_xlfn.IFNA(VLOOKUP($AI341,Programma!$F$3:$P$1101,11,0),"")</f>
        <v>3w</v>
      </c>
      <c r="AT341" s="114" t="str">
        <f>_xlfn.IFNA(VLOOKUP($AI341,Programma!$F$3:$Q$1101,12,0),"")</f>
        <v>1w</v>
      </c>
      <c r="AU341" s="114" t="str">
        <f>_xlfn.IFNA(VLOOKUP($AI341,Programma!$F$3:$R$1101,13,0),"")</f>
        <v>1w</v>
      </c>
      <c r="AV341" s="114" t="str">
        <f>_xlfn.IFNA(VLOOKUP($AI341,Programma!$F$3:$S$1101,14,0),"")</f>
        <v>1m</v>
      </c>
      <c r="AW341" s="114" t="str">
        <f>_xlfn.IFNA(VLOOKUP($AI341,Programma!$F$3:$T$1101,15,0),"")</f>
        <v>2j</v>
      </c>
      <c r="AX341" s="114" t="str">
        <f>_xlfn.IFNA(VLOOKUP($AI341,Programma!$F$3:$U$1101,16,0),"")</f>
        <v>1j</v>
      </c>
      <c r="AY341" s="114" t="str">
        <f>_xlfn.IFNA(VLOOKUP($AI341,Programma!$F$3:$V$1101,17,0),"")</f>
        <v>_</v>
      </c>
      <c r="AZ341" s="114" t="str">
        <f>_xlfn.IFNA(VLOOKUP($AI341,Programma!$F$3:$W$1101,18,0),"")</f>
        <v>_</v>
      </c>
      <c r="BA341" s="114" t="str">
        <f>_xlfn.IFNA(VLOOKUP($AI341,Programma!$F$3:$X$1101,19,0),"")</f>
        <v>_</v>
      </c>
      <c r="BB341" s="114" t="str">
        <f>_xlfn.IFNA(VLOOKUP($AI341,Programma!$F$3:$Y$1101,20,0),"")</f>
        <v>_</v>
      </c>
      <c r="BC341" s="111"/>
      <c r="BD341" s="110" t="str">
        <f>IF(Ruimtestaat[[#This Row],[Frequentie weekend]]="","",_xlfn.CONCAT(Ruimtestaat[[#This Row],[Ruimte code]],"-",Ruimtestaat[[#This Row],[Frequentie weekend]]," ",Ruimtestaat[[#This Row],[Vloer code]]))</f>
        <v/>
      </c>
      <c r="BE341" s="114" t="str">
        <f>_xlfn.IFNA(VLOOKUP($BD341,Programma!$F$3:$G$1101,2,0),"")</f>
        <v/>
      </c>
      <c r="BF341" s="114" t="str">
        <f>_xlfn.IFNA(VLOOKUP($BD341,Programma!$F$3:$H$1101,3,0),"")</f>
        <v/>
      </c>
      <c r="BG341" s="114" t="str">
        <f>_xlfn.IFNA(VLOOKUP($BD341,Programma!$F$3:$I$1101,4,0),"")</f>
        <v/>
      </c>
      <c r="BH341" s="114" t="str">
        <f>_xlfn.IFNA(VLOOKUP($BD341,Programma!$F$3:$J$1101,5,0),"")</f>
        <v/>
      </c>
      <c r="BI341" s="114" t="str">
        <f>_xlfn.IFNA(VLOOKUP($BD341,Programma!$F$3:$K$1101,6,0),"")</f>
        <v/>
      </c>
      <c r="BJ341" s="114" t="str">
        <f>_xlfn.IFNA(VLOOKUP($BD341,Programma!$F$3:$L$1101,7,0),"")</f>
        <v/>
      </c>
      <c r="BK341" s="114" t="str">
        <f>_xlfn.IFNA(VLOOKUP($BD341,Programma!$F$3:$M$1101,8,0),"")</f>
        <v/>
      </c>
      <c r="BL341" s="114" t="str">
        <f>_xlfn.IFNA(VLOOKUP($BD341,Programma!$F$3:$N$1101,9,0),"")</f>
        <v/>
      </c>
      <c r="BM341" s="114" t="str">
        <f>_xlfn.IFNA(VLOOKUP($BD341,Programma!$F$3:$O$1101,10,0),"")</f>
        <v/>
      </c>
      <c r="BN341" s="114" t="str">
        <f>_xlfn.IFNA(VLOOKUP($BD341,Programma!$F$3:$P$1101,11,0),"")</f>
        <v/>
      </c>
      <c r="BO341" s="114" t="str">
        <f>_xlfn.IFNA(VLOOKUP($BD341,Programma!$F$3:$Q$1101,12,0),"")</f>
        <v/>
      </c>
      <c r="BP341" s="114" t="str">
        <f>_xlfn.IFNA(VLOOKUP($BD341,Programma!$F$3:$R$1101,13,0),"")</f>
        <v/>
      </c>
      <c r="BQ341" s="114" t="str">
        <f>_xlfn.IFNA(VLOOKUP($BD341,Programma!$F$3:$S$1101,14,0),"")</f>
        <v/>
      </c>
      <c r="BR341" s="114" t="str">
        <f>_xlfn.IFNA(VLOOKUP($BD341,Programma!$F$3:$T$1101,15,0),"")</f>
        <v/>
      </c>
      <c r="BS341" s="114" t="str">
        <f>_xlfn.IFNA(VLOOKUP($BD341,Programma!$F$3:$U$1101,16,0),"")</f>
        <v/>
      </c>
      <c r="BT341" s="114" t="str">
        <f>_xlfn.IFNA(VLOOKUP($BD341,Programma!$F$3:$V$1101,17,0),"")</f>
        <v/>
      </c>
      <c r="BU341" s="114" t="str">
        <f>_xlfn.IFNA(VLOOKUP($BD341,Programma!$F$3:$W$1101,18,0),"")</f>
        <v/>
      </c>
      <c r="BV341" s="114" t="str">
        <f>_xlfn.IFNA(VLOOKUP($BD341,Programma!$F$3:$X$1101,19,0),"")</f>
        <v/>
      </c>
      <c r="BW341" s="114" t="str">
        <f>_xlfn.IFNA(VLOOKUP($BD341,Programma!$F$3:$Y$1101,20,0),"")</f>
        <v/>
      </c>
      <c r="BX341" s="28"/>
      <c r="BY341" s="28"/>
      <c r="BZ341" s="28"/>
      <c r="CA341" s="28"/>
      <c r="CB341" s="28"/>
      <c r="CC341" s="28"/>
      <c r="CD341" s="28"/>
      <c r="CE341" s="28"/>
      <c r="CF341" s="28"/>
      <c r="CG341" s="28"/>
      <c r="CH341" s="28"/>
      <c r="CI341" s="28"/>
      <c r="CJ341" s="28"/>
      <c r="CK341" s="28"/>
      <c r="CL341" s="28"/>
      <c r="CM341" s="28"/>
      <c r="CN341" s="28"/>
      <c r="CO341" s="28"/>
      <c r="CP341" s="28"/>
      <c r="CQ341" s="28"/>
      <c r="CR341" s="28"/>
      <c r="CS341" s="28"/>
      <c r="CT341" s="28"/>
      <c r="CU341" s="28"/>
      <c r="CV341" s="28"/>
      <c r="CW341" s="28"/>
      <c r="CX341" s="28"/>
      <c r="CY341" s="28"/>
      <c r="CZ341" s="28"/>
      <c r="DA341" s="28"/>
      <c r="DB341" s="28"/>
      <c r="DC341" s="28"/>
      <c r="DD341" s="28"/>
      <c r="DE341" s="28"/>
      <c r="DF341" s="28"/>
      <c r="DG341" s="28"/>
      <c r="DH341" s="28"/>
      <c r="DI341" s="28"/>
      <c r="DJ341" s="28"/>
      <c r="DK341" s="28"/>
      <c r="DL341" s="28"/>
      <c r="DM341" s="28"/>
      <c r="DN341" s="28"/>
      <c r="DO341" s="28"/>
      <c r="DP341" s="28"/>
      <c r="DQ341" s="28"/>
      <c r="DR341" s="28"/>
      <c r="DS341" s="28"/>
      <c r="DT341" s="28"/>
      <c r="DU341" s="28"/>
      <c r="DV341" s="28"/>
      <c r="DW341" s="28"/>
      <c r="DX341" s="28"/>
      <c r="DY341" s="28"/>
      <c r="DZ341" s="28"/>
      <c r="EA341" s="28"/>
      <c r="EB341" s="28"/>
      <c r="EC341" s="28"/>
      <c r="ED341" s="28"/>
      <c r="EE341" s="28"/>
      <c r="EF341" s="28"/>
      <c r="EG341" s="28"/>
      <c r="EH341" s="28"/>
      <c r="EI341" s="28"/>
      <c r="EJ341" s="28"/>
      <c r="EK341" s="28"/>
      <c r="EL341" s="28"/>
      <c r="EM341" s="28"/>
      <c r="EN341" s="28"/>
      <c r="EO341" s="28"/>
      <c r="EP341" s="28"/>
      <c r="EQ341" s="28"/>
      <c r="ER341" s="28"/>
      <c r="ES341" s="28"/>
      <c r="ET341" s="28"/>
      <c r="EU341" s="28"/>
      <c r="EV341" s="28"/>
      <c r="EW341" s="28"/>
      <c r="EX341" s="28"/>
      <c r="EY341" s="28"/>
      <c r="EZ341" s="28"/>
      <c r="FA341" s="28"/>
      <c r="FB341" s="28"/>
      <c r="FC341" s="28"/>
      <c r="FD341" s="28"/>
      <c r="FE341" s="28"/>
      <c r="FF341" s="28"/>
      <c r="FG341" s="28"/>
      <c r="FH341" s="28"/>
      <c r="FI341" s="28"/>
      <c r="FJ341" s="28"/>
      <c r="FK341" s="28"/>
      <c r="FL341" s="28"/>
      <c r="FM341" s="28"/>
      <c r="FN341" s="28"/>
      <c r="FO341" s="28"/>
      <c r="FP341" s="28"/>
      <c r="FQ341" s="28"/>
      <c r="FR341" s="28"/>
      <c r="FS341" s="28"/>
      <c r="FT341" s="28"/>
      <c r="FU341" s="28"/>
      <c r="FV341" s="28"/>
      <c r="FW341" s="28"/>
      <c r="FX341" s="28"/>
      <c r="FY341" s="28"/>
      <c r="FZ341" s="28"/>
      <c r="GA341" s="28"/>
      <c r="GB341" s="28"/>
      <c r="GC341" s="28"/>
      <c r="GD341" s="28"/>
      <c r="GE341" s="28"/>
      <c r="GF341" s="28"/>
      <c r="GG341" s="28"/>
      <c r="GH341" s="28"/>
      <c r="GI341" s="28"/>
      <c r="GJ341" s="28"/>
      <c r="GK341" s="28"/>
      <c r="GL341" s="28"/>
      <c r="GM341" s="28"/>
      <c r="GN341" s="28"/>
      <c r="GO341" s="28"/>
      <c r="GP341" s="28"/>
      <c r="GQ341" s="28"/>
      <c r="GR341" s="28"/>
      <c r="GS341" s="28"/>
      <c r="GT341" s="28"/>
      <c r="GU341" s="28"/>
      <c r="GV341" s="28"/>
      <c r="GW341" s="28"/>
      <c r="GX341" s="28"/>
      <c r="GY341" s="28"/>
      <c r="GZ341" s="28"/>
      <c r="HA341" s="28"/>
      <c r="HB341" s="28"/>
      <c r="HC341" s="28"/>
      <c r="HD341" s="28"/>
      <c r="HE341" s="28"/>
      <c r="HF341" s="28"/>
      <c r="HG341" s="28"/>
      <c r="HH341" s="28"/>
      <c r="HI341" s="28"/>
      <c r="HJ341" s="28"/>
      <c r="HK341" s="28"/>
      <c r="HL341" s="28"/>
    </row>
    <row r="342" spans="1:220" ht="15" customHeight="1">
      <c r="A342" s="31">
        <v>7</v>
      </c>
      <c r="B342" s="105" t="str">
        <f>VLOOKUP(Ruimtestaat[[#This Row],[Code]],Locaties[[Code]:[Locatie]],2,FALSE)</f>
        <v>Montessori IKC De Groene Ring</v>
      </c>
      <c r="C342" s="105" t="str">
        <f>VLOOKUP(Ruimtestaat[[#This Row],[Code]],Locaties[[#All],[Code]:[Adres]],4,FALSE)</f>
        <v>Bergdravik 2</v>
      </c>
      <c r="D342" s="105" t="str">
        <f>VLOOKUP(Ruimtestaat[[#This Row],[Code]],Locaties[[#All],[Code]:[Postcode]],5,FALSE)</f>
        <v>6922 HM</v>
      </c>
      <c r="E342" s="105" t="str">
        <f>VLOOKUP(Ruimtestaat[[#This Row],[Code]],Locaties[#All],6,FALSE)</f>
        <v>Duiven</v>
      </c>
      <c r="F342" s="113"/>
      <c r="I342" s="113" t="s">
        <v>1733</v>
      </c>
      <c r="J342" s="31">
        <v>2</v>
      </c>
      <c r="K342" s="113" t="str">
        <f>VLOOKUP(Ruimtestaat[[#This Row],[Ruimte code]],Ruimtegroepen[[#All],[Code]:[Ruimte omschrijving]],2,FALSE)</f>
        <v>Kantoren</v>
      </c>
      <c r="L342" s="31" t="s">
        <v>100</v>
      </c>
      <c r="M342" s="31" t="s">
        <v>1975</v>
      </c>
      <c r="N342" s="106">
        <v>17</v>
      </c>
      <c r="O342" s="112"/>
      <c r="P342" s="112"/>
      <c r="Q342" s="107" t="str">
        <f>VLOOKUP(Ruimtestaat[[#This Row],[Ruimte code]],Ruimtegroepen[],4,FALSE)</f>
        <v>Bu</v>
      </c>
      <c r="R342" s="73">
        <v>40</v>
      </c>
      <c r="S342" s="73" t="s">
        <v>15</v>
      </c>
      <c r="T342" s="73">
        <f>IF(R342&gt;0,IF(RIGHT(Ruimtestaat[[#This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42" s="73">
        <f>IF(T342&gt;0,VLOOKUP($J342,Ruimtegroepen[],3,FALSE)*VLOOKUP($L342,Vloersoorten[],3,FALSE)*VLOOKUP($S342,Frequenties[],3,FALSE)*VLOOKUP($A342,Locaties[],3,FALSE),0)</f>
        <v>0</v>
      </c>
      <c r="V342" s="73">
        <f>Ruimtestaat[[#This Row],[Uitvoeringen werkdagen]]*Ruimtestaat[[#This Row],[Oppervlak (netto)]]</f>
        <v>680</v>
      </c>
      <c r="W342" s="108">
        <f>IF(U342&gt;0,Ruimtestaat[[#This Row],[Prest. (m2 /jaar) werkdagen]]/Ruimtestaat[[#This Row],[Norm (m2/uur) werkdagen]],0)</f>
        <v>0</v>
      </c>
      <c r="X342" s="109">
        <f>Ruimtestaat[[#This Row],[uren / jaar werkdagen]]*Tariefsopbouw!$E$35</f>
        <v>0</v>
      </c>
      <c r="Y342" s="73"/>
      <c r="Z342" s="73">
        <f>IF(Ruimtestaat[[#This Row],[Frequentie weekend]]&gt;0,VALUE(LEFT(Y342,1))*R342,0)</f>
        <v>0</v>
      </c>
      <c r="AA342" s="72">
        <f>IF($Z342&gt;0,VLOOKUP($J342,Ruimtegroepen[],3,FALSE)*VLOOKUP($L342,Vloersoorten[],3,FALSE)*VLOOKUP($Y342,Frequenties[],3,FALSE)*VLOOKUP(Ruimtestaat[[#This Row],[Code]],Locaties[],3,FALSE),0)</f>
        <v>0</v>
      </c>
      <c r="AB342" s="72">
        <f>Ruimtestaat[[#This Row],[Uitvoeringen weekend]]*Ruimtestaat[[#This Row],[Oppervlak (netto)]]</f>
        <v>0</v>
      </c>
      <c r="AC342" s="72">
        <f>IF(AA342&gt;0,Ruimtestaat[[#This Row],[Prest. (m2 /jaar) weekend]]/Ruimtestaat[[#This Row],[Norm (m2/uur) weekend]],0)</f>
        <v>0</v>
      </c>
      <c r="AD342" s="109">
        <f>Ruimtestaat[[#This Row],[uren / jaar weekend]]*Tariefsopbouw!$D$40</f>
        <v>0</v>
      </c>
      <c r="AE342" s="108">
        <f>Ruimtestaat[[#This Row],[Prest. (m2 /jaar) weekend]]+Ruimtestaat[[#This Row],[Prest. (m2 /jaar) werkdagen]]</f>
        <v>680</v>
      </c>
      <c r="AF342" s="108">
        <f>Ruimtestaat[[#This Row],[uren / jaar weekend]]+Ruimtestaat[[#This Row],[uren / jaar werkdagen]]</f>
        <v>0</v>
      </c>
      <c r="AG342" s="103">
        <f>Ruimtestaat[[#This Row],[kosten / jaar weekend]]+Ruimtestaat[[#This Row],[kosten / jaar werkdagen]]</f>
        <v>0</v>
      </c>
      <c r="AH342" s="103"/>
      <c r="AI342" s="110" t="str">
        <f>IF(Ruimtestaat[[#This Row],[Frequentie werkdagen]]="","",_xlfn.CONCAT(Ruimtestaat[[#This Row],[Ruimte code]],"-",Ruimtestaat[[#This Row],[Frequentie werkdagen]]," ",Ruimtestaat[[#This Row],[Vloer code]]))</f>
        <v>2-1w L</v>
      </c>
      <c r="AJ342" s="114" t="str">
        <f>_xlfn.IFNA(VLOOKUP($AI342,Programma!$F$3:$G$1101,2,0),"")</f>
        <v>_</v>
      </c>
      <c r="AK342" s="114" t="str">
        <f>_xlfn.IFNA(VLOOKUP($AI342,Programma!$F$3:$H$1101,3,0),"")</f>
        <v>_</v>
      </c>
      <c r="AL342" s="114" t="str">
        <f>_xlfn.IFNA(VLOOKUP($AI342,Programma!$F$3:$I$1101,4,0),"")</f>
        <v>_</v>
      </c>
      <c r="AM342" s="114" t="str">
        <f>_xlfn.IFNA(VLOOKUP($AI342,Programma!$F$3:$J$1101,5,0),"")</f>
        <v>1w</v>
      </c>
      <c r="AN342" s="114" t="str">
        <f>_xlfn.IFNA(VLOOKUP($AI342,Programma!$F$3:$K$1101,6,0),"")</f>
        <v>_</v>
      </c>
      <c r="AO342" s="114" t="str">
        <f>_xlfn.IFNA(VLOOKUP($AI342,Programma!$F$3:$L$1101,7,0),"")</f>
        <v>_</v>
      </c>
      <c r="AP342" s="114" t="str">
        <f>_xlfn.IFNA(VLOOKUP($AI342,Programma!$F$3:$M$1101,8,0),"")</f>
        <v>_</v>
      </c>
      <c r="AQ342" s="114" t="str">
        <f>_xlfn.IFNA(VLOOKUP($AI342,Programma!$F$3:$N$1101,9,0),"")</f>
        <v>_</v>
      </c>
      <c r="AR342" s="114" t="str">
        <f>_xlfn.IFNA(VLOOKUP($AI342,Programma!$F$3:$O$1101,10,0),"")</f>
        <v>1w</v>
      </c>
      <c r="AS342" s="114" t="str">
        <f>_xlfn.IFNA(VLOOKUP($AI342,Programma!$F$3:$P$1101,11,0),"")</f>
        <v>1w</v>
      </c>
      <c r="AT342" s="114" t="str">
        <f>_xlfn.IFNA(VLOOKUP($AI342,Programma!$F$3:$Q$1101,12,0),"")</f>
        <v>1w</v>
      </c>
      <c r="AU342" s="114" t="str">
        <f>_xlfn.IFNA(VLOOKUP($AI342,Programma!$F$3:$R$1101,13,0),"")</f>
        <v>1w</v>
      </c>
      <c r="AV342" s="114" t="str">
        <f>_xlfn.IFNA(VLOOKUP($AI342,Programma!$F$3:$S$1101,14,0),"")</f>
        <v>1m</v>
      </c>
      <c r="AW342" s="114" t="str">
        <f>_xlfn.IFNA(VLOOKUP($AI342,Programma!$F$3:$T$1101,15,0),"")</f>
        <v>2j</v>
      </c>
      <c r="AX342" s="114" t="str">
        <f>_xlfn.IFNA(VLOOKUP($AI342,Programma!$F$3:$U$1101,16,0),"")</f>
        <v>1j</v>
      </c>
      <c r="AY342" s="114" t="str">
        <f>_xlfn.IFNA(VLOOKUP($AI342,Programma!$F$3:$V$1101,17,0),"")</f>
        <v>_</v>
      </c>
      <c r="AZ342" s="114" t="str">
        <f>_xlfn.IFNA(VLOOKUP($AI342,Programma!$F$3:$W$1101,18,0),"")</f>
        <v>_</v>
      </c>
      <c r="BA342" s="114" t="str">
        <f>_xlfn.IFNA(VLOOKUP($AI342,Programma!$F$3:$X$1101,19,0),"")</f>
        <v>_</v>
      </c>
      <c r="BB342" s="114" t="str">
        <f>_xlfn.IFNA(VLOOKUP($AI342,Programma!$F$3:$Y$1101,20,0),"")</f>
        <v>_</v>
      </c>
      <c r="BC342" s="111"/>
      <c r="BD342" s="110" t="str">
        <f>IF(Ruimtestaat[[#This Row],[Frequentie weekend]]="","",_xlfn.CONCAT(Ruimtestaat[[#This Row],[Ruimte code]],"-",Ruimtestaat[[#This Row],[Frequentie weekend]]," ",Ruimtestaat[[#This Row],[Vloer code]]))</f>
        <v/>
      </c>
      <c r="BE342" s="114" t="str">
        <f>_xlfn.IFNA(VLOOKUP($BD342,Programma!$F$3:$G$1101,2,0),"")</f>
        <v/>
      </c>
      <c r="BF342" s="114" t="str">
        <f>_xlfn.IFNA(VLOOKUP($BD342,Programma!$F$3:$H$1101,3,0),"")</f>
        <v/>
      </c>
      <c r="BG342" s="114" t="str">
        <f>_xlfn.IFNA(VLOOKUP($BD342,Programma!$F$3:$I$1101,4,0),"")</f>
        <v/>
      </c>
      <c r="BH342" s="114" t="str">
        <f>_xlfn.IFNA(VLOOKUP($BD342,Programma!$F$3:$J$1101,5,0),"")</f>
        <v/>
      </c>
      <c r="BI342" s="114" t="str">
        <f>_xlfn.IFNA(VLOOKUP($BD342,Programma!$F$3:$K$1101,6,0),"")</f>
        <v/>
      </c>
      <c r="BJ342" s="114" t="str">
        <f>_xlfn.IFNA(VLOOKUP($BD342,Programma!$F$3:$L$1101,7,0),"")</f>
        <v/>
      </c>
      <c r="BK342" s="114" t="str">
        <f>_xlfn.IFNA(VLOOKUP($BD342,Programma!$F$3:$M$1101,8,0),"")</f>
        <v/>
      </c>
      <c r="BL342" s="114" t="str">
        <f>_xlfn.IFNA(VLOOKUP($BD342,Programma!$F$3:$N$1101,9,0),"")</f>
        <v/>
      </c>
      <c r="BM342" s="114" t="str">
        <f>_xlfn.IFNA(VLOOKUP($BD342,Programma!$F$3:$O$1101,10,0),"")</f>
        <v/>
      </c>
      <c r="BN342" s="114" t="str">
        <f>_xlfn.IFNA(VLOOKUP($BD342,Programma!$F$3:$P$1101,11,0),"")</f>
        <v/>
      </c>
      <c r="BO342" s="114" t="str">
        <f>_xlfn.IFNA(VLOOKUP($BD342,Programma!$F$3:$Q$1101,12,0),"")</f>
        <v/>
      </c>
      <c r="BP342" s="114" t="str">
        <f>_xlfn.IFNA(VLOOKUP($BD342,Programma!$F$3:$R$1101,13,0),"")</f>
        <v/>
      </c>
      <c r="BQ342" s="114" t="str">
        <f>_xlfn.IFNA(VLOOKUP($BD342,Programma!$F$3:$S$1101,14,0),"")</f>
        <v/>
      </c>
      <c r="BR342" s="114" t="str">
        <f>_xlfn.IFNA(VLOOKUP($BD342,Programma!$F$3:$T$1101,15,0),"")</f>
        <v/>
      </c>
      <c r="BS342" s="114" t="str">
        <f>_xlfn.IFNA(VLOOKUP($BD342,Programma!$F$3:$U$1101,16,0),"")</f>
        <v/>
      </c>
      <c r="BT342" s="114" t="str">
        <f>_xlfn.IFNA(VLOOKUP($BD342,Programma!$F$3:$V$1101,17,0),"")</f>
        <v/>
      </c>
      <c r="BU342" s="114" t="str">
        <f>_xlfn.IFNA(VLOOKUP($BD342,Programma!$F$3:$W$1101,18,0),"")</f>
        <v/>
      </c>
      <c r="BV342" s="114" t="str">
        <f>_xlfn.IFNA(VLOOKUP($BD342,Programma!$F$3:$X$1101,19,0),"")</f>
        <v/>
      </c>
      <c r="BW342" s="114" t="str">
        <f>_xlfn.IFNA(VLOOKUP($BD342,Programma!$F$3:$Y$1101,20,0),"")</f>
        <v/>
      </c>
      <c r="BX342" s="28"/>
      <c r="BY342" s="28"/>
      <c r="BZ342" s="28"/>
      <c r="CA342" s="28"/>
      <c r="CB342" s="28"/>
      <c r="CC342" s="28"/>
      <c r="CD342" s="28"/>
      <c r="CE342" s="28"/>
      <c r="CF342" s="28"/>
      <c r="CG342" s="28"/>
      <c r="CH342" s="28"/>
      <c r="CI342" s="28"/>
      <c r="CJ342" s="28"/>
      <c r="CK342" s="28"/>
      <c r="CL342" s="28"/>
      <c r="CM342" s="28"/>
      <c r="CN342" s="28"/>
      <c r="CO342" s="28"/>
      <c r="CP342" s="28"/>
      <c r="CQ342" s="28"/>
      <c r="CR342" s="28"/>
      <c r="CS342" s="28"/>
      <c r="CT342" s="28"/>
      <c r="CU342" s="28"/>
      <c r="CV342" s="28"/>
      <c r="CW342" s="28"/>
      <c r="CX342" s="28"/>
      <c r="CY342" s="28"/>
      <c r="CZ342" s="28"/>
      <c r="DA342" s="28"/>
      <c r="DB342" s="28"/>
      <c r="DC342" s="28"/>
      <c r="DD342" s="28"/>
      <c r="DE342" s="28"/>
      <c r="DF342" s="28"/>
      <c r="DG342" s="28"/>
      <c r="DH342" s="28"/>
      <c r="DI342" s="28"/>
      <c r="DJ342" s="28"/>
      <c r="DK342" s="28"/>
      <c r="DL342" s="28"/>
      <c r="DM342" s="28"/>
      <c r="DN342" s="28"/>
      <c r="DO342" s="28"/>
      <c r="DP342" s="28"/>
      <c r="DQ342" s="28"/>
      <c r="DR342" s="28"/>
      <c r="DS342" s="28"/>
      <c r="DT342" s="28"/>
      <c r="DU342" s="28"/>
      <c r="DV342" s="28"/>
      <c r="DW342" s="28"/>
      <c r="DX342" s="28"/>
      <c r="DY342" s="28"/>
      <c r="DZ342" s="28"/>
      <c r="EA342" s="28"/>
      <c r="EB342" s="28"/>
      <c r="EC342" s="28"/>
      <c r="ED342" s="28"/>
      <c r="EE342" s="28"/>
      <c r="EF342" s="28"/>
      <c r="EG342" s="28"/>
      <c r="EH342" s="28"/>
      <c r="EI342" s="28"/>
      <c r="EJ342" s="28"/>
      <c r="EK342" s="28"/>
      <c r="EL342" s="28"/>
      <c r="EM342" s="28"/>
      <c r="EN342" s="28"/>
      <c r="EO342" s="28"/>
      <c r="EP342" s="28"/>
      <c r="EQ342" s="28"/>
      <c r="ER342" s="28"/>
      <c r="ES342" s="28"/>
      <c r="ET342" s="28"/>
      <c r="EU342" s="28"/>
      <c r="EV342" s="28"/>
      <c r="EW342" s="28"/>
      <c r="EX342" s="28"/>
      <c r="EY342" s="28"/>
      <c r="EZ342" s="28"/>
      <c r="FA342" s="28"/>
      <c r="FB342" s="28"/>
      <c r="FC342" s="28"/>
      <c r="FD342" s="28"/>
      <c r="FE342" s="28"/>
      <c r="FF342" s="28"/>
      <c r="FG342" s="28"/>
      <c r="FH342" s="28"/>
      <c r="FI342" s="28"/>
      <c r="FJ342" s="28"/>
      <c r="FK342" s="28"/>
      <c r="FL342" s="28"/>
      <c r="FM342" s="28"/>
      <c r="FN342" s="28"/>
      <c r="FO342" s="28"/>
      <c r="FP342" s="28"/>
      <c r="FQ342" s="28"/>
      <c r="FR342" s="28"/>
      <c r="FS342" s="28"/>
      <c r="FT342" s="28"/>
      <c r="FU342" s="28"/>
      <c r="FV342" s="28"/>
      <c r="FW342" s="28"/>
      <c r="FX342" s="28"/>
      <c r="FY342" s="28"/>
      <c r="FZ342" s="28"/>
      <c r="GA342" s="28"/>
      <c r="GB342" s="28"/>
      <c r="GC342" s="28"/>
      <c r="GD342" s="28"/>
      <c r="GE342" s="28"/>
      <c r="GF342" s="28"/>
      <c r="GG342" s="28"/>
      <c r="GH342" s="28"/>
      <c r="GI342" s="28"/>
      <c r="GJ342" s="28"/>
      <c r="GK342" s="28"/>
      <c r="GL342" s="28"/>
      <c r="GM342" s="28"/>
      <c r="GN342" s="28"/>
      <c r="GO342" s="28"/>
      <c r="GP342" s="28"/>
      <c r="GQ342" s="28"/>
      <c r="GR342" s="28"/>
      <c r="GS342" s="28"/>
      <c r="GT342" s="28"/>
      <c r="GU342" s="28"/>
      <c r="GV342" s="28"/>
      <c r="GW342" s="28"/>
      <c r="GX342" s="28"/>
      <c r="GY342" s="28"/>
      <c r="GZ342" s="28"/>
      <c r="HA342" s="28"/>
      <c r="HB342" s="28"/>
      <c r="HC342" s="28"/>
      <c r="HD342" s="28"/>
      <c r="HE342" s="28"/>
      <c r="HF342" s="28"/>
      <c r="HG342" s="28"/>
      <c r="HH342" s="28"/>
      <c r="HI342" s="28"/>
      <c r="HJ342" s="28"/>
      <c r="HK342" s="28"/>
      <c r="HL342" s="28"/>
    </row>
    <row r="343" spans="1:220" ht="15" customHeight="1">
      <c r="A343" s="31">
        <v>7</v>
      </c>
      <c r="B343" s="105" t="str">
        <f>VLOOKUP(Ruimtestaat[[#This Row],[Code]],Locaties[[Code]:[Locatie]],2,FALSE)</f>
        <v>Montessori IKC De Groene Ring</v>
      </c>
      <c r="C343" s="105" t="str">
        <f>VLOOKUP(Ruimtestaat[[#This Row],[Code]],Locaties[[#All],[Code]:[Adres]],4,FALSE)</f>
        <v>Bergdravik 2</v>
      </c>
      <c r="D343" s="105" t="str">
        <f>VLOOKUP(Ruimtestaat[[#This Row],[Code]],Locaties[[#All],[Code]:[Postcode]],5,FALSE)</f>
        <v>6922 HM</v>
      </c>
      <c r="E343" s="105" t="str">
        <f>VLOOKUP(Ruimtestaat[[#This Row],[Code]],Locaties[#All],6,FALSE)</f>
        <v>Duiven</v>
      </c>
      <c r="F343" s="113"/>
      <c r="I343" s="113" t="s">
        <v>1960</v>
      </c>
      <c r="J343" s="31">
        <v>4</v>
      </c>
      <c r="K343" s="113" t="str">
        <f>VLOOKUP(Ruimtestaat[[#This Row],[Ruimte code]],Ruimtegroepen[[#All],[Code]:[Ruimte omschrijving]],2,FALSE)</f>
        <v>Vergader/spreekkamers</v>
      </c>
      <c r="L343" s="31" t="s">
        <v>100</v>
      </c>
      <c r="M343" s="31" t="s">
        <v>1975</v>
      </c>
      <c r="N343" s="106">
        <v>8</v>
      </c>
      <c r="O343" s="112"/>
      <c r="P343" s="112"/>
      <c r="Q343" s="107" t="str">
        <f>VLOOKUP(Ruimtestaat[[#This Row],[Ruimte code]],Ruimtegroepen[],4,FALSE)</f>
        <v>Bu</v>
      </c>
      <c r="R343" s="73">
        <v>40</v>
      </c>
      <c r="S343" s="73" t="s">
        <v>15</v>
      </c>
      <c r="T343" s="73">
        <f>IF(R343&gt;0,IF(RIGHT(Ruimtestaat[[#This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43" s="73">
        <f>IF(T343&gt;0,VLOOKUP($J343,Ruimtegroepen[],3,FALSE)*VLOOKUP($L343,Vloersoorten[],3,FALSE)*VLOOKUP($S343,Frequenties[],3,FALSE)*VLOOKUP($A343,Locaties[],3,FALSE),0)</f>
        <v>0</v>
      </c>
      <c r="V343" s="73">
        <f>Ruimtestaat[[#This Row],[Uitvoeringen werkdagen]]*Ruimtestaat[[#This Row],[Oppervlak (netto)]]</f>
        <v>320</v>
      </c>
      <c r="W343" s="108">
        <f>IF(U343&gt;0,Ruimtestaat[[#This Row],[Prest. (m2 /jaar) werkdagen]]/Ruimtestaat[[#This Row],[Norm (m2/uur) werkdagen]],0)</f>
        <v>0</v>
      </c>
      <c r="X343" s="109">
        <f>Ruimtestaat[[#This Row],[uren / jaar werkdagen]]*Tariefsopbouw!$E$35</f>
        <v>0</v>
      </c>
      <c r="Y343" s="73"/>
      <c r="Z343" s="73">
        <f>IF(Ruimtestaat[[#This Row],[Frequentie weekend]]&gt;0,VALUE(LEFT(Y343,1))*R343,0)</f>
        <v>0</v>
      </c>
      <c r="AA343" s="72">
        <f>IF($Z343&gt;0,VLOOKUP($J343,Ruimtegroepen[],3,FALSE)*VLOOKUP($L343,Vloersoorten[],3,FALSE)*VLOOKUP($Y343,Frequenties[],3,FALSE)*VLOOKUP(Ruimtestaat[[#This Row],[Code]],Locaties[],3,FALSE),0)</f>
        <v>0</v>
      </c>
      <c r="AB343" s="72">
        <f>Ruimtestaat[[#This Row],[Uitvoeringen weekend]]*Ruimtestaat[[#This Row],[Oppervlak (netto)]]</f>
        <v>0</v>
      </c>
      <c r="AC343" s="72">
        <f>IF(AA343&gt;0,Ruimtestaat[[#This Row],[Prest. (m2 /jaar) weekend]]/Ruimtestaat[[#This Row],[Norm (m2/uur) weekend]],0)</f>
        <v>0</v>
      </c>
      <c r="AD343" s="109">
        <f>Ruimtestaat[[#This Row],[uren / jaar weekend]]*Tariefsopbouw!$D$40</f>
        <v>0</v>
      </c>
      <c r="AE343" s="108">
        <f>Ruimtestaat[[#This Row],[Prest. (m2 /jaar) weekend]]+Ruimtestaat[[#This Row],[Prest. (m2 /jaar) werkdagen]]</f>
        <v>320</v>
      </c>
      <c r="AF343" s="108">
        <f>Ruimtestaat[[#This Row],[uren / jaar weekend]]+Ruimtestaat[[#This Row],[uren / jaar werkdagen]]</f>
        <v>0</v>
      </c>
      <c r="AG343" s="103">
        <f>Ruimtestaat[[#This Row],[kosten / jaar weekend]]+Ruimtestaat[[#This Row],[kosten / jaar werkdagen]]</f>
        <v>0</v>
      </c>
      <c r="AH343" s="103"/>
      <c r="AI343" s="110" t="str">
        <f>IF(Ruimtestaat[[#This Row],[Frequentie werkdagen]]="","",_xlfn.CONCAT(Ruimtestaat[[#This Row],[Ruimte code]],"-",Ruimtestaat[[#This Row],[Frequentie werkdagen]]," ",Ruimtestaat[[#This Row],[Vloer code]]))</f>
        <v>4-1w L</v>
      </c>
      <c r="AJ343" s="114" t="str">
        <f>_xlfn.IFNA(VLOOKUP($AI343,Programma!$F$3:$G$1101,2,0),"")</f>
        <v>_</v>
      </c>
      <c r="AK343" s="114" t="str">
        <f>_xlfn.IFNA(VLOOKUP($AI343,Programma!$F$3:$H$1101,3,0),"")</f>
        <v>_</v>
      </c>
      <c r="AL343" s="114" t="str">
        <f>_xlfn.IFNA(VLOOKUP($AI343,Programma!$F$3:$I$1101,4,0),"")</f>
        <v>_</v>
      </c>
      <c r="AM343" s="114" t="str">
        <f>_xlfn.IFNA(VLOOKUP($AI343,Programma!$F$3:$J$1101,5,0),"")</f>
        <v>1w</v>
      </c>
      <c r="AN343" s="114" t="str">
        <f>_xlfn.IFNA(VLOOKUP($AI343,Programma!$F$3:$K$1101,6,0),"")</f>
        <v>_</v>
      </c>
      <c r="AO343" s="114" t="str">
        <f>_xlfn.IFNA(VLOOKUP($AI343,Programma!$F$3:$L$1101,7,0),"")</f>
        <v>_</v>
      </c>
      <c r="AP343" s="114" t="str">
        <f>_xlfn.IFNA(VLOOKUP($AI343,Programma!$F$3:$M$1101,8,0),"")</f>
        <v>_</v>
      </c>
      <c r="AQ343" s="114" t="str">
        <f>_xlfn.IFNA(VLOOKUP($AI343,Programma!$F$3:$N$1101,9,0),"")</f>
        <v>_</v>
      </c>
      <c r="AR343" s="114" t="str">
        <f>_xlfn.IFNA(VLOOKUP($AI343,Programma!$F$3:$O$1101,10,0),"")</f>
        <v>1w</v>
      </c>
      <c r="AS343" s="114" t="str">
        <f>_xlfn.IFNA(VLOOKUP($AI343,Programma!$F$3:$P$1101,11,0),"")</f>
        <v>1w</v>
      </c>
      <c r="AT343" s="114" t="str">
        <f>_xlfn.IFNA(VLOOKUP($AI343,Programma!$F$3:$Q$1101,12,0),"")</f>
        <v>1w</v>
      </c>
      <c r="AU343" s="114" t="str">
        <f>_xlfn.IFNA(VLOOKUP($AI343,Programma!$F$3:$R$1101,13,0),"")</f>
        <v>1w</v>
      </c>
      <c r="AV343" s="114" t="str">
        <f>_xlfn.IFNA(VLOOKUP($AI343,Programma!$F$3:$S$1101,14,0),"")</f>
        <v>1m</v>
      </c>
      <c r="AW343" s="114" t="str">
        <f>_xlfn.IFNA(VLOOKUP($AI343,Programma!$F$3:$T$1101,15,0),"")</f>
        <v>2j</v>
      </c>
      <c r="AX343" s="114" t="str">
        <f>_xlfn.IFNA(VLOOKUP($AI343,Programma!$F$3:$U$1101,16,0),"")</f>
        <v>1j</v>
      </c>
      <c r="AY343" s="114" t="str">
        <f>_xlfn.IFNA(VLOOKUP($AI343,Programma!$F$3:$V$1101,17,0),"")</f>
        <v>_</v>
      </c>
      <c r="AZ343" s="114" t="str">
        <f>_xlfn.IFNA(VLOOKUP($AI343,Programma!$F$3:$W$1101,18,0),"")</f>
        <v>_</v>
      </c>
      <c r="BA343" s="114" t="str">
        <f>_xlfn.IFNA(VLOOKUP($AI343,Programma!$F$3:$X$1101,19,0),"")</f>
        <v>_</v>
      </c>
      <c r="BB343" s="114" t="str">
        <f>_xlfn.IFNA(VLOOKUP($AI343,Programma!$F$3:$Y$1101,20,0),"")</f>
        <v>_</v>
      </c>
      <c r="BC343" s="111"/>
      <c r="BD343" s="110" t="str">
        <f>IF(Ruimtestaat[[#This Row],[Frequentie weekend]]="","",_xlfn.CONCAT(Ruimtestaat[[#This Row],[Ruimte code]],"-",Ruimtestaat[[#This Row],[Frequentie weekend]]," ",Ruimtestaat[[#This Row],[Vloer code]]))</f>
        <v/>
      </c>
      <c r="BE343" s="114" t="str">
        <f>_xlfn.IFNA(VLOOKUP($BD343,Programma!$F$3:$G$1101,2,0),"")</f>
        <v/>
      </c>
      <c r="BF343" s="114" t="str">
        <f>_xlfn.IFNA(VLOOKUP($BD343,Programma!$F$3:$H$1101,3,0),"")</f>
        <v/>
      </c>
      <c r="BG343" s="114" t="str">
        <f>_xlfn.IFNA(VLOOKUP($BD343,Programma!$F$3:$I$1101,4,0),"")</f>
        <v/>
      </c>
      <c r="BH343" s="114" t="str">
        <f>_xlfn.IFNA(VLOOKUP($BD343,Programma!$F$3:$J$1101,5,0),"")</f>
        <v/>
      </c>
      <c r="BI343" s="114" t="str">
        <f>_xlfn.IFNA(VLOOKUP($BD343,Programma!$F$3:$K$1101,6,0),"")</f>
        <v/>
      </c>
      <c r="BJ343" s="114" t="str">
        <f>_xlfn.IFNA(VLOOKUP($BD343,Programma!$F$3:$L$1101,7,0),"")</f>
        <v/>
      </c>
      <c r="BK343" s="114" t="str">
        <f>_xlfn.IFNA(VLOOKUP($BD343,Programma!$F$3:$M$1101,8,0),"")</f>
        <v/>
      </c>
      <c r="BL343" s="114" t="str">
        <f>_xlfn.IFNA(VLOOKUP($BD343,Programma!$F$3:$N$1101,9,0),"")</f>
        <v/>
      </c>
      <c r="BM343" s="114" t="str">
        <f>_xlfn.IFNA(VLOOKUP($BD343,Programma!$F$3:$O$1101,10,0),"")</f>
        <v/>
      </c>
      <c r="BN343" s="114" t="str">
        <f>_xlfn.IFNA(VLOOKUP($BD343,Programma!$F$3:$P$1101,11,0),"")</f>
        <v/>
      </c>
      <c r="BO343" s="114" t="str">
        <f>_xlfn.IFNA(VLOOKUP($BD343,Programma!$F$3:$Q$1101,12,0),"")</f>
        <v/>
      </c>
      <c r="BP343" s="114" t="str">
        <f>_xlfn.IFNA(VLOOKUP($BD343,Programma!$F$3:$R$1101,13,0),"")</f>
        <v/>
      </c>
      <c r="BQ343" s="114" t="str">
        <f>_xlfn.IFNA(VLOOKUP($BD343,Programma!$F$3:$S$1101,14,0),"")</f>
        <v/>
      </c>
      <c r="BR343" s="114" t="str">
        <f>_xlfn.IFNA(VLOOKUP($BD343,Programma!$F$3:$T$1101,15,0),"")</f>
        <v/>
      </c>
      <c r="BS343" s="114" t="str">
        <f>_xlfn.IFNA(VLOOKUP($BD343,Programma!$F$3:$U$1101,16,0),"")</f>
        <v/>
      </c>
      <c r="BT343" s="114" t="str">
        <f>_xlfn.IFNA(VLOOKUP($BD343,Programma!$F$3:$V$1101,17,0),"")</f>
        <v/>
      </c>
      <c r="BU343" s="114" t="str">
        <f>_xlfn.IFNA(VLOOKUP($BD343,Programma!$F$3:$W$1101,18,0),"")</f>
        <v/>
      </c>
      <c r="BV343" s="114" t="str">
        <f>_xlfn.IFNA(VLOOKUP($BD343,Programma!$F$3:$X$1101,19,0),"")</f>
        <v/>
      </c>
      <c r="BW343" s="114" t="str">
        <f>_xlfn.IFNA(VLOOKUP($BD343,Programma!$F$3:$Y$1101,20,0),"")</f>
        <v/>
      </c>
      <c r="BX343" s="28"/>
      <c r="BY343" s="28"/>
      <c r="BZ343" s="28"/>
      <c r="CA343" s="28"/>
      <c r="CB343" s="28"/>
      <c r="CC343" s="28"/>
      <c r="CD343" s="28"/>
      <c r="CE343" s="28"/>
      <c r="CF343" s="28"/>
      <c r="CG343" s="28"/>
      <c r="CH343" s="28"/>
      <c r="CI343" s="28"/>
      <c r="CJ343" s="28"/>
      <c r="CK343" s="28"/>
      <c r="CL343" s="28"/>
      <c r="CM343" s="28"/>
      <c r="CN343" s="28"/>
      <c r="CO343" s="28"/>
      <c r="CP343" s="28"/>
      <c r="CQ343" s="28"/>
      <c r="CR343" s="28"/>
      <c r="CS343" s="28"/>
      <c r="CT343" s="28"/>
      <c r="CU343" s="28"/>
      <c r="CV343" s="28"/>
      <c r="CW343" s="28"/>
      <c r="CX343" s="28"/>
      <c r="CY343" s="28"/>
      <c r="CZ343" s="28"/>
      <c r="DA343" s="28"/>
      <c r="DB343" s="28"/>
      <c r="DC343" s="28"/>
      <c r="DD343" s="28"/>
      <c r="DE343" s="28"/>
      <c r="DF343" s="28"/>
      <c r="DG343" s="28"/>
      <c r="DH343" s="28"/>
      <c r="DI343" s="28"/>
      <c r="DJ343" s="28"/>
      <c r="DK343" s="28"/>
      <c r="DL343" s="28"/>
      <c r="DM343" s="28"/>
      <c r="DN343" s="28"/>
      <c r="DO343" s="28"/>
      <c r="DP343" s="28"/>
      <c r="DQ343" s="28"/>
      <c r="DR343" s="28"/>
      <c r="DS343" s="28"/>
      <c r="DT343" s="28"/>
      <c r="DU343" s="28"/>
      <c r="DV343" s="28"/>
      <c r="DW343" s="28"/>
      <c r="DX343" s="28"/>
      <c r="DY343" s="28"/>
      <c r="DZ343" s="28"/>
      <c r="EA343" s="28"/>
      <c r="EB343" s="28"/>
      <c r="EC343" s="28"/>
      <c r="ED343" s="28"/>
      <c r="EE343" s="28"/>
      <c r="EF343" s="28"/>
      <c r="EG343" s="28"/>
      <c r="EH343" s="28"/>
      <c r="EI343" s="28"/>
      <c r="EJ343" s="28"/>
      <c r="EK343" s="28"/>
      <c r="EL343" s="28"/>
      <c r="EM343" s="28"/>
      <c r="EN343" s="28"/>
      <c r="EO343" s="28"/>
      <c r="EP343" s="28"/>
      <c r="EQ343" s="28"/>
      <c r="ER343" s="28"/>
      <c r="ES343" s="28"/>
      <c r="ET343" s="28"/>
      <c r="EU343" s="28"/>
      <c r="EV343" s="28"/>
      <c r="EW343" s="28"/>
      <c r="EX343" s="28"/>
      <c r="EY343" s="28"/>
      <c r="EZ343" s="28"/>
      <c r="FA343" s="28"/>
      <c r="FB343" s="28"/>
      <c r="FC343" s="28"/>
      <c r="FD343" s="28"/>
      <c r="FE343" s="28"/>
      <c r="FF343" s="28"/>
      <c r="FG343" s="28"/>
      <c r="FH343" s="28"/>
      <c r="FI343" s="28"/>
      <c r="FJ343" s="28"/>
      <c r="FK343" s="28"/>
      <c r="FL343" s="28"/>
      <c r="FM343" s="28"/>
      <c r="FN343" s="28"/>
      <c r="FO343" s="28"/>
      <c r="FP343" s="28"/>
      <c r="FQ343" s="28"/>
      <c r="FR343" s="28"/>
      <c r="FS343" s="28"/>
      <c r="FT343" s="28"/>
      <c r="FU343" s="28"/>
      <c r="FV343" s="28"/>
      <c r="FW343" s="28"/>
      <c r="FX343" s="28"/>
      <c r="FY343" s="28"/>
      <c r="FZ343" s="28"/>
      <c r="GA343" s="28"/>
      <c r="GB343" s="28"/>
      <c r="GC343" s="28"/>
      <c r="GD343" s="28"/>
      <c r="GE343" s="28"/>
      <c r="GF343" s="28"/>
      <c r="GG343" s="28"/>
      <c r="GH343" s="28"/>
      <c r="GI343" s="28"/>
      <c r="GJ343" s="28"/>
      <c r="GK343" s="28"/>
      <c r="GL343" s="28"/>
      <c r="GM343" s="28"/>
      <c r="GN343" s="28"/>
      <c r="GO343" s="28"/>
      <c r="GP343" s="28"/>
      <c r="GQ343" s="28"/>
      <c r="GR343" s="28"/>
      <c r="GS343" s="28"/>
      <c r="GT343" s="28"/>
      <c r="GU343" s="28"/>
      <c r="GV343" s="28"/>
      <c r="GW343" s="28"/>
      <c r="GX343" s="28"/>
      <c r="GY343" s="28"/>
      <c r="GZ343" s="28"/>
      <c r="HA343" s="28"/>
      <c r="HB343" s="28"/>
      <c r="HC343" s="28"/>
      <c r="HD343" s="28"/>
      <c r="HE343" s="28"/>
      <c r="HF343" s="28"/>
      <c r="HG343" s="28"/>
      <c r="HH343" s="28"/>
      <c r="HI343" s="28"/>
      <c r="HJ343" s="28"/>
      <c r="HK343" s="28"/>
      <c r="HL343" s="28"/>
    </row>
    <row r="344" spans="1:220" ht="15" customHeight="1">
      <c r="A344" s="31">
        <v>7</v>
      </c>
      <c r="B344" s="105" t="str">
        <f>VLOOKUP(Ruimtestaat[[#This Row],[Code]],Locaties[[Code]:[Locatie]],2,FALSE)</f>
        <v>Montessori IKC De Groene Ring</v>
      </c>
      <c r="C344" s="105" t="str">
        <f>VLOOKUP(Ruimtestaat[[#This Row],[Code]],Locaties[[#All],[Code]:[Adres]],4,FALSE)</f>
        <v>Bergdravik 2</v>
      </c>
      <c r="D344" s="105" t="str">
        <f>VLOOKUP(Ruimtestaat[[#This Row],[Code]],Locaties[[#All],[Code]:[Postcode]],5,FALSE)</f>
        <v>6922 HM</v>
      </c>
      <c r="E344" s="105" t="str">
        <f>VLOOKUP(Ruimtestaat[[#This Row],[Code]],Locaties[#All],6,FALSE)</f>
        <v>Duiven</v>
      </c>
      <c r="F344" s="113" t="s">
        <v>1824</v>
      </c>
      <c r="I344" s="113" t="s">
        <v>1961</v>
      </c>
      <c r="J344" s="31">
        <v>8</v>
      </c>
      <c r="K344" s="113" t="str">
        <f>VLOOKUP(Ruimtestaat[[#This Row],[Ruimte code]],Ruimtegroepen[[#All],[Code]:[Ruimte omschrijving]],2,FALSE)</f>
        <v>Kinderopvang</v>
      </c>
      <c r="L344" s="31" t="s">
        <v>100</v>
      </c>
      <c r="M344" s="31" t="s">
        <v>1975</v>
      </c>
      <c r="N344" s="106">
        <v>67</v>
      </c>
      <c r="O344" s="112"/>
      <c r="P344" s="112"/>
      <c r="Q344" s="107" t="str">
        <f>VLOOKUP(Ruimtestaat[[#This Row],[Ruimte code]],Ruimtegroepen[],4,FALSE)</f>
        <v>Le</v>
      </c>
      <c r="R344" s="73">
        <v>40</v>
      </c>
      <c r="S344" s="73" t="s">
        <v>2</v>
      </c>
      <c r="T344" s="73">
        <f>IF(R344&gt;0,IF(RIGHT(Ruimtestaat[[#This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4" s="73">
        <f>IF(T344&gt;0,VLOOKUP($J344,Ruimtegroepen[],3,FALSE)*VLOOKUP($L344,Vloersoorten[],3,FALSE)*VLOOKUP($S344,Frequenties[],3,FALSE)*VLOOKUP($A344,Locaties[],3,FALSE),0)</f>
        <v>0</v>
      </c>
      <c r="V344" s="73">
        <f>Ruimtestaat[[#This Row],[Uitvoeringen werkdagen]]*Ruimtestaat[[#This Row],[Oppervlak (netto)]]</f>
        <v>13400</v>
      </c>
      <c r="W344" s="108">
        <f>IF(U344&gt;0,Ruimtestaat[[#This Row],[Prest. (m2 /jaar) werkdagen]]/Ruimtestaat[[#This Row],[Norm (m2/uur) werkdagen]],0)</f>
        <v>0</v>
      </c>
      <c r="X344" s="109">
        <f>Ruimtestaat[[#This Row],[uren / jaar werkdagen]]*Tariefsopbouw!$E$35</f>
        <v>0</v>
      </c>
      <c r="Y344" s="73"/>
      <c r="Z344" s="73">
        <f>IF(Ruimtestaat[[#This Row],[Frequentie weekend]]&gt;0,VALUE(LEFT(Y344,1))*R344,0)</f>
        <v>0</v>
      </c>
      <c r="AA344" s="72">
        <f>IF($Z344&gt;0,VLOOKUP($J344,Ruimtegroepen[],3,FALSE)*VLOOKUP($L344,Vloersoorten[],3,FALSE)*VLOOKUP($Y344,Frequenties[],3,FALSE)*VLOOKUP(Ruimtestaat[[#This Row],[Code]],Locaties[],3,FALSE),0)</f>
        <v>0</v>
      </c>
      <c r="AB344" s="72">
        <f>Ruimtestaat[[#This Row],[Uitvoeringen weekend]]*Ruimtestaat[[#This Row],[Oppervlak (netto)]]</f>
        <v>0</v>
      </c>
      <c r="AC344" s="72">
        <f>IF(AA344&gt;0,Ruimtestaat[[#This Row],[Prest. (m2 /jaar) weekend]]/Ruimtestaat[[#This Row],[Norm (m2/uur) weekend]],0)</f>
        <v>0</v>
      </c>
      <c r="AD344" s="109">
        <f>Ruimtestaat[[#This Row],[uren / jaar weekend]]*Tariefsopbouw!$D$40</f>
        <v>0</v>
      </c>
      <c r="AE344" s="108">
        <f>Ruimtestaat[[#This Row],[Prest. (m2 /jaar) weekend]]+Ruimtestaat[[#This Row],[Prest. (m2 /jaar) werkdagen]]</f>
        <v>13400</v>
      </c>
      <c r="AF344" s="108">
        <f>Ruimtestaat[[#This Row],[uren / jaar weekend]]+Ruimtestaat[[#This Row],[uren / jaar werkdagen]]</f>
        <v>0</v>
      </c>
      <c r="AG344" s="103">
        <f>Ruimtestaat[[#This Row],[kosten / jaar weekend]]+Ruimtestaat[[#This Row],[kosten / jaar werkdagen]]</f>
        <v>0</v>
      </c>
      <c r="AH344" s="103"/>
      <c r="AI344" s="110" t="str">
        <f>IF(Ruimtestaat[[#This Row],[Frequentie werkdagen]]="","",_xlfn.CONCAT(Ruimtestaat[[#This Row],[Ruimte code]],"-",Ruimtestaat[[#This Row],[Frequentie werkdagen]]," ",Ruimtestaat[[#This Row],[Vloer code]]))</f>
        <v>8-5w L</v>
      </c>
      <c r="AJ344" s="114" t="str">
        <f>_xlfn.IFNA(VLOOKUP($AI344,Programma!$F$3:$G$1101,2,0),"")</f>
        <v>_</v>
      </c>
      <c r="AK344" s="114" t="str">
        <f>_xlfn.IFNA(VLOOKUP($AI344,Programma!$F$3:$H$1101,3,0),"")</f>
        <v>_</v>
      </c>
      <c r="AL344" s="114" t="str">
        <f>_xlfn.IFNA(VLOOKUP($AI344,Programma!$F$3:$I$1101,4,0),"")</f>
        <v>4w</v>
      </c>
      <c r="AM344" s="114" t="str">
        <f>_xlfn.IFNA(VLOOKUP($AI344,Programma!$F$3:$J$1101,5,0),"")</f>
        <v>1w</v>
      </c>
      <c r="AN344" s="114" t="str">
        <f>_xlfn.IFNA(VLOOKUP($AI344,Programma!$F$3:$K$1101,6,0),"")</f>
        <v>_</v>
      </c>
      <c r="AO344" s="114" t="str">
        <f>_xlfn.IFNA(VLOOKUP($AI344,Programma!$F$3:$L$1101,7,0),"")</f>
        <v>_</v>
      </c>
      <c r="AP344" s="114" t="str">
        <f>_xlfn.IFNA(VLOOKUP($AI344,Programma!$F$3:$M$1101,8,0),"")</f>
        <v>_</v>
      </c>
      <c r="AQ344" s="114" t="str">
        <f>_xlfn.IFNA(VLOOKUP($AI344,Programma!$F$3:$N$1101,9,0),"")</f>
        <v>_</v>
      </c>
      <c r="AR344" s="114" t="str">
        <f>_xlfn.IFNA(VLOOKUP($AI344,Programma!$F$3:$O$1101,10,0),"")</f>
        <v>5w</v>
      </c>
      <c r="AS344" s="114" t="str">
        <f>_xlfn.IFNA(VLOOKUP($AI344,Programma!$F$3:$P$1101,11,0),"")</f>
        <v>5w</v>
      </c>
      <c r="AT344" s="114" t="str">
        <f>_xlfn.IFNA(VLOOKUP($AI344,Programma!$F$3:$Q$1101,12,0),"")</f>
        <v>1w</v>
      </c>
      <c r="AU344" s="114" t="str">
        <f>_xlfn.IFNA(VLOOKUP($AI344,Programma!$F$3:$R$1101,13,0),"")</f>
        <v>1w</v>
      </c>
      <c r="AV344" s="114" t="str">
        <f>_xlfn.IFNA(VLOOKUP($AI344,Programma!$F$3:$S$1101,14,0),"")</f>
        <v>1m</v>
      </c>
      <c r="AW344" s="114" t="str">
        <f>_xlfn.IFNA(VLOOKUP($AI344,Programma!$F$3:$T$1101,15,0),"")</f>
        <v>2j</v>
      </c>
      <c r="AX344" s="114" t="str">
        <f>_xlfn.IFNA(VLOOKUP($AI344,Programma!$F$3:$U$1101,16,0),"")</f>
        <v>1j</v>
      </c>
      <c r="AY344" s="114" t="str">
        <f>_xlfn.IFNA(VLOOKUP($AI344,Programma!$F$3:$V$1101,17,0),"")</f>
        <v>_</v>
      </c>
      <c r="AZ344" s="114" t="str">
        <f>_xlfn.IFNA(VLOOKUP($AI344,Programma!$F$3:$W$1101,18,0),"")</f>
        <v>_</v>
      </c>
      <c r="BA344" s="114" t="str">
        <f>_xlfn.IFNA(VLOOKUP($AI344,Programma!$F$3:$X$1101,19,0),"")</f>
        <v>_</v>
      </c>
      <c r="BB344" s="114" t="str">
        <f>_xlfn.IFNA(VLOOKUP($AI344,Programma!$F$3:$Y$1101,20,0),"")</f>
        <v>_</v>
      </c>
      <c r="BC344" s="111"/>
      <c r="BD344" s="110" t="str">
        <f>IF(Ruimtestaat[[#This Row],[Frequentie weekend]]="","",_xlfn.CONCAT(Ruimtestaat[[#This Row],[Ruimte code]],"-",Ruimtestaat[[#This Row],[Frequentie weekend]]," ",Ruimtestaat[[#This Row],[Vloer code]]))</f>
        <v/>
      </c>
      <c r="BE344" s="114" t="str">
        <f>_xlfn.IFNA(VLOOKUP($BD344,Programma!$F$3:$G$1101,2,0),"")</f>
        <v/>
      </c>
      <c r="BF344" s="114" t="str">
        <f>_xlfn.IFNA(VLOOKUP($BD344,Programma!$F$3:$H$1101,3,0),"")</f>
        <v/>
      </c>
      <c r="BG344" s="114" t="str">
        <f>_xlfn.IFNA(VLOOKUP($BD344,Programma!$F$3:$I$1101,4,0),"")</f>
        <v/>
      </c>
      <c r="BH344" s="114" t="str">
        <f>_xlfn.IFNA(VLOOKUP($BD344,Programma!$F$3:$J$1101,5,0),"")</f>
        <v/>
      </c>
      <c r="BI344" s="114" t="str">
        <f>_xlfn.IFNA(VLOOKUP($BD344,Programma!$F$3:$K$1101,6,0),"")</f>
        <v/>
      </c>
      <c r="BJ344" s="114" t="str">
        <f>_xlfn.IFNA(VLOOKUP($BD344,Programma!$F$3:$L$1101,7,0),"")</f>
        <v/>
      </c>
      <c r="BK344" s="114" t="str">
        <f>_xlfn.IFNA(VLOOKUP($BD344,Programma!$F$3:$M$1101,8,0),"")</f>
        <v/>
      </c>
      <c r="BL344" s="114" t="str">
        <f>_xlfn.IFNA(VLOOKUP($BD344,Programma!$F$3:$N$1101,9,0),"")</f>
        <v/>
      </c>
      <c r="BM344" s="114" t="str">
        <f>_xlfn.IFNA(VLOOKUP($BD344,Programma!$F$3:$O$1101,10,0),"")</f>
        <v/>
      </c>
      <c r="BN344" s="114" t="str">
        <f>_xlfn.IFNA(VLOOKUP($BD344,Programma!$F$3:$P$1101,11,0),"")</f>
        <v/>
      </c>
      <c r="BO344" s="114" t="str">
        <f>_xlfn.IFNA(VLOOKUP($BD344,Programma!$F$3:$Q$1101,12,0),"")</f>
        <v/>
      </c>
      <c r="BP344" s="114" t="str">
        <f>_xlfn.IFNA(VLOOKUP($BD344,Programma!$F$3:$R$1101,13,0),"")</f>
        <v/>
      </c>
      <c r="BQ344" s="114" t="str">
        <f>_xlfn.IFNA(VLOOKUP($BD344,Programma!$F$3:$S$1101,14,0),"")</f>
        <v/>
      </c>
      <c r="BR344" s="114" t="str">
        <f>_xlfn.IFNA(VLOOKUP($BD344,Programma!$F$3:$T$1101,15,0),"")</f>
        <v/>
      </c>
      <c r="BS344" s="114" t="str">
        <f>_xlfn.IFNA(VLOOKUP($BD344,Programma!$F$3:$U$1101,16,0),"")</f>
        <v/>
      </c>
      <c r="BT344" s="114" t="str">
        <f>_xlfn.IFNA(VLOOKUP($BD344,Programma!$F$3:$V$1101,17,0),"")</f>
        <v/>
      </c>
      <c r="BU344" s="114" t="str">
        <f>_xlfn.IFNA(VLOOKUP($BD344,Programma!$F$3:$W$1101,18,0),"")</f>
        <v/>
      </c>
      <c r="BV344" s="114" t="str">
        <f>_xlfn.IFNA(VLOOKUP($BD344,Programma!$F$3:$X$1101,19,0),"")</f>
        <v/>
      </c>
      <c r="BW344" s="114" t="str">
        <f>_xlfn.IFNA(VLOOKUP($BD344,Programma!$F$3:$Y$1101,20,0),"")</f>
        <v/>
      </c>
      <c r="BX344" s="28"/>
      <c r="BY344" s="28"/>
      <c r="BZ344" s="28"/>
      <c r="CA344" s="28"/>
      <c r="CB344" s="28"/>
      <c r="CC344" s="28"/>
      <c r="CD344" s="28"/>
      <c r="CE344" s="28"/>
      <c r="CF344" s="28"/>
      <c r="CG344" s="28"/>
      <c r="CH344" s="28"/>
      <c r="CI344" s="28"/>
      <c r="CJ344" s="28"/>
      <c r="CK344" s="28"/>
      <c r="CL344" s="28"/>
      <c r="CM344" s="28"/>
      <c r="CN344" s="28"/>
      <c r="CO344" s="28"/>
      <c r="CP344" s="28"/>
      <c r="CQ344" s="28"/>
      <c r="CR344" s="28"/>
      <c r="CS344" s="28"/>
      <c r="CT344" s="28"/>
      <c r="CU344" s="28"/>
      <c r="CV344" s="28"/>
      <c r="CW344" s="28"/>
      <c r="CX344" s="28"/>
      <c r="CY344" s="28"/>
      <c r="CZ344" s="28"/>
      <c r="DA344" s="28"/>
      <c r="DB344" s="28"/>
      <c r="DC344" s="28"/>
      <c r="DD344" s="28"/>
      <c r="DE344" s="28"/>
      <c r="DF344" s="28"/>
      <c r="DG344" s="28"/>
      <c r="DH344" s="28"/>
      <c r="DI344" s="28"/>
      <c r="DJ344" s="28"/>
      <c r="DK344" s="28"/>
      <c r="DL344" s="28"/>
      <c r="DM344" s="28"/>
      <c r="DN344" s="28"/>
      <c r="DO344" s="28"/>
      <c r="DP344" s="28"/>
      <c r="DQ344" s="28"/>
      <c r="DR344" s="28"/>
      <c r="DS344" s="28"/>
      <c r="DT344" s="28"/>
      <c r="DU344" s="28"/>
      <c r="DV344" s="28"/>
      <c r="DW344" s="28"/>
      <c r="DX344" s="28"/>
      <c r="DY344" s="28"/>
      <c r="DZ344" s="28"/>
      <c r="EA344" s="28"/>
      <c r="EB344" s="28"/>
      <c r="EC344" s="28"/>
      <c r="ED344" s="28"/>
      <c r="EE344" s="28"/>
      <c r="EF344" s="28"/>
      <c r="EG344" s="28"/>
      <c r="EH344" s="28"/>
      <c r="EI344" s="28"/>
      <c r="EJ344" s="28"/>
      <c r="EK344" s="28"/>
      <c r="EL344" s="28"/>
      <c r="EM344" s="28"/>
      <c r="EN344" s="28"/>
      <c r="EO344" s="28"/>
      <c r="EP344" s="28"/>
      <c r="EQ344" s="28"/>
      <c r="ER344" s="28"/>
      <c r="ES344" s="28"/>
      <c r="ET344" s="28"/>
      <c r="EU344" s="28"/>
      <c r="EV344" s="28"/>
      <c r="EW344" s="28"/>
      <c r="EX344" s="28"/>
      <c r="EY344" s="28"/>
      <c r="EZ344" s="28"/>
      <c r="FA344" s="28"/>
      <c r="FB344" s="28"/>
      <c r="FC344" s="28"/>
      <c r="FD344" s="28"/>
      <c r="FE344" s="28"/>
      <c r="FF344" s="28"/>
      <c r="FG344" s="28"/>
      <c r="FH344" s="28"/>
      <c r="FI344" s="28"/>
      <c r="FJ344" s="28"/>
      <c r="FK344" s="28"/>
      <c r="FL344" s="28"/>
      <c r="FM344" s="28"/>
      <c r="FN344" s="28"/>
      <c r="FO344" s="28"/>
      <c r="FP344" s="28"/>
      <c r="FQ344" s="28"/>
      <c r="FR344" s="28"/>
      <c r="FS344" s="28"/>
      <c r="FT344" s="28"/>
      <c r="FU344" s="28"/>
      <c r="FV344" s="28"/>
      <c r="FW344" s="28"/>
      <c r="FX344" s="28"/>
      <c r="FY344" s="28"/>
      <c r="FZ344" s="28"/>
      <c r="GA344" s="28"/>
      <c r="GB344" s="28"/>
      <c r="GC344" s="28"/>
      <c r="GD344" s="28"/>
      <c r="GE344" s="28"/>
      <c r="GF344" s="28"/>
      <c r="GG344" s="28"/>
      <c r="GH344" s="28"/>
      <c r="GI344" s="28"/>
      <c r="GJ344" s="28"/>
      <c r="GK344" s="28"/>
      <c r="GL344" s="28"/>
      <c r="GM344" s="28"/>
      <c r="GN344" s="28"/>
      <c r="GO344" s="28"/>
      <c r="GP344" s="28"/>
      <c r="GQ344" s="28"/>
      <c r="GR344" s="28"/>
      <c r="GS344" s="28"/>
      <c r="GT344" s="28"/>
      <c r="GU344" s="28"/>
      <c r="GV344" s="28"/>
      <c r="GW344" s="28"/>
      <c r="GX344" s="28"/>
      <c r="GY344" s="28"/>
      <c r="GZ344" s="28"/>
      <c r="HA344" s="28"/>
      <c r="HB344" s="28"/>
      <c r="HC344" s="28"/>
      <c r="HD344" s="28"/>
      <c r="HE344" s="28"/>
      <c r="HF344" s="28"/>
      <c r="HG344" s="28"/>
      <c r="HH344" s="28"/>
      <c r="HI344" s="28"/>
      <c r="HJ344" s="28"/>
      <c r="HK344" s="28"/>
      <c r="HL344" s="28"/>
    </row>
    <row r="345" spans="1:220" ht="15" customHeight="1">
      <c r="A345" s="31">
        <v>7</v>
      </c>
      <c r="B345" s="105" t="str">
        <f>VLOOKUP(Ruimtestaat[[#This Row],[Code]],Locaties[[Code]:[Locatie]],2,FALSE)</f>
        <v>Montessori IKC De Groene Ring</v>
      </c>
      <c r="C345" s="105" t="str">
        <f>VLOOKUP(Ruimtestaat[[#This Row],[Code]],Locaties[[#All],[Code]:[Adres]],4,FALSE)</f>
        <v>Bergdravik 2</v>
      </c>
      <c r="D345" s="105" t="str">
        <f>VLOOKUP(Ruimtestaat[[#This Row],[Code]],Locaties[[#All],[Code]:[Postcode]],5,FALSE)</f>
        <v>6922 HM</v>
      </c>
      <c r="E345" s="105" t="str">
        <f>VLOOKUP(Ruimtestaat[[#This Row],[Code]],Locaties[#All],6,FALSE)</f>
        <v>Duiven</v>
      </c>
      <c r="F345" s="113" t="s">
        <v>1824</v>
      </c>
      <c r="I345" s="113" t="s">
        <v>1723</v>
      </c>
      <c r="J345" s="31">
        <v>5</v>
      </c>
      <c r="K345" s="113" t="str">
        <f>VLOOKUP(Ruimtestaat[[#This Row],[Ruimte code]],Ruimtegroepen[[#All],[Code]:[Ruimte omschrijving]],2,FALSE)</f>
        <v>Sanitair</v>
      </c>
      <c r="L345" s="31" t="s">
        <v>101</v>
      </c>
      <c r="M345" s="31" t="s">
        <v>1976</v>
      </c>
      <c r="N345" s="106">
        <v>4</v>
      </c>
      <c r="O345" s="112"/>
      <c r="P345" s="112"/>
      <c r="Q345" s="107" t="str">
        <f>VLOOKUP(Ruimtestaat[[#This Row],[Ruimte code]],Ruimtegroepen[],4,FALSE)</f>
        <v>Sa</v>
      </c>
      <c r="R345" s="73">
        <v>40</v>
      </c>
      <c r="S345" s="73" t="s">
        <v>2</v>
      </c>
      <c r="T345" s="73">
        <f>IF(R345&gt;0,IF(RIGHT(Ruimtestaat[[#This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5" s="73">
        <f>IF(T345&gt;0,VLOOKUP($J345,Ruimtegroepen[],3,FALSE)*VLOOKUP($L345,Vloersoorten[],3,FALSE)*VLOOKUP($S345,Frequenties[],3,FALSE)*VLOOKUP($A345,Locaties[],3,FALSE),0)</f>
        <v>0</v>
      </c>
      <c r="V345" s="73">
        <f>Ruimtestaat[[#This Row],[Uitvoeringen werkdagen]]*Ruimtestaat[[#This Row],[Oppervlak (netto)]]</f>
        <v>800</v>
      </c>
      <c r="W345" s="108">
        <f>IF(U345&gt;0,Ruimtestaat[[#This Row],[Prest. (m2 /jaar) werkdagen]]/Ruimtestaat[[#This Row],[Norm (m2/uur) werkdagen]],0)</f>
        <v>0</v>
      </c>
      <c r="X345" s="109">
        <f>Ruimtestaat[[#This Row],[uren / jaar werkdagen]]*Tariefsopbouw!$E$35</f>
        <v>0</v>
      </c>
      <c r="Y345" s="73"/>
      <c r="Z345" s="73">
        <f>IF(Ruimtestaat[[#This Row],[Frequentie weekend]]&gt;0,VALUE(LEFT(Y345,1))*R345,0)</f>
        <v>0</v>
      </c>
      <c r="AA345" s="72">
        <f>IF($Z345&gt;0,VLOOKUP($J345,Ruimtegroepen[],3,FALSE)*VLOOKUP($L345,Vloersoorten[],3,FALSE)*VLOOKUP($Y345,Frequenties[],3,FALSE)*VLOOKUP(Ruimtestaat[[#This Row],[Code]],Locaties[],3,FALSE),0)</f>
        <v>0</v>
      </c>
      <c r="AB345" s="72">
        <f>Ruimtestaat[[#This Row],[Uitvoeringen weekend]]*Ruimtestaat[[#This Row],[Oppervlak (netto)]]</f>
        <v>0</v>
      </c>
      <c r="AC345" s="72">
        <f>IF(AA345&gt;0,Ruimtestaat[[#This Row],[Prest. (m2 /jaar) weekend]]/Ruimtestaat[[#This Row],[Norm (m2/uur) weekend]],0)</f>
        <v>0</v>
      </c>
      <c r="AD345" s="109">
        <f>Ruimtestaat[[#This Row],[uren / jaar weekend]]*Tariefsopbouw!$D$40</f>
        <v>0</v>
      </c>
      <c r="AE345" s="108">
        <f>Ruimtestaat[[#This Row],[Prest. (m2 /jaar) weekend]]+Ruimtestaat[[#This Row],[Prest. (m2 /jaar) werkdagen]]</f>
        <v>800</v>
      </c>
      <c r="AF345" s="108">
        <f>Ruimtestaat[[#This Row],[uren / jaar weekend]]+Ruimtestaat[[#This Row],[uren / jaar werkdagen]]</f>
        <v>0</v>
      </c>
      <c r="AG345" s="103">
        <f>Ruimtestaat[[#This Row],[kosten / jaar weekend]]+Ruimtestaat[[#This Row],[kosten / jaar werkdagen]]</f>
        <v>0</v>
      </c>
      <c r="AH345" s="103"/>
      <c r="AI345" s="110" t="str">
        <f>IF(Ruimtestaat[[#This Row],[Frequentie werkdagen]]="","",_xlfn.CONCAT(Ruimtestaat[[#This Row],[Ruimte code]],"-",Ruimtestaat[[#This Row],[Frequentie werkdagen]]," ",Ruimtestaat[[#This Row],[Vloer code]]))</f>
        <v>5-5w S</v>
      </c>
      <c r="AJ345" s="114" t="str">
        <f>_xlfn.IFNA(VLOOKUP($AI345,Programma!$F$3:$G$1101,2,0),"")</f>
        <v>_</v>
      </c>
      <c r="AK345" s="114" t="str">
        <f>_xlfn.IFNA(VLOOKUP($AI345,Programma!$F$3:$H$1101,3,0),"")</f>
        <v>_</v>
      </c>
      <c r="AL345" s="114" t="str">
        <f>_xlfn.IFNA(VLOOKUP($AI345,Programma!$F$3:$I$1101,4,0),"")</f>
        <v>_</v>
      </c>
      <c r="AM345" s="114" t="str">
        <f>_xlfn.IFNA(VLOOKUP($AI345,Programma!$F$3:$J$1101,5,0),"")</f>
        <v>4w</v>
      </c>
      <c r="AN345" s="114" t="str">
        <f>_xlfn.IFNA(VLOOKUP($AI345,Programma!$F$3:$K$1101,6,0),"")</f>
        <v>1w</v>
      </c>
      <c r="AO345" s="114" t="str">
        <f>_xlfn.IFNA(VLOOKUP($AI345,Programma!$F$3:$L$1101,7,0),"")</f>
        <v>_</v>
      </c>
      <c r="AP345" s="114" t="str">
        <f>_xlfn.IFNA(VLOOKUP($AI345,Programma!$F$3:$M$1101,8,0),"")</f>
        <v>_</v>
      </c>
      <c r="AQ345" s="114" t="str">
        <f>_xlfn.IFNA(VLOOKUP($AI345,Programma!$F$3:$N$1101,9,0),"")</f>
        <v>_</v>
      </c>
      <c r="AR345" s="114" t="str">
        <f>_xlfn.IFNA(VLOOKUP($AI345,Programma!$F$3:$O$1101,10,0),"")</f>
        <v>_</v>
      </c>
      <c r="AS345" s="114" t="str">
        <f>_xlfn.IFNA(VLOOKUP($AI345,Programma!$F$3:$P$1101,11,0),"")</f>
        <v>_</v>
      </c>
      <c r="AT345" s="114" t="str">
        <f>_xlfn.IFNA(VLOOKUP($AI345,Programma!$F$3:$Q$1101,12,0),"")</f>
        <v>_</v>
      </c>
      <c r="AU345" s="114" t="str">
        <f>_xlfn.IFNA(VLOOKUP($AI345,Programma!$F$3:$R$1101,13,0),"")</f>
        <v>_</v>
      </c>
      <c r="AV345" s="114" t="str">
        <f>_xlfn.IFNA(VLOOKUP($AI345,Programma!$F$3:$S$1101,14,0),"")</f>
        <v>_</v>
      </c>
      <c r="AW345" s="114" t="str">
        <f>_xlfn.IFNA(VLOOKUP($AI345,Programma!$F$3:$T$1101,15,0),"")</f>
        <v>_</v>
      </c>
      <c r="AX345" s="114" t="str">
        <f>_xlfn.IFNA(VLOOKUP($AI345,Programma!$F$3:$U$1101,16,0),"")</f>
        <v>_</v>
      </c>
      <c r="AY345" s="114" t="str">
        <f>_xlfn.IFNA(VLOOKUP($AI345,Programma!$F$3:$V$1101,17,0),"")</f>
        <v>_</v>
      </c>
      <c r="AZ345" s="114" t="str">
        <f>_xlfn.IFNA(VLOOKUP($AI345,Programma!$F$3:$W$1101,18,0),"")</f>
        <v>4w</v>
      </c>
      <c r="BA345" s="114" t="str">
        <f>_xlfn.IFNA(VLOOKUP($AI345,Programma!$F$3:$X$1101,19,0),"")</f>
        <v>1w</v>
      </c>
      <c r="BB345" s="114" t="str">
        <f>_xlfn.IFNA(VLOOKUP($AI345,Programma!$F$3:$Y$1101,20,0),"")</f>
        <v>_</v>
      </c>
      <c r="BC345" s="111"/>
      <c r="BD345" s="110" t="str">
        <f>IF(Ruimtestaat[[#This Row],[Frequentie weekend]]="","",_xlfn.CONCAT(Ruimtestaat[[#This Row],[Ruimte code]],"-",Ruimtestaat[[#This Row],[Frequentie weekend]]," ",Ruimtestaat[[#This Row],[Vloer code]]))</f>
        <v/>
      </c>
      <c r="BE345" s="114" t="str">
        <f>_xlfn.IFNA(VLOOKUP($BD345,Programma!$F$3:$G$1101,2,0),"")</f>
        <v/>
      </c>
      <c r="BF345" s="114" t="str">
        <f>_xlfn.IFNA(VLOOKUP($BD345,Programma!$F$3:$H$1101,3,0),"")</f>
        <v/>
      </c>
      <c r="BG345" s="114" t="str">
        <f>_xlfn.IFNA(VLOOKUP($BD345,Programma!$F$3:$I$1101,4,0),"")</f>
        <v/>
      </c>
      <c r="BH345" s="114" t="str">
        <f>_xlfn.IFNA(VLOOKUP($BD345,Programma!$F$3:$J$1101,5,0),"")</f>
        <v/>
      </c>
      <c r="BI345" s="114" t="str">
        <f>_xlfn.IFNA(VLOOKUP($BD345,Programma!$F$3:$K$1101,6,0),"")</f>
        <v/>
      </c>
      <c r="BJ345" s="114" t="str">
        <f>_xlfn.IFNA(VLOOKUP($BD345,Programma!$F$3:$L$1101,7,0),"")</f>
        <v/>
      </c>
      <c r="BK345" s="114" t="str">
        <f>_xlfn.IFNA(VLOOKUP($BD345,Programma!$F$3:$M$1101,8,0),"")</f>
        <v/>
      </c>
      <c r="BL345" s="114" t="str">
        <f>_xlfn.IFNA(VLOOKUP($BD345,Programma!$F$3:$N$1101,9,0),"")</f>
        <v/>
      </c>
      <c r="BM345" s="114" t="str">
        <f>_xlfn.IFNA(VLOOKUP($BD345,Programma!$F$3:$O$1101,10,0),"")</f>
        <v/>
      </c>
      <c r="BN345" s="114" t="str">
        <f>_xlfn.IFNA(VLOOKUP($BD345,Programma!$F$3:$P$1101,11,0),"")</f>
        <v/>
      </c>
      <c r="BO345" s="114" t="str">
        <f>_xlfn.IFNA(VLOOKUP($BD345,Programma!$F$3:$Q$1101,12,0),"")</f>
        <v/>
      </c>
      <c r="BP345" s="114" t="str">
        <f>_xlfn.IFNA(VLOOKUP($BD345,Programma!$F$3:$R$1101,13,0),"")</f>
        <v/>
      </c>
      <c r="BQ345" s="114" t="str">
        <f>_xlfn.IFNA(VLOOKUP($BD345,Programma!$F$3:$S$1101,14,0),"")</f>
        <v/>
      </c>
      <c r="BR345" s="114" t="str">
        <f>_xlfn.IFNA(VLOOKUP($BD345,Programma!$F$3:$T$1101,15,0),"")</f>
        <v/>
      </c>
      <c r="BS345" s="114" t="str">
        <f>_xlfn.IFNA(VLOOKUP($BD345,Programma!$F$3:$U$1101,16,0),"")</f>
        <v/>
      </c>
      <c r="BT345" s="114" t="str">
        <f>_xlfn.IFNA(VLOOKUP($BD345,Programma!$F$3:$V$1101,17,0),"")</f>
        <v/>
      </c>
      <c r="BU345" s="114" t="str">
        <f>_xlfn.IFNA(VLOOKUP($BD345,Programma!$F$3:$W$1101,18,0),"")</f>
        <v/>
      </c>
      <c r="BV345" s="114" t="str">
        <f>_xlfn.IFNA(VLOOKUP($BD345,Programma!$F$3:$X$1101,19,0),"")</f>
        <v/>
      </c>
      <c r="BW345" s="114" t="str">
        <f>_xlfn.IFNA(VLOOKUP($BD345,Programma!$F$3:$Y$1101,20,0),"")</f>
        <v/>
      </c>
      <c r="BX345" s="28"/>
      <c r="BY345" s="28"/>
      <c r="BZ345" s="28"/>
      <c r="CA345" s="28"/>
      <c r="CB345" s="28"/>
      <c r="CC345" s="28"/>
      <c r="CD345" s="28"/>
      <c r="CE345" s="28"/>
      <c r="CF345" s="28"/>
      <c r="CG345" s="28"/>
      <c r="CH345" s="28"/>
      <c r="CI345" s="28"/>
      <c r="CJ345" s="28"/>
      <c r="CK345" s="28"/>
      <c r="CL345" s="28"/>
      <c r="CM345" s="28"/>
      <c r="CN345" s="28"/>
      <c r="CO345" s="28"/>
      <c r="CP345" s="28"/>
      <c r="CQ345" s="28"/>
      <c r="CR345" s="28"/>
      <c r="CS345" s="28"/>
      <c r="CT345" s="28"/>
      <c r="CU345" s="28"/>
      <c r="CV345" s="28"/>
      <c r="CW345" s="28"/>
      <c r="CX345" s="28"/>
      <c r="CY345" s="28"/>
      <c r="CZ345" s="28"/>
      <c r="DA345" s="28"/>
      <c r="DB345" s="28"/>
      <c r="DC345" s="28"/>
      <c r="DD345" s="28"/>
      <c r="DE345" s="28"/>
      <c r="DF345" s="28"/>
      <c r="DG345" s="28"/>
      <c r="DH345" s="28"/>
      <c r="DI345" s="28"/>
      <c r="DJ345" s="28"/>
      <c r="DK345" s="28"/>
      <c r="DL345" s="28"/>
      <c r="DM345" s="28"/>
      <c r="DN345" s="28"/>
      <c r="DO345" s="28"/>
      <c r="DP345" s="28"/>
      <c r="DQ345" s="28"/>
      <c r="DR345" s="28"/>
      <c r="DS345" s="28"/>
      <c r="DT345" s="28"/>
      <c r="DU345" s="28"/>
      <c r="DV345" s="28"/>
      <c r="DW345" s="28"/>
      <c r="DX345" s="28"/>
      <c r="DY345" s="28"/>
      <c r="DZ345" s="28"/>
      <c r="EA345" s="28"/>
      <c r="EB345" s="28"/>
      <c r="EC345" s="28"/>
      <c r="ED345" s="28"/>
      <c r="EE345" s="28"/>
      <c r="EF345" s="28"/>
      <c r="EG345" s="28"/>
      <c r="EH345" s="28"/>
      <c r="EI345" s="28"/>
      <c r="EJ345" s="28"/>
      <c r="EK345" s="28"/>
      <c r="EL345" s="28"/>
      <c r="EM345" s="28"/>
      <c r="EN345" s="28"/>
      <c r="EO345" s="28"/>
      <c r="EP345" s="28"/>
      <c r="EQ345" s="28"/>
      <c r="ER345" s="28"/>
      <c r="ES345" s="28"/>
      <c r="ET345" s="28"/>
      <c r="EU345" s="28"/>
      <c r="EV345" s="28"/>
      <c r="EW345" s="28"/>
      <c r="EX345" s="28"/>
      <c r="EY345" s="28"/>
      <c r="EZ345" s="28"/>
      <c r="FA345" s="28"/>
      <c r="FB345" s="28"/>
      <c r="FC345" s="28"/>
      <c r="FD345" s="28"/>
      <c r="FE345" s="28"/>
      <c r="FF345" s="28"/>
      <c r="FG345" s="28"/>
      <c r="FH345" s="28"/>
      <c r="FI345" s="28"/>
      <c r="FJ345" s="28"/>
      <c r="FK345" s="28"/>
      <c r="FL345" s="28"/>
      <c r="FM345" s="28"/>
      <c r="FN345" s="28"/>
      <c r="FO345" s="28"/>
      <c r="FP345" s="28"/>
      <c r="FQ345" s="28"/>
      <c r="FR345" s="28"/>
      <c r="FS345" s="28"/>
      <c r="FT345" s="28"/>
      <c r="FU345" s="28"/>
      <c r="FV345" s="28"/>
      <c r="FW345" s="28"/>
      <c r="FX345" s="28"/>
      <c r="FY345" s="28"/>
      <c r="FZ345" s="28"/>
      <c r="GA345" s="28"/>
      <c r="GB345" s="28"/>
      <c r="GC345" s="28"/>
      <c r="GD345" s="28"/>
      <c r="GE345" s="28"/>
      <c r="GF345" s="28"/>
      <c r="GG345" s="28"/>
      <c r="GH345" s="28"/>
      <c r="GI345" s="28"/>
      <c r="GJ345" s="28"/>
      <c r="GK345" s="28"/>
      <c r="GL345" s="28"/>
      <c r="GM345" s="28"/>
      <c r="GN345" s="28"/>
      <c r="GO345" s="28"/>
      <c r="GP345" s="28"/>
      <c r="GQ345" s="28"/>
      <c r="GR345" s="28"/>
      <c r="GS345" s="28"/>
      <c r="GT345" s="28"/>
      <c r="GU345" s="28"/>
      <c r="GV345" s="28"/>
      <c r="GW345" s="28"/>
      <c r="GX345" s="28"/>
      <c r="GY345" s="28"/>
      <c r="GZ345" s="28"/>
      <c r="HA345" s="28"/>
      <c r="HB345" s="28"/>
      <c r="HC345" s="28"/>
      <c r="HD345" s="28"/>
      <c r="HE345" s="28"/>
      <c r="HF345" s="28"/>
      <c r="HG345" s="28"/>
      <c r="HH345" s="28"/>
      <c r="HI345" s="28"/>
      <c r="HJ345" s="28"/>
      <c r="HK345" s="28"/>
      <c r="HL345" s="28"/>
    </row>
    <row r="346" spans="1:220" ht="15" customHeight="1">
      <c r="A346" s="31">
        <v>7</v>
      </c>
      <c r="B346" s="105" t="str">
        <f>VLOOKUP(Ruimtestaat[[#This Row],[Code]],Locaties[[Code]:[Locatie]],2,FALSE)</f>
        <v>Montessori IKC De Groene Ring</v>
      </c>
      <c r="C346" s="105" t="str">
        <f>VLOOKUP(Ruimtestaat[[#This Row],[Code]],Locaties[[#All],[Code]:[Adres]],4,FALSE)</f>
        <v>Bergdravik 2</v>
      </c>
      <c r="D346" s="105" t="str">
        <f>VLOOKUP(Ruimtestaat[[#This Row],[Code]],Locaties[[#All],[Code]:[Postcode]],5,FALSE)</f>
        <v>6922 HM</v>
      </c>
      <c r="E346" s="105" t="str">
        <f>VLOOKUP(Ruimtestaat[[#This Row],[Code]],Locaties[#All],6,FALSE)</f>
        <v>Duiven</v>
      </c>
      <c r="F346" s="113"/>
      <c r="I346" s="113" t="s">
        <v>1902</v>
      </c>
      <c r="J346" s="31">
        <v>16</v>
      </c>
      <c r="K346" s="113" t="str">
        <f>VLOOKUP(Ruimtestaat[[#This Row],[Ruimte code]],Ruimtegroepen[[#All],[Code]:[Ruimte omschrijving]],2,FALSE)</f>
        <v>Leslokalen</v>
      </c>
      <c r="L346" s="31" t="s">
        <v>100</v>
      </c>
      <c r="M346" s="31" t="s">
        <v>1975</v>
      </c>
      <c r="N346" s="106">
        <v>16</v>
      </c>
      <c r="O346" s="112"/>
      <c r="P346" s="112"/>
      <c r="Q346" s="107" t="str">
        <f>VLOOKUP(Ruimtestaat[[#This Row],[Ruimte code]],Ruimtegroepen[],4,FALSE)</f>
        <v>Le</v>
      </c>
      <c r="R346" s="73">
        <v>40</v>
      </c>
      <c r="S346" s="73" t="s">
        <v>2</v>
      </c>
      <c r="T346" s="73">
        <f>IF(R346&gt;0,IF(RIGHT(Ruimtestaat[[#This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6" s="73">
        <f>IF(T346&gt;0,VLOOKUP($J346,Ruimtegroepen[],3,FALSE)*VLOOKUP($L346,Vloersoorten[],3,FALSE)*VLOOKUP($S346,Frequenties[],3,FALSE)*VLOOKUP($A346,Locaties[],3,FALSE),0)</f>
        <v>0</v>
      </c>
      <c r="V346" s="73">
        <f>Ruimtestaat[[#This Row],[Uitvoeringen werkdagen]]*Ruimtestaat[[#This Row],[Oppervlak (netto)]]</f>
        <v>3200</v>
      </c>
      <c r="W346" s="108">
        <f>IF(U346&gt;0,Ruimtestaat[[#This Row],[Prest. (m2 /jaar) werkdagen]]/Ruimtestaat[[#This Row],[Norm (m2/uur) werkdagen]],0)</f>
        <v>0</v>
      </c>
      <c r="X346" s="109">
        <f>Ruimtestaat[[#This Row],[uren / jaar werkdagen]]*Tariefsopbouw!$E$35</f>
        <v>0</v>
      </c>
      <c r="Y346" s="73"/>
      <c r="Z346" s="73">
        <f>IF(Ruimtestaat[[#This Row],[Frequentie weekend]]&gt;0,VALUE(LEFT(Y346,1))*R346,0)</f>
        <v>0</v>
      </c>
      <c r="AA346" s="72">
        <f>IF($Z346&gt;0,VLOOKUP($J346,Ruimtegroepen[],3,FALSE)*VLOOKUP($L346,Vloersoorten[],3,FALSE)*VLOOKUP($Y346,Frequenties[],3,FALSE)*VLOOKUP(Ruimtestaat[[#This Row],[Code]],Locaties[],3,FALSE),0)</f>
        <v>0</v>
      </c>
      <c r="AB346" s="72">
        <f>Ruimtestaat[[#This Row],[Uitvoeringen weekend]]*Ruimtestaat[[#This Row],[Oppervlak (netto)]]</f>
        <v>0</v>
      </c>
      <c r="AC346" s="72">
        <f>IF(AA346&gt;0,Ruimtestaat[[#This Row],[Prest. (m2 /jaar) weekend]]/Ruimtestaat[[#This Row],[Norm (m2/uur) weekend]],0)</f>
        <v>0</v>
      </c>
      <c r="AD346" s="109">
        <f>Ruimtestaat[[#This Row],[uren / jaar weekend]]*Tariefsopbouw!$D$40</f>
        <v>0</v>
      </c>
      <c r="AE346" s="108">
        <f>Ruimtestaat[[#This Row],[Prest. (m2 /jaar) weekend]]+Ruimtestaat[[#This Row],[Prest. (m2 /jaar) werkdagen]]</f>
        <v>3200</v>
      </c>
      <c r="AF346" s="108">
        <f>Ruimtestaat[[#This Row],[uren / jaar weekend]]+Ruimtestaat[[#This Row],[uren / jaar werkdagen]]</f>
        <v>0</v>
      </c>
      <c r="AG346" s="103">
        <f>Ruimtestaat[[#This Row],[kosten / jaar weekend]]+Ruimtestaat[[#This Row],[kosten / jaar werkdagen]]</f>
        <v>0</v>
      </c>
      <c r="AH346" s="103"/>
      <c r="AI346" s="110" t="str">
        <f>IF(Ruimtestaat[[#This Row],[Frequentie werkdagen]]="","",_xlfn.CONCAT(Ruimtestaat[[#This Row],[Ruimte code]],"-",Ruimtestaat[[#This Row],[Frequentie werkdagen]]," ",Ruimtestaat[[#This Row],[Vloer code]]))</f>
        <v>16-5w L</v>
      </c>
      <c r="AJ346" s="114" t="str">
        <f>_xlfn.IFNA(VLOOKUP($AI346,Programma!$F$3:$G$1101,2,0),"")</f>
        <v>_</v>
      </c>
      <c r="AK346" s="114" t="str">
        <f>_xlfn.IFNA(VLOOKUP($AI346,Programma!$F$3:$H$1101,3,0),"")</f>
        <v>_</v>
      </c>
      <c r="AL346" s="114" t="str">
        <f>_xlfn.IFNA(VLOOKUP($AI346,Programma!$F$3:$I$1101,4,0),"")</f>
        <v>4w</v>
      </c>
      <c r="AM346" s="114" t="str">
        <f>_xlfn.IFNA(VLOOKUP($AI346,Programma!$F$3:$J$1101,5,0),"")</f>
        <v>1w</v>
      </c>
      <c r="AN346" s="114" t="str">
        <f>_xlfn.IFNA(VLOOKUP($AI346,Programma!$F$3:$K$1101,6,0),"")</f>
        <v>_</v>
      </c>
      <c r="AO346" s="114" t="str">
        <f>_xlfn.IFNA(VLOOKUP($AI346,Programma!$F$3:$L$1101,7,0),"")</f>
        <v>_</v>
      </c>
      <c r="AP346" s="114" t="str">
        <f>_xlfn.IFNA(VLOOKUP($AI346,Programma!$F$3:$M$1101,8,0),"")</f>
        <v>_</v>
      </c>
      <c r="AQ346" s="114" t="str">
        <f>_xlfn.IFNA(VLOOKUP($AI346,Programma!$F$3:$N$1101,9,0),"")</f>
        <v>_</v>
      </c>
      <c r="AR346" s="114" t="str">
        <f>_xlfn.IFNA(VLOOKUP($AI346,Programma!$F$3:$O$1101,10,0),"")</f>
        <v>5w</v>
      </c>
      <c r="AS346" s="114" t="str">
        <f>_xlfn.IFNA(VLOOKUP($AI346,Programma!$F$3:$P$1101,11,0),"")</f>
        <v>5w</v>
      </c>
      <c r="AT346" s="114" t="str">
        <f>_xlfn.IFNA(VLOOKUP($AI346,Programma!$F$3:$Q$1101,12,0),"")</f>
        <v>1w</v>
      </c>
      <c r="AU346" s="114" t="str">
        <f>_xlfn.IFNA(VLOOKUP($AI346,Programma!$F$3:$R$1101,13,0),"")</f>
        <v>1w</v>
      </c>
      <c r="AV346" s="114" t="str">
        <f>_xlfn.IFNA(VLOOKUP($AI346,Programma!$F$3:$S$1101,14,0),"")</f>
        <v>1m</v>
      </c>
      <c r="AW346" s="114" t="str">
        <f>_xlfn.IFNA(VLOOKUP($AI346,Programma!$F$3:$T$1101,15,0),"")</f>
        <v>2j</v>
      </c>
      <c r="AX346" s="114" t="str">
        <f>_xlfn.IFNA(VLOOKUP($AI346,Programma!$F$3:$U$1101,16,0),"")</f>
        <v>1j</v>
      </c>
      <c r="AY346" s="114" t="str">
        <f>_xlfn.IFNA(VLOOKUP($AI346,Programma!$F$3:$V$1101,17,0),"")</f>
        <v>_</v>
      </c>
      <c r="AZ346" s="114" t="str">
        <f>_xlfn.IFNA(VLOOKUP($AI346,Programma!$F$3:$W$1101,18,0),"")</f>
        <v>_</v>
      </c>
      <c r="BA346" s="114" t="str">
        <f>_xlfn.IFNA(VLOOKUP($AI346,Programma!$F$3:$X$1101,19,0),"")</f>
        <v>_</v>
      </c>
      <c r="BB346" s="114" t="str">
        <f>_xlfn.IFNA(VLOOKUP($AI346,Programma!$F$3:$Y$1101,20,0),"")</f>
        <v>_</v>
      </c>
      <c r="BC346" s="111"/>
      <c r="BD346" s="110" t="str">
        <f>IF(Ruimtestaat[[#This Row],[Frequentie weekend]]="","",_xlfn.CONCAT(Ruimtestaat[[#This Row],[Ruimte code]],"-",Ruimtestaat[[#This Row],[Frequentie weekend]]," ",Ruimtestaat[[#This Row],[Vloer code]]))</f>
        <v/>
      </c>
      <c r="BE346" s="114" t="str">
        <f>_xlfn.IFNA(VLOOKUP($BD346,Programma!$F$3:$G$1101,2,0),"")</f>
        <v/>
      </c>
      <c r="BF346" s="114" t="str">
        <f>_xlfn.IFNA(VLOOKUP($BD346,Programma!$F$3:$H$1101,3,0),"")</f>
        <v/>
      </c>
      <c r="BG346" s="114" t="str">
        <f>_xlfn.IFNA(VLOOKUP($BD346,Programma!$F$3:$I$1101,4,0),"")</f>
        <v/>
      </c>
      <c r="BH346" s="114" t="str">
        <f>_xlfn.IFNA(VLOOKUP($BD346,Programma!$F$3:$J$1101,5,0),"")</f>
        <v/>
      </c>
      <c r="BI346" s="114" t="str">
        <f>_xlfn.IFNA(VLOOKUP($BD346,Programma!$F$3:$K$1101,6,0),"")</f>
        <v/>
      </c>
      <c r="BJ346" s="114" t="str">
        <f>_xlfn.IFNA(VLOOKUP($BD346,Programma!$F$3:$L$1101,7,0),"")</f>
        <v/>
      </c>
      <c r="BK346" s="114" t="str">
        <f>_xlfn.IFNA(VLOOKUP($BD346,Programma!$F$3:$M$1101,8,0),"")</f>
        <v/>
      </c>
      <c r="BL346" s="114" t="str">
        <f>_xlfn.IFNA(VLOOKUP($BD346,Programma!$F$3:$N$1101,9,0),"")</f>
        <v/>
      </c>
      <c r="BM346" s="114" t="str">
        <f>_xlfn.IFNA(VLOOKUP($BD346,Programma!$F$3:$O$1101,10,0),"")</f>
        <v/>
      </c>
      <c r="BN346" s="114" t="str">
        <f>_xlfn.IFNA(VLOOKUP($BD346,Programma!$F$3:$P$1101,11,0),"")</f>
        <v/>
      </c>
      <c r="BO346" s="114" t="str">
        <f>_xlfn.IFNA(VLOOKUP($BD346,Programma!$F$3:$Q$1101,12,0),"")</f>
        <v/>
      </c>
      <c r="BP346" s="114" t="str">
        <f>_xlfn.IFNA(VLOOKUP($BD346,Programma!$F$3:$R$1101,13,0),"")</f>
        <v/>
      </c>
      <c r="BQ346" s="114" t="str">
        <f>_xlfn.IFNA(VLOOKUP($BD346,Programma!$F$3:$S$1101,14,0),"")</f>
        <v/>
      </c>
      <c r="BR346" s="114" t="str">
        <f>_xlfn.IFNA(VLOOKUP($BD346,Programma!$F$3:$T$1101,15,0),"")</f>
        <v/>
      </c>
      <c r="BS346" s="114" t="str">
        <f>_xlfn.IFNA(VLOOKUP($BD346,Programma!$F$3:$U$1101,16,0),"")</f>
        <v/>
      </c>
      <c r="BT346" s="114" t="str">
        <f>_xlfn.IFNA(VLOOKUP($BD346,Programma!$F$3:$V$1101,17,0),"")</f>
        <v/>
      </c>
      <c r="BU346" s="114" t="str">
        <f>_xlfn.IFNA(VLOOKUP($BD346,Programma!$F$3:$W$1101,18,0),"")</f>
        <v/>
      </c>
      <c r="BV346" s="114" t="str">
        <f>_xlfn.IFNA(VLOOKUP($BD346,Programma!$F$3:$X$1101,19,0),"")</f>
        <v/>
      </c>
      <c r="BW346" s="114" t="str">
        <f>_xlfn.IFNA(VLOOKUP($BD346,Programma!$F$3:$Y$1101,20,0),"")</f>
        <v/>
      </c>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8"/>
      <c r="FH346" s="28"/>
      <c r="FI346" s="28"/>
      <c r="FJ346" s="28"/>
      <c r="FK346" s="28"/>
      <c r="FL346" s="28"/>
      <c r="FM346" s="28"/>
      <c r="FN346" s="28"/>
      <c r="FO346" s="28"/>
      <c r="FP346" s="28"/>
      <c r="FQ346" s="28"/>
      <c r="FR346" s="28"/>
      <c r="FS346" s="28"/>
      <c r="FT346" s="28"/>
      <c r="FU346" s="28"/>
      <c r="FV346" s="28"/>
      <c r="FW346" s="28"/>
      <c r="FX346" s="28"/>
      <c r="FY346" s="28"/>
      <c r="FZ346" s="28"/>
      <c r="GA346" s="28"/>
      <c r="GB346" s="28"/>
      <c r="GC346" s="28"/>
      <c r="GD346" s="28"/>
      <c r="GE346" s="28"/>
      <c r="GF346" s="28"/>
      <c r="GG346" s="28"/>
      <c r="GH346" s="28"/>
      <c r="GI346" s="28"/>
      <c r="GJ346" s="28"/>
      <c r="GK346" s="28"/>
      <c r="GL346" s="28"/>
      <c r="GM346" s="28"/>
      <c r="GN346" s="28"/>
      <c r="GO346" s="28"/>
      <c r="GP346" s="28"/>
      <c r="GQ346" s="28"/>
      <c r="GR346" s="28"/>
      <c r="GS346" s="28"/>
      <c r="GT346" s="28"/>
      <c r="GU346" s="28"/>
      <c r="GV346" s="28"/>
      <c r="GW346" s="28"/>
      <c r="GX346" s="28"/>
      <c r="GY346" s="28"/>
      <c r="GZ346" s="28"/>
      <c r="HA346" s="28"/>
      <c r="HB346" s="28"/>
      <c r="HC346" s="28"/>
      <c r="HD346" s="28"/>
      <c r="HE346" s="28"/>
      <c r="HF346" s="28"/>
      <c r="HG346" s="28"/>
      <c r="HH346" s="28"/>
      <c r="HI346" s="28"/>
      <c r="HJ346" s="28"/>
      <c r="HK346" s="28"/>
      <c r="HL346" s="28"/>
    </row>
    <row r="347" spans="1:220" ht="15" customHeight="1">
      <c r="A347" s="31">
        <v>7</v>
      </c>
      <c r="B347" s="105" t="str">
        <f>VLOOKUP(Ruimtestaat[[#This Row],[Code]],Locaties[[Code]:[Locatie]],2,FALSE)</f>
        <v>Montessori IKC De Groene Ring</v>
      </c>
      <c r="C347" s="105" t="str">
        <f>VLOOKUP(Ruimtestaat[[#This Row],[Code]],Locaties[[#All],[Code]:[Adres]],4,FALSE)</f>
        <v>Bergdravik 2</v>
      </c>
      <c r="D347" s="105" t="str">
        <f>VLOOKUP(Ruimtestaat[[#This Row],[Code]],Locaties[[#All],[Code]:[Postcode]],5,FALSE)</f>
        <v>6922 HM</v>
      </c>
      <c r="E347" s="105" t="str">
        <f>VLOOKUP(Ruimtestaat[[#This Row],[Code]],Locaties[#All],6,FALSE)</f>
        <v>Duiven</v>
      </c>
      <c r="F347" s="113"/>
      <c r="I347" s="113" t="s">
        <v>1732</v>
      </c>
      <c r="J347" s="31">
        <v>1</v>
      </c>
      <c r="K347" s="113" t="str">
        <f>VLOOKUP(Ruimtestaat[[#This Row],[Ruimte code]],Ruimtegroepen[[#All],[Code]:[Ruimte omschrijving]],2,FALSE)</f>
        <v>Magazijnen/bergingen</v>
      </c>
      <c r="L347" s="31" t="s">
        <v>100</v>
      </c>
      <c r="M347" s="31" t="s">
        <v>1975</v>
      </c>
      <c r="N347" s="106">
        <v>1.5</v>
      </c>
      <c r="O347" s="112"/>
      <c r="P347" s="112"/>
      <c r="Q347" s="107" t="str">
        <f>VLOOKUP(Ruimtestaat[[#This Row],[Ruimte code]],Ruimtegroepen[],4,FALSE)</f>
        <v>Ve</v>
      </c>
      <c r="R347" s="73">
        <v>40</v>
      </c>
      <c r="S347" s="73" t="s">
        <v>16</v>
      </c>
      <c r="T347" s="73">
        <f>IF(R347&gt;0,IF(RIGHT(Ruimtestaat[[#This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47" s="73">
        <f>IF(T347&gt;0,VLOOKUP($J347,Ruimtegroepen[],3,FALSE)*VLOOKUP($L347,Vloersoorten[],3,FALSE)*VLOOKUP($S347,Frequenties[],3,FALSE)*VLOOKUP($A347,Locaties[],3,FALSE),0)</f>
        <v>0</v>
      </c>
      <c r="V347" s="73">
        <f>Ruimtestaat[[#This Row],[Uitvoeringen werkdagen]]*Ruimtestaat[[#This Row],[Oppervlak (netto)]]</f>
        <v>18</v>
      </c>
      <c r="W347" s="108">
        <f>IF(U347&gt;0,Ruimtestaat[[#This Row],[Prest. (m2 /jaar) werkdagen]]/Ruimtestaat[[#This Row],[Norm (m2/uur) werkdagen]],0)</f>
        <v>0</v>
      </c>
      <c r="X347" s="109">
        <f>Ruimtestaat[[#This Row],[uren / jaar werkdagen]]*Tariefsopbouw!$E$35</f>
        <v>0</v>
      </c>
      <c r="Y347" s="73"/>
      <c r="Z347" s="73">
        <f>IF(Ruimtestaat[[#This Row],[Frequentie weekend]]&gt;0,VALUE(LEFT(Y347,1))*R347,0)</f>
        <v>0</v>
      </c>
      <c r="AA347" s="72">
        <f>IF($Z347&gt;0,VLOOKUP($J347,Ruimtegroepen[],3,FALSE)*VLOOKUP($L347,Vloersoorten[],3,FALSE)*VLOOKUP($Y347,Frequenties[],3,FALSE)*VLOOKUP(Ruimtestaat[[#This Row],[Code]],Locaties[],3,FALSE),0)</f>
        <v>0</v>
      </c>
      <c r="AB347" s="72">
        <f>Ruimtestaat[[#This Row],[Uitvoeringen weekend]]*Ruimtestaat[[#This Row],[Oppervlak (netto)]]</f>
        <v>0</v>
      </c>
      <c r="AC347" s="72">
        <f>IF(AA347&gt;0,Ruimtestaat[[#This Row],[Prest. (m2 /jaar) weekend]]/Ruimtestaat[[#This Row],[Norm (m2/uur) weekend]],0)</f>
        <v>0</v>
      </c>
      <c r="AD347" s="109">
        <f>Ruimtestaat[[#This Row],[uren / jaar weekend]]*Tariefsopbouw!$D$40</f>
        <v>0</v>
      </c>
      <c r="AE347" s="108">
        <f>Ruimtestaat[[#This Row],[Prest. (m2 /jaar) weekend]]+Ruimtestaat[[#This Row],[Prest. (m2 /jaar) werkdagen]]</f>
        <v>18</v>
      </c>
      <c r="AF347" s="108">
        <f>Ruimtestaat[[#This Row],[uren / jaar weekend]]+Ruimtestaat[[#This Row],[uren / jaar werkdagen]]</f>
        <v>0</v>
      </c>
      <c r="AG347" s="103">
        <f>Ruimtestaat[[#This Row],[kosten / jaar weekend]]+Ruimtestaat[[#This Row],[kosten / jaar werkdagen]]</f>
        <v>0</v>
      </c>
      <c r="AH347" s="103"/>
      <c r="AI347" s="110" t="str">
        <f>IF(Ruimtestaat[[#This Row],[Frequentie werkdagen]]="","",_xlfn.CONCAT(Ruimtestaat[[#This Row],[Ruimte code]],"-",Ruimtestaat[[#This Row],[Frequentie werkdagen]]," ",Ruimtestaat[[#This Row],[Vloer code]]))</f>
        <v>1-1m L</v>
      </c>
      <c r="AJ347" s="114" t="str">
        <f>_xlfn.IFNA(VLOOKUP($AI347,Programma!$F$3:$G$1101,2,0),"")</f>
        <v>_</v>
      </c>
      <c r="AK347" s="114" t="str">
        <f>_xlfn.IFNA(VLOOKUP($AI347,Programma!$F$3:$H$1101,3,0),"")</f>
        <v>_</v>
      </c>
      <c r="AL347" s="114" t="str">
        <f>_xlfn.IFNA(VLOOKUP($AI347,Programma!$F$3:$I$1101,4,0),"")</f>
        <v>1m</v>
      </c>
      <c r="AM347" s="114" t="str">
        <f>_xlfn.IFNA(VLOOKUP($AI347,Programma!$F$3:$J$1101,5,0),"")</f>
        <v>1m</v>
      </c>
      <c r="AN347" s="114" t="str">
        <f>_xlfn.IFNA(VLOOKUP($AI347,Programma!$F$3:$K$1101,6,0),"")</f>
        <v>_</v>
      </c>
      <c r="AO347" s="114" t="str">
        <f>_xlfn.IFNA(VLOOKUP($AI347,Programma!$F$3:$L$1101,7,0),"")</f>
        <v>_</v>
      </c>
      <c r="AP347" s="114" t="str">
        <f>_xlfn.IFNA(VLOOKUP($AI347,Programma!$F$3:$M$1101,8,0),"")</f>
        <v>_</v>
      </c>
      <c r="AQ347" s="114" t="str">
        <f>_xlfn.IFNA(VLOOKUP($AI347,Programma!$F$3:$N$1101,9,0),"")</f>
        <v>_</v>
      </c>
      <c r="AR347" s="114" t="str">
        <f>_xlfn.IFNA(VLOOKUP($AI347,Programma!$F$3:$O$1101,10,0),"")</f>
        <v>_</v>
      </c>
      <c r="AS347" s="114" t="str">
        <f>_xlfn.IFNA(VLOOKUP($AI347,Programma!$F$3:$P$1101,11,0),"")</f>
        <v>_</v>
      </c>
      <c r="AT347" s="114" t="str">
        <f>_xlfn.IFNA(VLOOKUP($AI347,Programma!$F$3:$Q$1101,12,0),"")</f>
        <v>_</v>
      </c>
      <c r="AU347" s="114" t="str">
        <f>_xlfn.IFNA(VLOOKUP($AI347,Programma!$F$3:$R$1101,13,0),"")</f>
        <v>_</v>
      </c>
      <c r="AV347" s="114" t="str">
        <f>_xlfn.IFNA(VLOOKUP($AI347,Programma!$F$3:$S$1101,14,0),"")</f>
        <v>1m</v>
      </c>
      <c r="AW347" s="114" t="str">
        <f>_xlfn.IFNA(VLOOKUP($AI347,Programma!$F$3:$T$1101,15,0),"")</f>
        <v>4j</v>
      </c>
      <c r="AX347" s="114" t="str">
        <f>_xlfn.IFNA(VLOOKUP($AI347,Programma!$F$3:$U$1101,16,0),"")</f>
        <v>4j</v>
      </c>
      <c r="AY347" s="114" t="str">
        <f>_xlfn.IFNA(VLOOKUP($AI347,Programma!$F$3:$V$1101,17,0),"")</f>
        <v>_</v>
      </c>
      <c r="AZ347" s="114" t="str">
        <f>_xlfn.IFNA(VLOOKUP($AI347,Programma!$F$3:$W$1101,18,0),"")</f>
        <v>_</v>
      </c>
      <c r="BA347" s="114" t="str">
        <f>_xlfn.IFNA(VLOOKUP($AI347,Programma!$F$3:$X$1101,19,0),"")</f>
        <v>_</v>
      </c>
      <c r="BB347" s="114" t="str">
        <f>_xlfn.IFNA(VLOOKUP($AI347,Programma!$F$3:$Y$1101,20,0),"")</f>
        <v>_</v>
      </c>
      <c r="BC347" s="111"/>
      <c r="BD347" s="110" t="str">
        <f>IF(Ruimtestaat[[#This Row],[Frequentie weekend]]="","",_xlfn.CONCAT(Ruimtestaat[[#This Row],[Ruimte code]],"-",Ruimtestaat[[#This Row],[Frequentie weekend]]," ",Ruimtestaat[[#This Row],[Vloer code]]))</f>
        <v/>
      </c>
      <c r="BE347" s="114" t="str">
        <f>_xlfn.IFNA(VLOOKUP($BD347,Programma!$F$3:$G$1101,2,0),"")</f>
        <v/>
      </c>
      <c r="BF347" s="114" t="str">
        <f>_xlfn.IFNA(VLOOKUP($BD347,Programma!$F$3:$H$1101,3,0),"")</f>
        <v/>
      </c>
      <c r="BG347" s="114" t="str">
        <f>_xlfn.IFNA(VLOOKUP($BD347,Programma!$F$3:$I$1101,4,0),"")</f>
        <v/>
      </c>
      <c r="BH347" s="114" t="str">
        <f>_xlfn.IFNA(VLOOKUP($BD347,Programma!$F$3:$J$1101,5,0),"")</f>
        <v/>
      </c>
      <c r="BI347" s="114" t="str">
        <f>_xlfn.IFNA(VLOOKUP($BD347,Programma!$F$3:$K$1101,6,0),"")</f>
        <v/>
      </c>
      <c r="BJ347" s="114" t="str">
        <f>_xlfn.IFNA(VLOOKUP($BD347,Programma!$F$3:$L$1101,7,0),"")</f>
        <v/>
      </c>
      <c r="BK347" s="114" t="str">
        <f>_xlfn.IFNA(VLOOKUP($BD347,Programma!$F$3:$M$1101,8,0),"")</f>
        <v/>
      </c>
      <c r="BL347" s="114" t="str">
        <f>_xlfn.IFNA(VLOOKUP($BD347,Programma!$F$3:$N$1101,9,0),"")</f>
        <v/>
      </c>
      <c r="BM347" s="114" t="str">
        <f>_xlfn.IFNA(VLOOKUP($BD347,Programma!$F$3:$O$1101,10,0),"")</f>
        <v/>
      </c>
      <c r="BN347" s="114" t="str">
        <f>_xlfn.IFNA(VLOOKUP($BD347,Programma!$F$3:$P$1101,11,0),"")</f>
        <v/>
      </c>
      <c r="BO347" s="114" t="str">
        <f>_xlfn.IFNA(VLOOKUP($BD347,Programma!$F$3:$Q$1101,12,0),"")</f>
        <v/>
      </c>
      <c r="BP347" s="114" t="str">
        <f>_xlfn.IFNA(VLOOKUP($BD347,Programma!$F$3:$R$1101,13,0),"")</f>
        <v/>
      </c>
      <c r="BQ347" s="114" t="str">
        <f>_xlfn.IFNA(VLOOKUP($BD347,Programma!$F$3:$S$1101,14,0),"")</f>
        <v/>
      </c>
      <c r="BR347" s="114" t="str">
        <f>_xlfn.IFNA(VLOOKUP($BD347,Programma!$F$3:$T$1101,15,0),"")</f>
        <v/>
      </c>
      <c r="BS347" s="114" t="str">
        <f>_xlfn.IFNA(VLOOKUP($BD347,Programma!$F$3:$U$1101,16,0),"")</f>
        <v/>
      </c>
      <c r="BT347" s="114" t="str">
        <f>_xlfn.IFNA(VLOOKUP($BD347,Programma!$F$3:$V$1101,17,0),"")</f>
        <v/>
      </c>
      <c r="BU347" s="114" t="str">
        <f>_xlfn.IFNA(VLOOKUP($BD347,Programma!$F$3:$W$1101,18,0),"")</f>
        <v/>
      </c>
      <c r="BV347" s="114" t="str">
        <f>_xlfn.IFNA(VLOOKUP($BD347,Programma!$F$3:$X$1101,19,0),"")</f>
        <v/>
      </c>
      <c r="BW347" s="114" t="str">
        <f>_xlfn.IFNA(VLOOKUP($BD347,Programma!$F$3:$Y$1101,20,0),"")</f>
        <v/>
      </c>
      <c r="BX347" s="28"/>
      <c r="BY347" s="28"/>
      <c r="BZ347" s="28"/>
      <c r="CA347" s="28"/>
      <c r="CB347" s="28"/>
      <c r="CC347" s="28"/>
      <c r="CD347" s="28"/>
      <c r="CE347" s="28"/>
      <c r="CF347" s="28"/>
      <c r="CG347" s="28"/>
      <c r="CH347" s="28"/>
      <c r="CI347" s="28"/>
      <c r="CJ347" s="28"/>
      <c r="CK347" s="28"/>
      <c r="CL347" s="28"/>
      <c r="CM347" s="28"/>
      <c r="CN347" s="28"/>
      <c r="CO347" s="28"/>
      <c r="CP347" s="28"/>
      <c r="CQ347" s="28"/>
      <c r="CR347" s="28"/>
      <c r="CS347" s="28"/>
      <c r="CT347" s="28"/>
      <c r="CU347" s="28"/>
      <c r="CV347" s="28"/>
      <c r="CW347" s="28"/>
      <c r="CX347" s="28"/>
      <c r="CY347" s="28"/>
      <c r="CZ347" s="28"/>
      <c r="DA347" s="28"/>
      <c r="DB347" s="28"/>
      <c r="DC347" s="28"/>
      <c r="DD347" s="28"/>
      <c r="DE347" s="28"/>
      <c r="DF347" s="28"/>
      <c r="DG347" s="28"/>
      <c r="DH347" s="28"/>
      <c r="DI347" s="28"/>
      <c r="DJ347" s="28"/>
      <c r="DK347" s="28"/>
      <c r="DL347" s="28"/>
      <c r="DM347" s="28"/>
      <c r="DN347" s="28"/>
      <c r="DO347" s="28"/>
      <c r="DP347" s="28"/>
      <c r="DQ347" s="28"/>
      <c r="DR347" s="28"/>
      <c r="DS347" s="28"/>
      <c r="DT347" s="28"/>
      <c r="DU347" s="28"/>
      <c r="DV347" s="28"/>
      <c r="DW347" s="28"/>
      <c r="DX347" s="28"/>
      <c r="DY347" s="28"/>
      <c r="DZ347" s="28"/>
      <c r="EA347" s="28"/>
      <c r="EB347" s="28"/>
      <c r="EC347" s="28"/>
      <c r="ED347" s="28"/>
      <c r="EE347" s="28"/>
      <c r="EF347" s="28"/>
      <c r="EG347" s="28"/>
      <c r="EH347" s="28"/>
      <c r="EI347" s="28"/>
      <c r="EJ347" s="28"/>
      <c r="EK347" s="28"/>
      <c r="EL347" s="28"/>
      <c r="EM347" s="28"/>
      <c r="EN347" s="28"/>
      <c r="EO347" s="28"/>
      <c r="EP347" s="28"/>
      <c r="EQ347" s="28"/>
      <c r="ER347" s="28"/>
      <c r="ES347" s="28"/>
      <c r="ET347" s="28"/>
      <c r="EU347" s="28"/>
      <c r="EV347" s="28"/>
      <c r="EW347" s="28"/>
      <c r="EX347" s="28"/>
      <c r="EY347" s="28"/>
      <c r="EZ347" s="28"/>
      <c r="FA347" s="28"/>
      <c r="FB347" s="28"/>
      <c r="FC347" s="28"/>
      <c r="FD347" s="28"/>
      <c r="FE347" s="28"/>
      <c r="FF347" s="28"/>
      <c r="FG347" s="28"/>
      <c r="FH347" s="28"/>
      <c r="FI347" s="28"/>
      <c r="FJ347" s="28"/>
      <c r="FK347" s="28"/>
      <c r="FL347" s="28"/>
      <c r="FM347" s="28"/>
      <c r="FN347" s="28"/>
      <c r="FO347" s="28"/>
      <c r="FP347" s="28"/>
      <c r="FQ347" s="28"/>
      <c r="FR347" s="28"/>
      <c r="FS347" s="28"/>
      <c r="FT347" s="28"/>
      <c r="FU347" s="28"/>
      <c r="FV347" s="28"/>
      <c r="FW347" s="28"/>
      <c r="FX347" s="28"/>
      <c r="FY347" s="28"/>
      <c r="FZ347" s="28"/>
      <c r="GA347" s="28"/>
      <c r="GB347" s="28"/>
      <c r="GC347" s="28"/>
      <c r="GD347" s="28"/>
      <c r="GE347" s="28"/>
      <c r="GF347" s="28"/>
      <c r="GG347" s="28"/>
      <c r="GH347" s="28"/>
      <c r="GI347" s="28"/>
      <c r="GJ347" s="28"/>
      <c r="GK347" s="28"/>
      <c r="GL347" s="28"/>
      <c r="GM347" s="28"/>
      <c r="GN347" s="28"/>
      <c r="GO347" s="28"/>
      <c r="GP347" s="28"/>
      <c r="GQ347" s="28"/>
      <c r="GR347" s="28"/>
      <c r="GS347" s="28"/>
      <c r="GT347" s="28"/>
      <c r="GU347" s="28"/>
      <c r="GV347" s="28"/>
      <c r="GW347" s="28"/>
      <c r="GX347" s="28"/>
      <c r="GY347" s="28"/>
      <c r="GZ347" s="28"/>
      <c r="HA347" s="28"/>
      <c r="HB347" s="28"/>
      <c r="HC347" s="28"/>
      <c r="HD347" s="28"/>
      <c r="HE347" s="28"/>
      <c r="HF347" s="28"/>
      <c r="HG347" s="28"/>
      <c r="HH347" s="28"/>
      <c r="HI347" s="28"/>
      <c r="HJ347" s="28"/>
      <c r="HK347" s="28"/>
      <c r="HL347" s="28"/>
    </row>
    <row r="348" spans="1:220" ht="15" customHeight="1">
      <c r="A348" s="31">
        <v>7</v>
      </c>
      <c r="B348" s="105" t="str">
        <f>VLOOKUP(Ruimtestaat[[#This Row],[Code]],Locaties[[Code]:[Locatie]],2,FALSE)</f>
        <v>Montessori IKC De Groene Ring</v>
      </c>
      <c r="C348" s="105" t="str">
        <f>VLOOKUP(Ruimtestaat[[#This Row],[Code]],Locaties[[#All],[Code]:[Adres]],4,FALSE)</f>
        <v>Bergdravik 2</v>
      </c>
      <c r="D348" s="105" t="str">
        <f>VLOOKUP(Ruimtestaat[[#This Row],[Code]],Locaties[[#All],[Code]:[Postcode]],5,FALSE)</f>
        <v>6922 HM</v>
      </c>
      <c r="E348" s="105" t="str">
        <f>VLOOKUP(Ruimtestaat[[#This Row],[Code]],Locaties[#All],6,FALSE)</f>
        <v>Duiven</v>
      </c>
      <c r="F348" s="113"/>
      <c r="I348" s="113" t="s">
        <v>1751</v>
      </c>
      <c r="J348" s="31">
        <v>16</v>
      </c>
      <c r="K348" s="113" t="str">
        <f>VLOOKUP(Ruimtestaat[[#This Row],[Ruimte code]],Ruimtegroepen[[#All],[Code]:[Ruimte omschrijving]],2,FALSE)</f>
        <v>Leslokalen</v>
      </c>
      <c r="L348" s="31" t="s">
        <v>1312</v>
      </c>
      <c r="M348" s="31" t="s">
        <v>1977</v>
      </c>
      <c r="N348" s="106">
        <v>137</v>
      </c>
      <c r="O348" s="112"/>
      <c r="P348" s="112"/>
      <c r="Q348" s="107" t="str">
        <f>VLOOKUP(Ruimtestaat[[#This Row],[Ruimte code]],Ruimtegroepen[],4,FALSE)</f>
        <v>Le</v>
      </c>
      <c r="R348" s="73">
        <v>40</v>
      </c>
      <c r="S348" s="73" t="s">
        <v>2</v>
      </c>
      <c r="T348" s="73">
        <f>IF(R348&gt;0,IF(RIGHT(Ruimtestaat[[#This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8" s="73">
        <f>IF(T348&gt;0,VLOOKUP($J348,Ruimtegroepen[],3,FALSE)*VLOOKUP($L348,Vloersoorten[],3,FALSE)*VLOOKUP($S348,Frequenties[],3,FALSE)*VLOOKUP($A348,Locaties[],3,FALSE),0)</f>
        <v>0</v>
      </c>
      <c r="V348" s="73">
        <f>Ruimtestaat[[#This Row],[Uitvoeringen werkdagen]]*Ruimtestaat[[#This Row],[Oppervlak (netto)]]</f>
        <v>27400</v>
      </c>
      <c r="W348" s="108">
        <f>IF(U348&gt;0,Ruimtestaat[[#This Row],[Prest. (m2 /jaar) werkdagen]]/Ruimtestaat[[#This Row],[Norm (m2/uur) werkdagen]],0)</f>
        <v>0</v>
      </c>
      <c r="X348" s="109">
        <f>Ruimtestaat[[#This Row],[uren / jaar werkdagen]]*Tariefsopbouw!$E$35</f>
        <v>0</v>
      </c>
      <c r="Y348" s="73"/>
      <c r="Z348" s="73">
        <f>IF(Ruimtestaat[[#This Row],[Frequentie weekend]]&gt;0,VALUE(LEFT(Y348,1))*R348,0)</f>
        <v>0</v>
      </c>
      <c r="AA348" s="72">
        <f>IF($Z348&gt;0,VLOOKUP($J348,Ruimtegroepen[],3,FALSE)*VLOOKUP($L348,Vloersoorten[],3,FALSE)*VLOOKUP($Y348,Frequenties[],3,FALSE)*VLOOKUP(#REF!,Locaties[],3,FALSE),0)</f>
        <v>0</v>
      </c>
      <c r="AB348" s="72">
        <f>Ruimtestaat[[#This Row],[Uitvoeringen weekend]]*Ruimtestaat[[#This Row],[Oppervlak (netto)]]</f>
        <v>0</v>
      </c>
      <c r="AC348" s="72">
        <f>IF(AA348&gt;0,Ruimtestaat[[#This Row],[Prest. (m2 /jaar) weekend]]/Ruimtestaat[[#This Row],[Norm (m2/uur) weekend]],0)</f>
        <v>0</v>
      </c>
      <c r="AD348" s="109">
        <f>Ruimtestaat[[#This Row],[uren / jaar weekend]]*Tariefsopbouw!$D$40</f>
        <v>0</v>
      </c>
      <c r="AE348" s="108">
        <f>Ruimtestaat[[#This Row],[Prest. (m2 /jaar) weekend]]+Ruimtestaat[[#This Row],[Prest. (m2 /jaar) werkdagen]]</f>
        <v>27400</v>
      </c>
      <c r="AF348" s="108">
        <f>Ruimtestaat[[#This Row],[uren / jaar weekend]]+Ruimtestaat[[#This Row],[uren / jaar werkdagen]]</f>
        <v>0</v>
      </c>
      <c r="AG348" s="103">
        <f>Ruimtestaat[[#This Row],[kosten / jaar weekend]]+Ruimtestaat[[#This Row],[kosten / jaar werkdagen]]</f>
        <v>0</v>
      </c>
      <c r="AH348" s="103"/>
      <c r="AI348" s="110" t="str">
        <f>IF(Ruimtestaat[[#This Row],[Frequentie werkdagen]]="","",_xlfn.CONCAT(Ruimtestaat[[#This Row],[Ruimte code]],"-",Ruimtestaat[[#This Row],[Frequentie werkdagen]]," ",Ruimtestaat[[#This Row],[Vloer code]]))</f>
        <v>16-5w H</v>
      </c>
      <c r="AJ348" s="114" t="str">
        <f>_xlfn.IFNA(VLOOKUP($AI348,Programma!$F$3:$G$1101,2,0),"")</f>
        <v>_</v>
      </c>
      <c r="AK348" s="114" t="str">
        <f>_xlfn.IFNA(VLOOKUP($AI348,Programma!$F$3:$H$1101,3,0),"")</f>
        <v>_</v>
      </c>
      <c r="AL348" s="114" t="str">
        <f>_xlfn.IFNA(VLOOKUP($AI348,Programma!$F$3:$I$1101,4,0),"")</f>
        <v>4w</v>
      </c>
      <c r="AM348" s="114" t="str">
        <f>_xlfn.IFNA(VLOOKUP($AI348,Programma!$F$3:$J$1101,5,0),"")</f>
        <v>1w</v>
      </c>
      <c r="AN348" s="114" t="str">
        <f>_xlfn.IFNA(VLOOKUP($AI348,Programma!$F$3:$K$1101,6,0),"")</f>
        <v>1m</v>
      </c>
      <c r="AO348" s="114" t="str">
        <f>_xlfn.IFNA(VLOOKUP($AI348,Programma!$F$3:$L$1101,7,0),"")</f>
        <v>_</v>
      </c>
      <c r="AP348" s="114" t="str">
        <f>_xlfn.IFNA(VLOOKUP($AI348,Programma!$F$3:$M$1101,8,0),"")</f>
        <v>_</v>
      </c>
      <c r="AQ348" s="114" t="str">
        <f>_xlfn.IFNA(VLOOKUP($AI348,Programma!$F$3:$N$1101,9,0),"")</f>
        <v>_</v>
      </c>
      <c r="AR348" s="114" t="str">
        <f>_xlfn.IFNA(VLOOKUP($AI348,Programma!$F$3:$O$1101,10,0),"")</f>
        <v>5w</v>
      </c>
      <c r="AS348" s="114" t="str">
        <f>_xlfn.IFNA(VLOOKUP($AI348,Programma!$F$3:$P$1101,11,0),"")</f>
        <v>5w</v>
      </c>
      <c r="AT348" s="114" t="str">
        <f>_xlfn.IFNA(VLOOKUP($AI348,Programma!$F$3:$Q$1101,12,0),"")</f>
        <v>1w</v>
      </c>
      <c r="AU348" s="114" t="str">
        <f>_xlfn.IFNA(VLOOKUP($AI348,Programma!$F$3:$R$1101,13,0),"")</f>
        <v>1w</v>
      </c>
      <c r="AV348" s="114" t="str">
        <f>_xlfn.IFNA(VLOOKUP($AI348,Programma!$F$3:$S$1101,14,0),"")</f>
        <v>1m</v>
      </c>
      <c r="AW348" s="114" t="str">
        <f>_xlfn.IFNA(VLOOKUP($AI348,Programma!$F$3:$T$1101,15,0),"")</f>
        <v>2j</v>
      </c>
      <c r="AX348" s="114" t="str">
        <f>_xlfn.IFNA(VLOOKUP($AI348,Programma!$F$3:$U$1101,16,0),"")</f>
        <v>1j</v>
      </c>
      <c r="AY348" s="114" t="str">
        <f>_xlfn.IFNA(VLOOKUP($AI348,Programma!$F$3:$V$1101,17,0),"")</f>
        <v>_</v>
      </c>
      <c r="AZ348" s="114" t="str">
        <f>_xlfn.IFNA(VLOOKUP($AI348,Programma!$F$3:$W$1101,18,0),"")</f>
        <v>_</v>
      </c>
      <c r="BA348" s="114" t="str">
        <f>_xlfn.IFNA(VLOOKUP($AI348,Programma!$F$3:$X$1101,19,0),"")</f>
        <v>_</v>
      </c>
      <c r="BB348" s="114" t="str">
        <f>_xlfn.IFNA(VLOOKUP($AI348,Programma!$F$3:$Y$1101,20,0),"")</f>
        <v>_</v>
      </c>
      <c r="BC348" s="111"/>
      <c r="BD348" s="110" t="str">
        <f>IF(Ruimtestaat[[#This Row],[Frequentie weekend]]="","",_xlfn.CONCAT(Ruimtestaat[[#This Row],[Ruimte code]],"-",Ruimtestaat[[#This Row],[Frequentie weekend]]," ",Ruimtestaat[[#This Row],[Vloer code]]))</f>
        <v/>
      </c>
      <c r="BE348" s="114" t="str">
        <f>_xlfn.IFNA(VLOOKUP($BD348,Programma!$F$3:$G$1101,2,0),"")</f>
        <v/>
      </c>
      <c r="BF348" s="114" t="str">
        <f>_xlfn.IFNA(VLOOKUP($BD348,Programma!$F$3:$H$1101,3,0),"")</f>
        <v/>
      </c>
      <c r="BG348" s="114" t="str">
        <f>_xlfn.IFNA(VLOOKUP($BD348,Programma!$F$3:$I$1101,4,0),"")</f>
        <v/>
      </c>
      <c r="BH348" s="114" t="str">
        <f>_xlfn.IFNA(VLOOKUP($BD348,Programma!$F$3:$J$1101,5,0),"")</f>
        <v/>
      </c>
      <c r="BI348" s="114" t="str">
        <f>_xlfn.IFNA(VLOOKUP($BD348,Programma!$F$3:$K$1101,6,0),"")</f>
        <v/>
      </c>
      <c r="BJ348" s="114" t="str">
        <f>_xlfn.IFNA(VLOOKUP($BD348,Programma!$F$3:$L$1101,7,0),"")</f>
        <v/>
      </c>
      <c r="BK348" s="114" t="str">
        <f>_xlfn.IFNA(VLOOKUP($BD348,Programma!$F$3:$M$1101,8,0),"")</f>
        <v/>
      </c>
      <c r="BL348" s="114" t="str">
        <f>_xlfn.IFNA(VLOOKUP($BD348,Programma!$F$3:$N$1101,9,0),"")</f>
        <v/>
      </c>
      <c r="BM348" s="114" t="str">
        <f>_xlfn.IFNA(VLOOKUP($BD348,Programma!$F$3:$O$1101,10,0),"")</f>
        <v/>
      </c>
      <c r="BN348" s="114" t="str">
        <f>_xlfn.IFNA(VLOOKUP($BD348,Programma!$F$3:$P$1101,11,0),"")</f>
        <v/>
      </c>
      <c r="BO348" s="114" t="str">
        <f>_xlfn.IFNA(VLOOKUP($BD348,Programma!$F$3:$Q$1101,12,0),"")</f>
        <v/>
      </c>
      <c r="BP348" s="114" t="str">
        <f>_xlfn.IFNA(VLOOKUP($BD348,Programma!$F$3:$R$1101,13,0),"")</f>
        <v/>
      </c>
      <c r="BQ348" s="114" t="str">
        <f>_xlfn.IFNA(VLOOKUP($BD348,Programma!$F$3:$S$1101,14,0),"")</f>
        <v/>
      </c>
      <c r="BR348" s="114" t="str">
        <f>_xlfn.IFNA(VLOOKUP($BD348,Programma!$F$3:$T$1101,15,0),"")</f>
        <v/>
      </c>
      <c r="BS348" s="114" t="str">
        <f>_xlfn.IFNA(VLOOKUP($BD348,Programma!$F$3:$U$1101,16,0),"")</f>
        <v/>
      </c>
      <c r="BT348" s="114" t="str">
        <f>_xlfn.IFNA(VLOOKUP($BD348,Programma!$F$3:$V$1101,17,0),"")</f>
        <v/>
      </c>
      <c r="BU348" s="114" t="str">
        <f>_xlfn.IFNA(VLOOKUP($BD348,Programma!$F$3:$W$1101,18,0),"")</f>
        <v/>
      </c>
      <c r="BV348" s="114" t="str">
        <f>_xlfn.IFNA(VLOOKUP($BD348,Programma!$F$3:$X$1101,19,0),"")</f>
        <v/>
      </c>
      <c r="BW348" s="114" t="str">
        <f>_xlfn.IFNA(VLOOKUP($BD348,Programma!$F$3:$Y$1101,20,0),"")</f>
        <v/>
      </c>
      <c r="BX348" s="28"/>
      <c r="BY348" s="28"/>
      <c r="BZ348" s="28"/>
      <c r="CA348" s="28"/>
      <c r="CB348" s="28"/>
      <c r="CC348" s="28"/>
      <c r="CD348" s="28"/>
      <c r="CE348" s="28"/>
      <c r="CF348" s="28"/>
      <c r="CG348" s="28"/>
      <c r="CH348" s="28"/>
      <c r="CI348" s="28"/>
      <c r="CJ348" s="28"/>
      <c r="CK348" s="28"/>
      <c r="CL348" s="28"/>
      <c r="CM348" s="28"/>
      <c r="CN348" s="28"/>
      <c r="CO348" s="28"/>
      <c r="CP348" s="28"/>
      <c r="CQ348" s="28"/>
      <c r="CR348" s="28"/>
      <c r="CS348" s="28"/>
      <c r="CT348" s="28"/>
      <c r="CU348" s="28"/>
      <c r="CV348" s="28"/>
      <c r="CW348" s="28"/>
      <c r="CX348" s="28"/>
      <c r="CY348" s="28"/>
      <c r="CZ348" s="28"/>
      <c r="DA348" s="28"/>
      <c r="DB348" s="28"/>
      <c r="DC348" s="28"/>
      <c r="DD348" s="28"/>
      <c r="DE348" s="28"/>
      <c r="DF348" s="28"/>
      <c r="DG348" s="28"/>
      <c r="DH348" s="28"/>
      <c r="DI348" s="28"/>
      <c r="DJ348" s="28"/>
      <c r="DK348" s="28"/>
      <c r="DL348" s="28"/>
      <c r="DM348" s="28"/>
      <c r="DN348" s="28"/>
      <c r="DO348" s="28"/>
      <c r="DP348" s="28"/>
      <c r="DQ348" s="28"/>
      <c r="DR348" s="28"/>
      <c r="DS348" s="28"/>
      <c r="DT348" s="28"/>
      <c r="DU348" s="28"/>
      <c r="DV348" s="28"/>
      <c r="DW348" s="28"/>
      <c r="DX348" s="28"/>
      <c r="DY348" s="28"/>
      <c r="DZ348" s="28"/>
      <c r="EA348" s="28"/>
      <c r="EB348" s="28"/>
      <c r="EC348" s="28"/>
      <c r="ED348" s="28"/>
      <c r="EE348" s="28"/>
      <c r="EF348" s="28"/>
      <c r="EG348" s="28"/>
      <c r="EH348" s="28"/>
      <c r="EI348" s="28"/>
      <c r="EJ348" s="28"/>
      <c r="EK348" s="28"/>
      <c r="EL348" s="28"/>
      <c r="EM348" s="28"/>
      <c r="EN348" s="28"/>
      <c r="EO348" s="28"/>
      <c r="EP348" s="28"/>
      <c r="EQ348" s="28"/>
      <c r="ER348" s="28"/>
      <c r="ES348" s="28"/>
      <c r="ET348" s="28"/>
      <c r="EU348" s="28"/>
      <c r="EV348" s="28"/>
      <c r="EW348" s="28"/>
      <c r="EX348" s="28"/>
      <c r="EY348" s="28"/>
      <c r="EZ348" s="28"/>
      <c r="FA348" s="28"/>
      <c r="FB348" s="28"/>
      <c r="FC348" s="28"/>
      <c r="FD348" s="28"/>
      <c r="FE348" s="28"/>
      <c r="FF348" s="28"/>
      <c r="FG348" s="28"/>
      <c r="FH348" s="28"/>
      <c r="FI348" s="28"/>
      <c r="FJ348" s="28"/>
      <c r="FK348" s="28"/>
      <c r="FL348" s="28"/>
      <c r="FM348" s="28"/>
      <c r="FN348" s="28"/>
      <c r="FO348" s="28"/>
      <c r="FP348" s="28"/>
      <c r="FQ348" s="28"/>
      <c r="FR348" s="28"/>
      <c r="FS348" s="28"/>
      <c r="FT348" s="28"/>
      <c r="FU348" s="28"/>
      <c r="FV348" s="28"/>
      <c r="FW348" s="28"/>
      <c r="FX348" s="28"/>
      <c r="FY348" s="28"/>
      <c r="FZ348" s="28"/>
      <c r="GA348" s="28"/>
      <c r="GB348" s="28"/>
      <c r="GC348" s="28"/>
      <c r="GD348" s="28"/>
      <c r="GE348" s="28"/>
      <c r="GF348" s="28"/>
      <c r="GG348" s="28"/>
      <c r="GH348" s="28"/>
      <c r="GI348" s="28"/>
      <c r="GJ348" s="28"/>
      <c r="GK348" s="28"/>
      <c r="GL348" s="28"/>
      <c r="GM348" s="28"/>
      <c r="GN348" s="28"/>
      <c r="GO348" s="28"/>
      <c r="GP348" s="28"/>
      <c r="GQ348" s="28"/>
      <c r="GR348" s="28"/>
      <c r="GS348" s="28"/>
      <c r="GT348" s="28"/>
      <c r="GU348" s="28"/>
      <c r="GV348" s="28"/>
      <c r="GW348" s="28"/>
      <c r="GX348" s="28"/>
      <c r="GY348" s="28"/>
      <c r="GZ348" s="28"/>
      <c r="HA348" s="28"/>
      <c r="HB348" s="28"/>
      <c r="HC348" s="28"/>
      <c r="HD348" s="28"/>
      <c r="HE348" s="28"/>
      <c r="HF348" s="28"/>
      <c r="HG348" s="28"/>
      <c r="HH348" s="28"/>
      <c r="HI348" s="28"/>
      <c r="HJ348" s="28"/>
      <c r="HK348" s="28"/>
      <c r="HL348" s="28"/>
    </row>
    <row r="349" spans="1:220" ht="15" customHeight="1">
      <c r="A349" s="31">
        <v>7</v>
      </c>
      <c r="B349" s="105" t="str">
        <f>VLOOKUP(Ruimtestaat[[#This Row],[Code]],Locaties[[Code]:[Locatie]],2,FALSE)</f>
        <v>Montessori IKC De Groene Ring</v>
      </c>
      <c r="C349" s="105" t="str">
        <f>VLOOKUP(Ruimtestaat[[#This Row],[Code]],Locaties[[#All],[Code]:[Adres]],4,FALSE)</f>
        <v>Bergdravik 2</v>
      </c>
      <c r="D349" s="105" t="str">
        <f>VLOOKUP(Ruimtestaat[[#This Row],[Code]],Locaties[[#All],[Code]:[Postcode]],5,FALSE)</f>
        <v>6922 HM</v>
      </c>
      <c r="E349" s="105" t="str">
        <f>VLOOKUP(Ruimtestaat[[#This Row],[Code]],Locaties[#All],6,FALSE)</f>
        <v>Duiven</v>
      </c>
      <c r="F349" s="113"/>
      <c r="I349" s="113" t="s">
        <v>1746</v>
      </c>
      <c r="J349" s="31">
        <v>16</v>
      </c>
      <c r="K349" s="113" t="str">
        <f>VLOOKUP(Ruimtestaat[[#This Row],[Ruimte code]],Ruimtegroepen[[#All],[Code]:[Ruimte omschrijving]],2,FALSE)</f>
        <v>Leslokalen</v>
      </c>
      <c r="L349" s="31" t="s">
        <v>100</v>
      </c>
      <c r="M349" s="31" t="s">
        <v>1975</v>
      </c>
      <c r="N349" s="106">
        <v>63</v>
      </c>
      <c r="O349" s="112"/>
      <c r="P349" s="112"/>
      <c r="Q349" s="107" t="str">
        <f>VLOOKUP(Ruimtestaat[[#This Row],[Ruimte code]],Ruimtegroepen[],4,FALSE)</f>
        <v>Le</v>
      </c>
      <c r="R349" s="73">
        <v>40</v>
      </c>
      <c r="S349" s="73" t="s">
        <v>2</v>
      </c>
      <c r="T349" s="73">
        <f>IF(R349&gt;0,IF(RIGHT(Ruimtestaat[[#This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9" s="73">
        <f>IF(T349&gt;0,VLOOKUP($J349,Ruimtegroepen[],3,FALSE)*VLOOKUP($L349,Vloersoorten[],3,FALSE)*VLOOKUP($S349,Frequenties[],3,FALSE)*VLOOKUP($A349,Locaties[],3,FALSE),0)</f>
        <v>0</v>
      </c>
      <c r="V349" s="73">
        <f>Ruimtestaat[[#This Row],[Uitvoeringen werkdagen]]*Ruimtestaat[[#This Row],[Oppervlak (netto)]]</f>
        <v>12600</v>
      </c>
      <c r="W349" s="108">
        <f>IF(U349&gt;0,Ruimtestaat[[#This Row],[Prest. (m2 /jaar) werkdagen]]/Ruimtestaat[[#This Row],[Norm (m2/uur) werkdagen]],0)</f>
        <v>0</v>
      </c>
      <c r="X349" s="109">
        <f>Ruimtestaat[[#This Row],[uren / jaar werkdagen]]*Tariefsopbouw!$E$35</f>
        <v>0</v>
      </c>
      <c r="Y349" s="73"/>
      <c r="Z349" s="73">
        <f>IF(Ruimtestaat[[#This Row],[Frequentie weekend]]&gt;0,VALUE(LEFT(Y349,1))*R349,0)</f>
        <v>0</v>
      </c>
      <c r="AA349" s="72">
        <f>IF($Z349&gt;0,VLOOKUP($J349,Ruimtegroepen[],3,FALSE)*VLOOKUP($L349,Vloersoorten[],3,FALSE)*VLOOKUP($Y349,Frequenties[],3,FALSE)*VLOOKUP(Ruimtestaat[[#This Row],[Code]],Locaties[],3,FALSE),0)</f>
        <v>0</v>
      </c>
      <c r="AB349" s="72">
        <f>Ruimtestaat[[#This Row],[Uitvoeringen weekend]]*Ruimtestaat[[#This Row],[Oppervlak (netto)]]</f>
        <v>0</v>
      </c>
      <c r="AC349" s="72">
        <f>IF(AA349&gt;0,Ruimtestaat[[#This Row],[Prest. (m2 /jaar) weekend]]/Ruimtestaat[[#This Row],[Norm (m2/uur) weekend]],0)</f>
        <v>0</v>
      </c>
      <c r="AD349" s="109">
        <f>Ruimtestaat[[#This Row],[uren / jaar weekend]]*Tariefsopbouw!$D$40</f>
        <v>0</v>
      </c>
      <c r="AE349" s="108">
        <f>Ruimtestaat[[#This Row],[Prest. (m2 /jaar) weekend]]+Ruimtestaat[[#This Row],[Prest. (m2 /jaar) werkdagen]]</f>
        <v>12600</v>
      </c>
      <c r="AF349" s="108">
        <f>Ruimtestaat[[#This Row],[uren / jaar weekend]]+Ruimtestaat[[#This Row],[uren / jaar werkdagen]]</f>
        <v>0</v>
      </c>
      <c r="AG349" s="103">
        <f>Ruimtestaat[[#This Row],[kosten / jaar weekend]]+Ruimtestaat[[#This Row],[kosten / jaar werkdagen]]</f>
        <v>0</v>
      </c>
      <c r="AH349" s="103"/>
      <c r="AI349" s="110" t="str">
        <f>IF(Ruimtestaat[[#This Row],[Frequentie werkdagen]]="","",_xlfn.CONCAT(Ruimtestaat[[#This Row],[Ruimte code]],"-",Ruimtestaat[[#This Row],[Frequentie werkdagen]]," ",Ruimtestaat[[#This Row],[Vloer code]]))</f>
        <v>16-5w L</v>
      </c>
      <c r="AJ349" s="114" t="str">
        <f>_xlfn.IFNA(VLOOKUP($AI349,Programma!$F$3:$G$1101,2,0),"")</f>
        <v>_</v>
      </c>
      <c r="AK349" s="114" t="str">
        <f>_xlfn.IFNA(VLOOKUP($AI349,Programma!$F$3:$H$1101,3,0),"")</f>
        <v>_</v>
      </c>
      <c r="AL349" s="114" t="str">
        <f>_xlfn.IFNA(VLOOKUP($AI349,Programma!$F$3:$I$1101,4,0),"")</f>
        <v>4w</v>
      </c>
      <c r="AM349" s="114" t="str">
        <f>_xlfn.IFNA(VLOOKUP($AI349,Programma!$F$3:$J$1101,5,0),"")</f>
        <v>1w</v>
      </c>
      <c r="AN349" s="114" t="str">
        <f>_xlfn.IFNA(VLOOKUP($AI349,Programma!$F$3:$K$1101,6,0),"")</f>
        <v>_</v>
      </c>
      <c r="AO349" s="114" t="str">
        <f>_xlfn.IFNA(VLOOKUP($AI349,Programma!$F$3:$L$1101,7,0),"")</f>
        <v>_</v>
      </c>
      <c r="AP349" s="114" t="str">
        <f>_xlfn.IFNA(VLOOKUP($AI349,Programma!$F$3:$M$1101,8,0),"")</f>
        <v>_</v>
      </c>
      <c r="AQ349" s="114" t="str">
        <f>_xlfn.IFNA(VLOOKUP($AI349,Programma!$F$3:$N$1101,9,0),"")</f>
        <v>_</v>
      </c>
      <c r="AR349" s="114" t="str">
        <f>_xlfn.IFNA(VLOOKUP($AI349,Programma!$F$3:$O$1101,10,0),"")</f>
        <v>5w</v>
      </c>
      <c r="AS349" s="114" t="str">
        <f>_xlfn.IFNA(VLOOKUP($AI349,Programma!$F$3:$P$1101,11,0),"")</f>
        <v>5w</v>
      </c>
      <c r="AT349" s="114" t="str">
        <f>_xlfn.IFNA(VLOOKUP($AI349,Programma!$F$3:$Q$1101,12,0),"")</f>
        <v>1w</v>
      </c>
      <c r="AU349" s="114" t="str">
        <f>_xlfn.IFNA(VLOOKUP($AI349,Programma!$F$3:$R$1101,13,0),"")</f>
        <v>1w</v>
      </c>
      <c r="AV349" s="114" t="str">
        <f>_xlfn.IFNA(VLOOKUP($AI349,Programma!$F$3:$S$1101,14,0),"")</f>
        <v>1m</v>
      </c>
      <c r="AW349" s="114" t="str">
        <f>_xlfn.IFNA(VLOOKUP($AI349,Programma!$F$3:$T$1101,15,0),"")</f>
        <v>2j</v>
      </c>
      <c r="AX349" s="114" t="str">
        <f>_xlfn.IFNA(VLOOKUP($AI349,Programma!$F$3:$U$1101,16,0),"")</f>
        <v>1j</v>
      </c>
      <c r="AY349" s="114" t="str">
        <f>_xlfn.IFNA(VLOOKUP($AI349,Programma!$F$3:$V$1101,17,0),"")</f>
        <v>_</v>
      </c>
      <c r="AZ349" s="114" t="str">
        <f>_xlfn.IFNA(VLOOKUP($AI349,Programma!$F$3:$W$1101,18,0),"")</f>
        <v>_</v>
      </c>
      <c r="BA349" s="114" t="str">
        <f>_xlfn.IFNA(VLOOKUP($AI349,Programma!$F$3:$X$1101,19,0),"")</f>
        <v>_</v>
      </c>
      <c r="BB349" s="114" t="str">
        <f>_xlfn.IFNA(VLOOKUP($AI349,Programma!$F$3:$Y$1101,20,0),"")</f>
        <v>_</v>
      </c>
      <c r="BC349" s="111"/>
      <c r="BD349" s="110" t="str">
        <f>IF(Ruimtestaat[[#This Row],[Frequentie weekend]]="","",_xlfn.CONCAT(Ruimtestaat[[#This Row],[Ruimte code]],"-",Ruimtestaat[[#This Row],[Frequentie weekend]]," ",Ruimtestaat[[#This Row],[Vloer code]]))</f>
        <v/>
      </c>
      <c r="BE349" s="114" t="str">
        <f>_xlfn.IFNA(VLOOKUP($BD349,Programma!$F$3:$G$1101,2,0),"")</f>
        <v/>
      </c>
      <c r="BF349" s="114" t="str">
        <f>_xlfn.IFNA(VLOOKUP($BD349,Programma!$F$3:$H$1101,3,0),"")</f>
        <v/>
      </c>
      <c r="BG349" s="114" t="str">
        <f>_xlfn.IFNA(VLOOKUP($BD349,Programma!$F$3:$I$1101,4,0),"")</f>
        <v/>
      </c>
      <c r="BH349" s="114" t="str">
        <f>_xlfn.IFNA(VLOOKUP($BD349,Programma!$F$3:$J$1101,5,0),"")</f>
        <v/>
      </c>
      <c r="BI349" s="114" t="str">
        <f>_xlfn.IFNA(VLOOKUP($BD349,Programma!$F$3:$K$1101,6,0),"")</f>
        <v/>
      </c>
      <c r="BJ349" s="114" t="str">
        <f>_xlfn.IFNA(VLOOKUP($BD349,Programma!$F$3:$L$1101,7,0),"")</f>
        <v/>
      </c>
      <c r="BK349" s="114" t="str">
        <f>_xlfn.IFNA(VLOOKUP($BD349,Programma!$F$3:$M$1101,8,0),"")</f>
        <v/>
      </c>
      <c r="BL349" s="114" t="str">
        <f>_xlfn.IFNA(VLOOKUP($BD349,Programma!$F$3:$N$1101,9,0),"")</f>
        <v/>
      </c>
      <c r="BM349" s="114" t="str">
        <f>_xlfn.IFNA(VLOOKUP($BD349,Programma!$F$3:$O$1101,10,0),"")</f>
        <v/>
      </c>
      <c r="BN349" s="114" t="str">
        <f>_xlfn.IFNA(VLOOKUP($BD349,Programma!$F$3:$P$1101,11,0),"")</f>
        <v/>
      </c>
      <c r="BO349" s="114" t="str">
        <f>_xlfn.IFNA(VLOOKUP($BD349,Programma!$F$3:$Q$1101,12,0),"")</f>
        <v/>
      </c>
      <c r="BP349" s="114" t="str">
        <f>_xlfn.IFNA(VLOOKUP($BD349,Programma!$F$3:$R$1101,13,0),"")</f>
        <v/>
      </c>
      <c r="BQ349" s="114" t="str">
        <f>_xlfn.IFNA(VLOOKUP($BD349,Programma!$F$3:$S$1101,14,0),"")</f>
        <v/>
      </c>
      <c r="BR349" s="114" t="str">
        <f>_xlfn.IFNA(VLOOKUP($BD349,Programma!$F$3:$T$1101,15,0),"")</f>
        <v/>
      </c>
      <c r="BS349" s="114" t="str">
        <f>_xlfn.IFNA(VLOOKUP($BD349,Programma!$F$3:$U$1101,16,0),"")</f>
        <v/>
      </c>
      <c r="BT349" s="114" t="str">
        <f>_xlfn.IFNA(VLOOKUP($BD349,Programma!$F$3:$V$1101,17,0),"")</f>
        <v/>
      </c>
      <c r="BU349" s="114" t="str">
        <f>_xlfn.IFNA(VLOOKUP($BD349,Programma!$F$3:$W$1101,18,0),"")</f>
        <v/>
      </c>
      <c r="BV349" s="114" t="str">
        <f>_xlfn.IFNA(VLOOKUP($BD349,Programma!$F$3:$X$1101,19,0),"")</f>
        <v/>
      </c>
      <c r="BW349" s="114" t="str">
        <f>_xlfn.IFNA(VLOOKUP($BD349,Programma!$F$3:$Y$1101,20,0),"")</f>
        <v/>
      </c>
      <c r="BX349" s="28"/>
      <c r="BY349" s="28"/>
      <c r="BZ349" s="28"/>
      <c r="CA349" s="28"/>
      <c r="CB349" s="28"/>
      <c r="CC349" s="28"/>
      <c r="CD349" s="28"/>
      <c r="CE349" s="28"/>
      <c r="CF349" s="28"/>
      <c r="CG349" s="28"/>
      <c r="CH349" s="28"/>
      <c r="CI349" s="28"/>
      <c r="CJ349" s="28"/>
      <c r="CK349" s="28"/>
      <c r="CL349" s="28"/>
      <c r="CM349" s="28"/>
      <c r="CN349" s="28"/>
      <c r="CO349" s="28"/>
      <c r="CP349" s="28"/>
      <c r="CQ349" s="28"/>
      <c r="CR349" s="28"/>
      <c r="CS349" s="28"/>
      <c r="CT349" s="28"/>
      <c r="CU349" s="28"/>
      <c r="CV349" s="28"/>
      <c r="CW349" s="28"/>
      <c r="CX349" s="28"/>
      <c r="CY349" s="28"/>
      <c r="CZ349" s="28"/>
      <c r="DA349" s="28"/>
      <c r="DB349" s="28"/>
      <c r="DC349" s="28"/>
      <c r="DD349" s="28"/>
      <c r="DE349" s="28"/>
      <c r="DF349" s="28"/>
      <c r="DG349" s="28"/>
      <c r="DH349" s="28"/>
      <c r="DI349" s="28"/>
      <c r="DJ349" s="28"/>
      <c r="DK349" s="28"/>
      <c r="DL349" s="28"/>
      <c r="DM349" s="28"/>
      <c r="DN349" s="28"/>
      <c r="DO349" s="28"/>
      <c r="DP349" s="28"/>
      <c r="DQ349" s="28"/>
      <c r="DR349" s="28"/>
      <c r="DS349" s="28"/>
      <c r="DT349" s="28"/>
      <c r="DU349" s="28"/>
      <c r="DV349" s="28"/>
      <c r="DW349" s="28"/>
      <c r="DX349" s="28"/>
      <c r="DY349" s="28"/>
      <c r="DZ349" s="28"/>
      <c r="EA349" s="28"/>
      <c r="EB349" s="28"/>
      <c r="EC349" s="28"/>
      <c r="ED349" s="28"/>
      <c r="EE349" s="28"/>
      <c r="EF349" s="28"/>
      <c r="EG349" s="28"/>
      <c r="EH349" s="28"/>
      <c r="EI349" s="28"/>
      <c r="EJ349" s="28"/>
      <c r="EK349" s="28"/>
      <c r="EL349" s="28"/>
      <c r="EM349" s="28"/>
      <c r="EN349" s="28"/>
      <c r="EO349" s="28"/>
      <c r="EP349" s="28"/>
      <c r="EQ349" s="28"/>
      <c r="ER349" s="28"/>
      <c r="ES349" s="28"/>
      <c r="ET349" s="28"/>
      <c r="EU349" s="28"/>
      <c r="EV349" s="28"/>
      <c r="EW349" s="28"/>
      <c r="EX349" s="28"/>
      <c r="EY349" s="28"/>
      <c r="EZ349" s="28"/>
      <c r="FA349" s="28"/>
      <c r="FB349" s="28"/>
      <c r="FC349" s="28"/>
      <c r="FD349" s="28"/>
      <c r="FE349" s="28"/>
      <c r="FF349" s="28"/>
      <c r="FG349" s="28"/>
      <c r="FH349" s="28"/>
      <c r="FI349" s="28"/>
      <c r="FJ349" s="28"/>
      <c r="FK349" s="28"/>
      <c r="FL349" s="28"/>
      <c r="FM349" s="28"/>
      <c r="FN349" s="28"/>
      <c r="FO349" s="28"/>
      <c r="FP349" s="28"/>
      <c r="FQ349" s="28"/>
      <c r="FR349" s="28"/>
      <c r="FS349" s="28"/>
      <c r="FT349" s="28"/>
      <c r="FU349" s="28"/>
      <c r="FV349" s="28"/>
      <c r="FW349" s="28"/>
      <c r="FX349" s="28"/>
      <c r="FY349" s="28"/>
      <c r="FZ349" s="28"/>
      <c r="GA349" s="28"/>
      <c r="GB349" s="28"/>
      <c r="GC349" s="28"/>
      <c r="GD349" s="28"/>
      <c r="GE349" s="28"/>
      <c r="GF349" s="28"/>
      <c r="GG349" s="28"/>
      <c r="GH349" s="28"/>
      <c r="GI349" s="28"/>
      <c r="GJ349" s="28"/>
      <c r="GK349" s="28"/>
      <c r="GL349" s="28"/>
      <c r="GM349" s="28"/>
      <c r="GN349" s="28"/>
      <c r="GO349" s="28"/>
      <c r="GP349" s="28"/>
      <c r="GQ349" s="28"/>
      <c r="GR349" s="28"/>
      <c r="GS349" s="28"/>
      <c r="GT349" s="28"/>
      <c r="GU349" s="28"/>
      <c r="GV349" s="28"/>
      <c r="GW349" s="28"/>
      <c r="GX349" s="28"/>
      <c r="GY349" s="28"/>
      <c r="GZ349" s="28"/>
      <c r="HA349" s="28"/>
      <c r="HB349" s="28"/>
      <c r="HC349" s="28"/>
      <c r="HD349" s="28"/>
      <c r="HE349" s="28"/>
      <c r="HF349" s="28"/>
      <c r="HG349" s="28"/>
      <c r="HH349" s="28"/>
      <c r="HI349" s="28"/>
      <c r="HJ349" s="28"/>
      <c r="HK349" s="28"/>
      <c r="HL349" s="28"/>
    </row>
    <row r="350" spans="1:220" ht="15" customHeight="1">
      <c r="A350" s="31">
        <v>7</v>
      </c>
      <c r="B350" s="105" t="str">
        <f>VLOOKUP(Ruimtestaat[[#This Row],[Code]],Locaties[[Code]:[Locatie]],2,FALSE)</f>
        <v>Montessori IKC De Groene Ring</v>
      </c>
      <c r="C350" s="105" t="str">
        <f>VLOOKUP(Ruimtestaat[[#This Row],[Code]],Locaties[[#All],[Code]:[Adres]],4,FALSE)</f>
        <v>Bergdravik 2</v>
      </c>
      <c r="D350" s="105" t="str">
        <f>VLOOKUP(Ruimtestaat[[#This Row],[Code]],Locaties[[#All],[Code]:[Postcode]],5,FALSE)</f>
        <v>6922 HM</v>
      </c>
      <c r="E350" s="105" t="str">
        <f>VLOOKUP(Ruimtestaat[[#This Row],[Code]],Locaties[#All],6,FALSE)</f>
        <v>Duiven</v>
      </c>
      <c r="F350" s="113"/>
      <c r="I350" s="113" t="s">
        <v>1794</v>
      </c>
      <c r="J350" s="31">
        <v>5</v>
      </c>
      <c r="K350" s="113" t="str">
        <f>VLOOKUP(Ruimtestaat[[#This Row],[Ruimte code]],Ruimtegroepen[[#All],[Code]:[Ruimte omschrijving]],2,FALSE)</f>
        <v>Sanitair</v>
      </c>
      <c r="L350" s="31" t="s">
        <v>101</v>
      </c>
      <c r="M350" s="31" t="s">
        <v>1976</v>
      </c>
      <c r="N350" s="106">
        <v>4</v>
      </c>
      <c r="O350" s="112"/>
      <c r="P350" s="112"/>
      <c r="Q350" s="107" t="str">
        <f>VLOOKUP(Ruimtestaat[[#This Row],[Ruimte code]],Ruimtegroepen[],4,FALSE)</f>
        <v>Sa</v>
      </c>
      <c r="R350" s="73">
        <v>40</v>
      </c>
      <c r="S350" s="73" t="s">
        <v>2</v>
      </c>
      <c r="T350" s="73">
        <f>IF(R350&gt;0,IF(RIGHT(Ruimtestaat[[#This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0" s="73">
        <f>IF(T350&gt;0,VLOOKUP($J350,Ruimtegroepen[],3,FALSE)*VLOOKUP($L350,Vloersoorten[],3,FALSE)*VLOOKUP($S350,Frequenties[],3,FALSE)*VLOOKUP($A350,Locaties[],3,FALSE),0)</f>
        <v>0</v>
      </c>
      <c r="V350" s="73">
        <f>Ruimtestaat[[#This Row],[Uitvoeringen werkdagen]]*Ruimtestaat[[#This Row],[Oppervlak (netto)]]</f>
        <v>800</v>
      </c>
      <c r="W350" s="108">
        <f>IF(U350&gt;0,Ruimtestaat[[#This Row],[Prest. (m2 /jaar) werkdagen]]/Ruimtestaat[[#This Row],[Norm (m2/uur) werkdagen]],0)</f>
        <v>0</v>
      </c>
      <c r="X350" s="109">
        <f>Ruimtestaat[[#This Row],[uren / jaar werkdagen]]*Tariefsopbouw!$E$35</f>
        <v>0</v>
      </c>
      <c r="Y350" s="73"/>
      <c r="Z350" s="73">
        <f>IF(Ruimtestaat[[#This Row],[Frequentie weekend]]&gt;0,VALUE(LEFT(Y350,1))*R350,0)</f>
        <v>0</v>
      </c>
      <c r="AA350" s="72">
        <f>IF($Z350&gt;0,VLOOKUP($J350,Ruimtegroepen[],3,FALSE)*VLOOKUP($L350,Vloersoorten[],3,FALSE)*VLOOKUP($Y350,Frequenties[],3,FALSE)*VLOOKUP(Ruimtestaat[[#This Row],[Code]],Locaties[],3,FALSE),0)</f>
        <v>0</v>
      </c>
      <c r="AB350" s="72">
        <f>Ruimtestaat[[#This Row],[Uitvoeringen weekend]]*Ruimtestaat[[#This Row],[Oppervlak (netto)]]</f>
        <v>0</v>
      </c>
      <c r="AC350" s="72">
        <f>IF(AA350&gt;0,Ruimtestaat[[#This Row],[Prest. (m2 /jaar) weekend]]/Ruimtestaat[[#This Row],[Norm (m2/uur) weekend]],0)</f>
        <v>0</v>
      </c>
      <c r="AD350" s="109">
        <f>Ruimtestaat[[#This Row],[uren / jaar weekend]]*Tariefsopbouw!$D$40</f>
        <v>0</v>
      </c>
      <c r="AE350" s="108">
        <f>Ruimtestaat[[#This Row],[Prest. (m2 /jaar) weekend]]+Ruimtestaat[[#This Row],[Prest. (m2 /jaar) werkdagen]]</f>
        <v>800</v>
      </c>
      <c r="AF350" s="108">
        <f>Ruimtestaat[[#This Row],[uren / jaar weekend]]+Ruimtestaat[[#This Row],[uren / jaar werkdagen]]</f>
        <v>0</v>
      </c>
      <c r="AG350" s="103">
        <f>Ruimtestaat[[#This Row],[kosten / jaar weekend]]+Ruimtestaat[[#This Row],[kosten / jaar werkdagen]]</f>
        <v>0</v>
      </c>
      <c r="AH350" s="103"/>
      <c r="AI350" s="110" t="str">
        <f>IF(Ruimtestaat[[#This Row],[Frequentie werkdagen]]="","",_xlfn.CONCAT(Ruimtestaat[[#This Row],[Ruimte code]],"-",Ruimtestaat[[#This Row],[Frequentie werkdagen]]," ",Ruimtestaat[[#This Row],[Vloer code]]))</f>
        <v>5-5w S</v>
      </c>
      <c r="AJ350" s="114" t="str">
        <f>_xlfn.IFNA(VLOOKUP($AI350,Programma!$F$3:$G$1101,2,0),"")</f>
        <v>_</v>
      </c>
      <c r="AK350" s="114" t="str">
        <f>_xlfn.IFNA(VLOOKUP($AI350,Programma!$F$3:$H$1101,3,0),"")</f>
        <v>_</v>
      </c>
      <c r="AL350" s="114" t="str">
        <f>_xlfn.IFNA(VLOOKUP($AI350,Programma!$F$3:$I$1101,4,0),"")</f>
        <v>_</v>
      </c>
      <c r="AM350" s="114" t="str">
        <f>_xlfn.IFNA(VLOOKUP($AI350,Programma!$F$3:$J$1101,5,0),"")</f>
        <v>4w</v>
      </c>
      <c r="AN350" s="114" t="str">
        <f>_xlfn.IFNA(VLOOKUP($AI350,Programma!$F$3:$K$1101,6,0),"")</f>
        <v>1w</v>
      </c>
      <c r="AO350" s="114" t="str">
        <f>_xlfn.IFNA(VLOOKUP($AI350,Programma!$F$3:$L$1101,7,0),"")</f>
        <v>_</v>
      </c>
      <c r="AP350" s="114" t="str">
        <f>_xlfn.IFNA(VLOOKUP($AI350,Programma!$F$3:$M$1101,8,0),"")</f>
        <v>_</v>
      </c>
      <c r="AQ350" s="114" t="str">
        <f>_xlfn.IFNA(VLOOKUP($AI350,Programma!$F$3:$N$1101,9,0),"")</f>
        <v>_</v>
      </c>
      <c r="AR350" s="114" t="str">
        <f>_xlfn.IFNA(VLOOKUP($AI350,Programma!$F$3:$O$1101,10,0),"")</f>
        <v>_</v>
      </c>
      <c r="AS350" s="114" t="str">
        <f>_xlfn.IFNA(VLOOKUP($AI350,Programma!$F$3:$P$1101,11,0),"")</f>
        <v>_</v>
      </c>
      <c r="AT350" s="114" t="str">
        <f>_xlfn.IFNA(VLOOKUP($AI350,Programma!$F$3:$Q$1101,12,0),"")</f>
        <v>_</v>
      </c>
      <c r="AU350" s="114" t="str">
        <f>_xlfn.IFNA(VLOOKUP($AI350,Programma!$F$3:$R$1101,13,0),"")</f>
        <v>_</v>
      </c>
      <c r="AV350" s="114" t="str">
        <f>_xlfn.IFNA(VLOOKUP($AI350,Programma!$F$3:$S$1101,14,0),"")</f>
        <v>_</v>
      </c>
      <c r="AW350" s="114" t="str">
        <f>_xlfn.IFNA(VLOOKUP($AI350,Programma!$F$3:$T$1101,15,0),"")</f>
        <v>_</v>
      </c>
      <c r="AX350" s="114" t="str">
        <f>_xlfn.IFNA(VLOOKUP($AI350,Programma!$F$3:$U$1101,16,0),"")</f>
        <v>_</v>
      </c>
      <c r="AY350" s="114" t="str">
        <f>_xlfn.IFNA(VLOOKUP($AI350,Programma!$F$3:$V$1101,17,0),"")</f>
        <v>_</v>
      </c>
      <c r="AZ350" s="114" t="str">
        <f>_xlfn.IFNA(VLOOKUP($AI350,Programma!$F$3:$W$1101,18,0),"")</f>
        <v>4w</v>
      </c>
      <c r="BA350" s="114" t="str">
        <f>_xlfn.IFNA(VLOOKUP($AI350,Programma!$F$3:$X$1101,19,0),"")</f>
        <v>1w</v>
      </c>
      <c r="BB350" s="114" t="str">
        <f>_xlfn.IFNA(VLOOKUP($AI350,Programma!$F$3:$Y$1101,20,0),"")</f>
        <v>_</v>
      </c>
      <c r="BC350" s="111"/>
      <c r="BD350" s="110" t="str">
        <f>IF(Ruimtestaat[[#This Row],[Frequentie weekend]]="","",_xlfn.CONCAT(Ruimtestaat[[#This Row],[Ruimte code]],"-",Ruimtestaat[[#This Row],[Frequentie weekend]]," ",Ruimtestaat[[#This Row],[Vloer code]]))</f>
        <v/>
      </c>
      <c r="BE350" s="114" t="str">
        <f>_xlfn.IFNA(VLOOKUP($BD350,Programma!$F$3:$G$1101,2,0),"")</f>
        <v/>
      </c>
      <c r="BF350" s="114" t="str">
        <f>_xlfn.IFNA(VLOOKUP($BD350,Programma!$F$3:$H$1101,3,0),"")</f>
        <v/>
      </c>
      <c r="BG350" s="114" t="str">
        <f>_xlfn.IFNA(VLOOKUP($BD350,Programma!$F$3:$I$1101,4,0),"")</f>
        <v/>
      </c>
      <c r="BH350" s="114" t="str">
        <f>_xlfn.IFNA(VLOOKUP($BD350,Programma!$F$3:$J$1101,5,0),"")</f>
        <v/>
      </c>
      <c r="BI350" s="114" t="str">
        <f>_xlfn.IFNA(VLOOKUP($BD350,Programma!$F$3:$K$1101,6,0),"")</f>
        <v/>
      </c>
      <c r="BJ350" s="114" t="str">
        <f>_xlfn.IFNA(VLOOKUP($BD350,Programma!$F$3:$L$1101,7,0),"")</f>
        <v/>
      </c>
      <c r="BK350" s="114" t="str">
        <f>_xlfn.IFNA(VLOOKUP($BD350,Programma!$F$3:$M$1101,8,0),"")</f>
        <v/>
      </c>
      <c r="BL350" s="114" t="str">
        <f>_xlfn.IFNA(VLOOKUP($BD350,Programma!$F$3:$N$1101,9,0),"")</f>
        <v/>
      </c>
      <c r="BM350" s="114" t="str">
        <f>_xlfn.IFNA(VLOOKUP($BD350,Programma!$F$3:$O$1101,10,0),"")</f>
        <v/>
      </c>
      <c r="BN350" s="114" t="str">
        <f>_xlfn.IFNA(VLOOKUP($BD350,Programma!$F$3:$P$1101,11,0),"")</f>
        <v/>
      </c>
      <c r="BO350" s="114" t="str">
        <f>_xlfn.IFNA(VLOOKUP($BD350,Programma!$F$3:$Q$1101,12,0),"")</f>
        <v/>
      </c>
      <c r="BP350" s="114" t="str">
        <f>_xlfn.IFNA(VLOOKUP($BD350,Programma!$F$3:$R$1101,13,0),"")</f>
        <v/>
      </c>
      <c r="BQ350" s="114" t="str">
        <f>_xlfn.IFNA(VLOOKUP($BD350,Programma!$F$3:$S$1101,14,0),"")</f>
        <v/>
      </c>
      <c r="BR350" s="114" t="str">
        <f>_xlfn.IFNA(VLOOKUP($BD350,Programma!$F$3:$T$1101,15,0),"")</f>
        <v/>
      </c>
      <c r="BS350" s="114" t="str">
        <f>_xlfn.IFNA(VLOOKUP($BD350,Programma!$F$3:$U$1101,16,0),"")</f>
        <v/>
      </c>
      <c r="BT350" s="114" t="str">
        <f>_xlfn.IFNA(VLOOKUP($BD350,Programma!$F$3:$V$1101,17,0),"")</f>
        <v/>
      </c>
      <c r="BU350" s="114" t="str">
        <f>_xlfn.IFNA(VLOOKUP($BD350,Programma!$F$3:$W$1101,18,0),"")</f>
        <v/>
      </c>
      <c r="BV350" s="114" t="str">
        <f>_xlfn.IFNA(VLOOKUP($BD350,Programma!$F$3:$X$1101,19,0),"")</f>
        <v/>
      </c>
      <c r="BW350" s="114" t="str">
        <f>_xlfn.IFNA(VLOOKUP($BD350,Programma!$F$3:$Y$1101,20,0),"")</f>
        <v/>
      </c>
      <c r="BX350" s="28"/>
      <c r="BY350" s="28"/>
      <c r="BZ350" s="28"/>
      <c r="CA350" s="28"/>
      <c r="CB350" s="28"/>
      <c r="CC350" s="28"/>
      <c r="CD350" s="28"/>
      <c r="CE350" s="28"/>
      <c r="CF350" s="28"/>
      <c r="CG350" s="28"/>
      <c r="CH350" s="28"/>
      <c r="CI350" s="28"/>
      <c r="CJ350" s="28"/>
      <c r="CK350" s="28"/>
      <c r="CL350" s="28"/>
      <c r="CM350" s="28"/>
      <c r="CN350" s="28"/>
      <c r="CO350" s="28"/>
      <c r="CP350" s="28"/>
      <c r="CQ350" s="28"/>
      <c r="CR350" s="28"/>
      <c r="CS350" s="28"/>
      <c r="CT350" s="28"/>
      <c r="CU350" s="28"/>
      <c r="CV350" s="28"/>
      <c r="CW350" s="28"/>
      <c r="CX350" s="28"/>
      <c r="CY350" s="28"/>
      <c r="CZ350" s="28"/>
      <c r="DA350" s="28"/>
      <c r="DB350" s="28"/>
      <c r="DC350" s="28"/>
      <c r="DD350" s="28"/>
      <c r="DE350" s="28"/>
      <c r="DF350" s="28"/>
      <c r="DG350" s="28"/>
      <c r="DH350" s="28"/>
      <c r="DI350" s="28"/>
      <c r="DJ350" s="28"/>
      <c r="DK350" s="28"/>
      <c r="DL350" s="28"/>
      <c r="DM350" s="28"/>
      <c r="DN350" s="28"/>
      <c r="DO350" s="28"/>
      <c r="DP350" s="28"/>
      <c r="DQ350" s="28"/>
      <c r="DR350" s="28"/>
      <c r="DS350" s="28"/>
      <c r="DT350" s="28"/>
      <c r="DU350" s="28"/>
      <c r="DV350" s="28"/>
      <c r="DW350" s="28"/>
      <c r="DX350" s="28"/>
      <c r="DY350" s="28"/>
      <c r="DZ350" s="28"/>
      <c r="EA350" s="28"/>
      <c r="EB350" s="28"/>
      <c r="EC350" s="28"/>
      <c r="ED350" s="28"/>
      <c r="EE350" s="28"/>
      <c r="EF350" s="28"/>
      <c r="EG350" s="28"/>
      <c r="EH350" s="28"/>
      <c r="EI350" s="28"/>
      <c r="EJ350" s="28"/>
      <c r="EK350" s="28"/>
      <c r="EL350" s="28"/>
      <c r="EM350" s="28"/>
      <c r="EN350" s="28"/>
      <c r="EO350" s="28"/>
      <c r="EP350" s="28"/>
      <c r="EQ350" s="28"/>
      <c r="ER350" s="28"/>
      <c r="ES350" s="28"/>
      <c r="ET350" s="28"/>
      <c r="EU350" s="28"/>
      <c r="EV350" s="28"/>
      <c r="EW350" s="28"/>
      <c r="EX350" s="28"/>
      <c r="EY350" s="28"/>
      <c r="EZ350" s="28"/>
      <c r="FA350" s="28"/>
      <c r="FB350" s="28"/>
      <c r="FC350" s="28"/>
      <c r="FD350" s="28"/>
      <c r="FE350" s="28"/>
      <c r="FF350" s="28"/>
      <c r="FG350" s="28"/>
      <c r="FH350" s="28"/>
      <c r="FI350" s="28"/>
      <c r="FJ350" s="28"/>
      <c r="FK350" s="28"/>
      <c r="FL350" s="28"/>
      <c r="FM350" s="28"/>
      <c r="FN350" s="28"/>
      <c r="FO350" s="28"/>
      <c r="FP350" s="28"/>
      <c r="FQ350" s="28"/>
      <c r="FR350" s="28"/>
      <c r="FS350" s="28"/>
      <c r="FT350" s="28"/>
      <c r="FU350" s="28"/>
      <c r="FV350" s="28"/>
      <c r="FW350" s="28"/>
      <c r="FX350" s="28"/>
      <c r="FY350" s="28"/>
      <c r="FZ350" s="28"/>
      <c r="GA350" s="28"/>
      <c r="GB350" s="28"/>
      <c r="GC350" s="28"/>
      <c r="GD350" s="28"/>
      <c r="GE350" s="28"/>
      <c r="GF350" s="28"/>
      <c r="GG350" s="28"/>
      <c r="GH350" s="28"/>
      <c r="GI350" s="28"/>
      <c r="GJ350" s="28"/>
      <c r="GK350" s="28"/>
      <c r="GL350" s="28"/>
      <c r="GM350" s="28"/>
      <c r="GN350" s="28"/>
      <c r="GO350" s="28"/>
      <c r="GP350" s="28"/>
      <c r="GQ350" s="28"/>
      <c r="GR350" s="28"/>
      <c r="GS350" s="28"/>
      <c r="GT350" s="28"/>
      <c r="GU350" s="28"/>
      <c r="GV350" s="28"/>
      <c r="GW350" s="28"/>
      <c r="GX350" s="28"/>
      <c r="GY350" s="28"/>
      <c r="GZ350" s="28"/>
      <c r="HA350" s="28"/>
      <c r="HB350" s="28"/>
      <c r="HC350" s="28"/>
      <c r="HD350" s="28"/>
      <c r="HE350" s="28"/>
      <c r="HF350" s="28"/>
      <c r="HG350" s="28"/>
      <c r="HH350" s="28"/>
      <c r="HI350" s="28"/>
      <c r="HJ350" s="28"/>
      <c r="HK350" s="28"/>
      <c r="HL350" s="28"/>
    </row>
    <row r="351" spans="1:220" ht="15" customHeight="1">
      <c r="A351" s="31">
        <v>7</v>
      </c>
      <c r="B351" s="105" t="str">
        <f>VLOOKUP(Ruimtestaat[[#This Row],[Code]],Locaties[[Code]:[Locatie]],2,FALSE)</f>
        <v>Montessori IKC De Groene Ring</v>
      </c>
      <c r="C351" s="105" t="str">
        <f>VLOOKUP(Ruimtestaat[[#This Row],[Code]],Locaties[[#All],[Code]:[Adres]],4,FALSE)</f>
        <v>Bergdravik 2</v>
      </c>
      <c r="D351" s="105" t="str">
        <f>VLOOKUP(Ruimtestaat[[#This Row],[Code]],Locaties[[#All],[Code]:[Postcode]],5,FALSE)</f>
        <v>6922 HM</v>
      </c>
      <c r="E351" s="105" t="str">
        <f>VLOOKUP(Ruimtestaat[[#This Row],[Code]],Locaties[#All],6,FALSE)</f>
        <v>Duiven</v>
      </c>
      <c r="F351" s="113"/>
      <c r="I351" s="113" t="s">
        <v>1662</v>
      </c>
      <c r="J351" s="31">
        <v>16</v>
      </c>
      <c r="K351" s="113" t="str">
        <f>VLOOKUP(Ruimtestaat[[#This Row],[Ruimte code]],Ruimtegroepen[[#All],[Code]:[Ruimte omschrijving]],2,FALSE)</f>
        <v>Leslokalen</v>
      </c>
      <c r="L351" s="31" t="s">
        <v>100</v>
      </c>
      <c r="M351" s="31" t="s">
        <v>1975</v>
      </c>
      <c r="N351" s="106">
        <v>63</v>
      </c>
      <c r="O351" s="112"/>
      <c r="P351" s="112"/>
      <c r="Q351" s="107" t="str">
        <f>VLOOKUP(Ruimtestaat[[#This Row],[Ruimte code]],Ruimtegroepen[],4,FALSE)</f>
        <v>Le</v>
      </c>
      <c r="R351" s="73">
        <v>40</v>
      </c>
      <c r="S351" s="73" t="s">
        <v>2</v>
      </c>
      <c r="T351" s="73">
        <f>IF(R351&gt;0,IF(RIGHT(Ruimtestaat[[#This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1" s="73">
        <f>IF(T351&gt;0,VLOOKUP($J351,Ruimtegroepen[],3,FALSE)*VLOOKUP($L351,Vloersoorten[],3,FALSE)*VLOOKUP($S351,Frequenties[],3,FALSE)*VLOOKUP($A351,Locaties[],3,FALSE),0)</f>
        <v>0</v>
      </c>
      <c r="V351" s="73">
        <f>Ruimtestaat[[#This Row],[Uitvoeringen werkdagen]]*Ruimtestaat[[#This Row],[Oppervlak (netto)]]</f>
        <v>12600</v>
      </c>
      <c r="W351" s="108">
        <f>IF(U351&gt;0,Ruimtestaat[[#This Row],[Prest. (m2 /jaar) werkdagen]]/Ruimtestaat[[#This Row],[Norm (m2/uur) werkdagen]],0)</f>
        <v>0</v>
      </c>
      <c r="X351" s="109">
        <f>Ruimtestaat[[#This Row],[uren / jaar werkdagen]]*Tariefsopbouw!$E$35</f>
        <v>0</v>
      </c>
      <c r="Y351" s="73"/>
      <c r="Z351" s="73">
        <f>IF(Ruimtestaat[[#This Row],[Frequentie weekend]]&gt;0,VALUE(LEFT(Y351,1))*R351,0)</f>
        <v>0</v>
      </c>
      <c r="AA351" s="72">
        <f>IF($Z351&gt;0,VLOOKUP($J351,Ruimtegroepen[],3,FALSE)*VLOOKUP($L351,Vloersoorten[],3,FALSE)*VLOOKUP($Y351,Frequenties[],3,FALSE)*VLOOKUP(Ruimtestaat[[#This Row],[Code]],Locaties[],3,FALSE),0)</f>
        <v>0</v>
      </c>
      <c r="AB351" s="72">
        <f>Ruimtestaat[[#This Row],[Uitvoeringen weekend]]*Ruimtestaat[[#This Row],[Oppervlak (netto)]]</f>
        <v>0</v>
      </c>
      <c r="AC351" s="72">
        <f>IF(AA351&gt;0,Ruimtestaat[[#This Row],[Prest. (m2 /jaar) weekend]]/Ruimtestaat[[#This Row],[Norm (m2/uur) weekend]],0)</f>
        <v>0</v>
      </c>
      <c r="AD351" s="109">
        <f>Ruimtestaat[[#This Row],[uren / jaar weekend]]*Tariefsopbouw!$D$40</f>
        <v>0</v>
      </c>
      <c r="AE351" s="108">
        <f>Ruimtestaat[[#This Row],[Prest. (m2 /jaar) weekend]]+Ruimtestaat[[#This Row],[Prest. (m2 /jaar) werkdagen]]</f>
        <v>12600</v>
      </c>
      <c r="AF351" s="108">
        <f>Ruimtestaat[[#This Row],[uren / jaar weekend]]+Ruimtestaat[[#This Row],[uren / jaar werkdagen]]</f>
        <v>0</v>
      </c>
      <c r="AG351" s="103">
        <f>Ruimtestaat[[#This Row],[kosten / jaar weekend]]+Ruimtestaat[[#This Row],[kosten / jaar werkdagen]]</f>
        <v>0</v>
      </c>
      <c r="AH351" s="103"/>
      <c r="AI351" s="110" t="str">
        <f>IF(Ruimtestaat[[#This Row],[Frequentie werkdagen]]="","",_xlfn.CONCAT(Ruimtestaat[[#This Row],[Ruimte code]],"-",Ruimtestaat[[#This Row],[Frequentie werkdagen]]," ",Ruimtestaat[[#This Row],[Vloer code]]))</f>
        <v>16-5w L</v>
      </c>
      <c r="AJ351" s="114" t="str">
        <f>_xlfn.IFNA(VLOOKUP($AI351,Programma!$F$3:$G$1101,2,0),"")</f>
        <v>_</v>
      </c>
      <c r="AK351" s="114" t="str">
        <f>_xlfn.IFNA(VLOOKUP($AI351,Programma!$F$3:$H$1101,3,0),"")</f>
        <v>_</v>
      </c>
      <c r="AL351" s="114" t="str">
        <f>_xlfn.IFNA(VLOOKUP($AI351,Programma!$F$3:$I$1101,4,0),"")</f>
        <v>4w</v>
      </c>
      <c r="AM351" s="114" t="str">
        <f>_xlfn.IFNA(VLOOKUP($AI351,Programma!$F$3:$J$1101,5,0),"")</f>
        <v>1w</v>
      </c>
      <c r="AN351" s="114" t="str">
        <f>_xlfn.IFNA(VLOOKUP($AI351,Programma!$F$3:$K$1101,6,0),"")</f>
        <v>_</v>
      </c>
      <c r="AO351" s="114" t="str">
        <f>_xlfn.IFNA(VLOOKUP($AI351,Programma!$F$3:$L$1101,7,0),"")</f>
        <v>_</v>
      </c>
      <c r="AP351" s="114" t="str">
        <f>_xlfn.IFNA(VLOOKUP($AI351,Programma!$F$3:$M$1101,8,0),"")</f>
        <v>_</v>
      </c>
      <c r="AQ351" s="114" t="str">
        <f>_xlfn.IFNA(VLOOKUP($AI351,Programma!$F$3:$N$1101,9,0),"")</f>
        <v>_</v>
      </c>
      <c r="AR351" s="114" t="str">
        <f>_xlfn.IFNA(VLOOKUP($AI351,Programma!$F$3:$O$1101,10,0),"")</f>
        <v>5w</v>
      </c>
      <c r="AS351" s="114" t="str">
        <f>_xlfn.IFNA(VLOOKUP($AI351,Programma!$F$3:$P$1101,11,0),"")</f>
        <v>5w</v>
      </c>
      <c r="AT351" s="114" t="str">
        <f>_xlfn.IFNA(VLOOKUP($AI351,Programma!$F$3:$Q$1101,12,0),"")</f>
        <v>1w</v>
      </c>
      <c r="AU351" s="114" t="str">
        <f>_xlfn.IFNA(VLOOKUP($AI351,Programma!$F$3:$R$1101,13,0),"")</f>
        <v>1w</v>
      </c>
      <c r="AV351" s="114" t="str">
        <f>_xlfn.IFNA(VLOOKUP($AI351,Programma!$F$3:$S$1101,14,0),"")</f>
        <v>1m</v>
      </c>
      <c r="AW351" s="114" t="str">
        <f>_xlfn.IFNA(VLOOKUP($AI351,Programma!$F$3:$T$1101,15,0),"")</f>
        <v>2j</v>
      </c>
      <c r="AX351" s="114" t="str">
        <f>_xlfn.IFNA(VLOOKUP($AI351,Programma!$F$3:$U$1101,16,0),"")</f>
        <v>1j</v>
      </c>
      <c r="AY351" s="114" t="str">
        <f>_xlfn.IFNA(VLOOKUP($AI351,Programma!$F$3:$V$1101,17,0),"")</f>
        <v>_</v>
      </c>
      <c r="AZ351" s="114" t="str">
        <f>_xlfn.IFNA(VLOOKUP($AI351,Programma!$F$3:$W$1101,18,0),"")</f>
        <v>_</v>
      </c>
      <c r="BA351" s="114" t="str">
        <f>_xlfn.IFNA(VLOOKUP($AI351,Programma!$F$3:$X$1101,19,0),"")</f>
        <v>_</v>
      </c>
      <c r="BB351" s="114" t="str">
        <f>_xlfn.IFNA(VLOOKUP($AI351,Programma!$F$3:$Y$1101,20,0),"")</f>
        <v>_</v>
      </c>
      <c r="BC351" s="111"/>
      <c r="BD351" s="110" t="str">
        <f>IF(Ruimtestaat[[#This Row],[Frequentie weekend]]="","",_xlfn.CONCAT(Ruimtestaat[[#This Row],[Ruimte code]],"-",Ruimtestaat[[#This Row],[Frequentie weekend]]," ",Ruimtestaat[[#This Row],[Vloer code]]))</f>
        <v/>
      </c>
      <c r="BE351" s="114" t="str">
        <f>_xlfn.IFNA(VLOOKUP($BD351,Programma!$F$3:$G$1101,2,0),"")</f>
        <v/>
      </c>
      <c r="BF351" s="114" t="str">
        <f>_xlfn.IFNA(VLOOKUP($BD351,Programma!$F$3:$H$1101,3,0),"")</f>
        <v/>
      </c>
      <c r="BG351" s="114" t="str">
        <f>_xlfn.IFNA(VLOOKUP($BD351,Programma!$F$3:$I$1101,4,0),"")</f>
        <v/>
      </c>
      <c r="BH351" s="114" t="str">
        <f>_xlfn.IFNA(VLOOKUP($BD351,Programma!$F$3:$J$1101,5,0),"")</f>
        <v/>
      </c>
      <c r="BI351" s="114" t="str">
        <f>_xlfn.IFNA(VLOOKUP($BD351,Programma!$F$3:$K$1101,6,0),"")</f>
        <v/>
      </c>
      <c r="BJ351" s="114" t="str">
        <f>_xlfn.IFNA(VLOOKUP($BD351,Programma!$F$3:$L$1101,7,0),"")</f>
        <v/>
      </c>
      <c r="BK351" s="114" t="str">
        <f>_xlfn.IFNA(VLOOKUP($BD351,Programma!$F$3:$M$1101,8,0),"")</f>
        <v/>
      </c>
      <c r="BL351" s="114" t="str">
        <f>_xlfn.IFNA(VLOOKUP($BD351,Programma!$F$3:$N$1101,9,0),"")</f>
        <v/>
      </c>
      <c r="BM351" s="114" t="str">
        <f>_xlfn.IFNA(VLOOKUP($BD351,Programma!$F$3:$O$1101,10,0),"")</f>
        <v/>
      </c>
      <c r="BN351" s="114" t="str">
        <f>_xlfn.IFNA(VLOOKUP($BD351,Programma!$F$3:$P$1101,11,0),"")</f>
        <v/>
      </c>
      <c r="BO351" s="114" t="str">
        <f>_xlfn.IFNA(VLOOKUP($BD351,Programma!$F$3:$Q$1101,12,0),"")</f>
        <v/>
      </c>
      <c r="BP351" s="114" t="str">
        <f>_xlfn.IFNA(VLOOKUP($BD351,Programma!$F$3:$R$1101,13,0),"")</f>
        <v/>
      </c>
      <c r="BQ351" s="114" t="str">
        <f>_xlfn.IFNA(VLOOKUP($BD351,Programma!$F$3:$S$1101,14,0),"")</f>
        <v/>
      </c>
      <c r="BR351" s="114" t="str">
        <f>_xlfn.IFNA(VLOOKUP($BD351,Programma!$F$3:$T$1101,15,0),"")</f>
        <v/>
      </c>
      <c r="BS351" s="114" t="str">
        <f>_xlfn.IFNA(VLOOKUP($BD351,Programma!$F$3:$U$1101,16,0),"")</f>
        <v/>
      </c>
      <c r="BT351" s="114" t="str">
        <f>_xlfn.IFNA(VLOOKUP($BD351,Programma!$F$3:$V$1101,17,0),"")</f>
        <v/>
      </c>
      <c r="BU351" s="114" t="str">
        <f>_xlfn.IFNA(VLOOKUP($BD351,Programma!$F$3:$W$1101,18,0),"")</f>
        <v/>
      </c>
      <c r="BV351" s="114" t="str">
        <f>_xlfn.IFNA(VLOOKUP($BD351,Programma!$F$3:$X$1101,19,0),"")</f>
        <v/>
      </c>
      <c r="BW351" s="114" t="str">
        <f>_xlfn.IFNA(VLOOKUP($BD351,Programma!$F$3:$Y$1101,20,0),"")</f>
        <v/>
      </c>
      <c r="BX351" s="28"/>
      <c r="BY351" s="28"/>
      <c r="BZ351" s="28"/>
      <c r="CA351" s="28"/>
      <c r="CB351" s="28"/>
      <c r="CC351" s="28"/>
      <c r="CD351" s="28"/>
      <c r="CE351" s="28"/>
      <c r="CF351" s="28"/>
      <c r="CG351" s="28"/>
      <c r="CH351" s="28"/>
      <c r="CI351" s="28"/>
      <c r="CJ351" s="28"/>
      <c r="CK351" s="28"/>
      <c r="CL351" s="28"/>
      <c r="CM351" s="28"/>
      <c r="CN351" s="28"/>
      <c r="CO351" s="28"/>
      <c r="CP351" s="28"/>
      <c r="CQ351" s="28"/>
      <c r="CR351" s="28"/>
      <c r="CS351" s="28"/>
      <c r="CT351" s="28"/>
      <c r="CU351" s="28"/>
      <c r="CV351" s="28"/>
      <c r="CW351" s="28"/>
      <c r="CX351" s="28"/>
      <c r="CY351" s="28"/>
      <c r="CZ351" s="28"/>
      <c r="DA351" s="28"/>
      <c r="DB351" s="28"/>
      <c r="DC351" s="28"/>
      <c r="DD351" s="28"/>
      <c r="DE351" s="28"/>
      <c r="DF351" s="28"/>
      <c r="DG351" s="28"/>
      <c r="DH351" s="28"/>
      <c r="DI351" s="28"/>
      <c r="DJ351" s="28"/>
      <c r="DK351" s="28"/>
      <c r="DL351" s="28"/>
      <c r="DM351" s="28"/>
      <c r="DN351" s="28"/>
      <c r="DO351" s="28"/>
      <c r="DP351" s="28"/>
      <c r="DQ351" s="28"/>
      <c r="DR351" s="28"/>
      <c r="DS351" s="28"/>
      <c r="DT351" s="28"/>
      <c r="DU351" s="28"/>
      <c r="DV351" s="28"/>
      <c r="DW351" s="28"/>
      <c r="DX351" s="28"/>
      <c r="DY351" s="28"/>
      <c r="DZ351" s="28"/>
      <c r="EA351" s="28"/>
      <c r="EB351" s="28"/>
      <c r="EC351" s="28"/>
      <c r="ED351" s="28"/>
      <c r="EE351" s="28"/>
      <c r="EF351" s="28"/>
      <c r="EG351" s="28"/>
      <c r="EH351" s="28"/>
      <c r="EI351" s="28"/>
      <c r="EJ351" s="28"/>
      <c r="EK351" s="28"/>
      <c r="EL351" s="28"/>
      <c r="EM351" s="28"/>
      <c r="EN351" s="28"/>
      <c r="EO351" s="28"/>
      <c r="EP351" s="28"/>
      <c r="EQ351" s="28"/>
      <c r="ER351" s="28"/>
      <c r="ES351" s="28"/>
      <c r="ET351" s="28"/>
      <c r="EU351" s="28"/>
      <c r="EV351" s="28"/>
      <c r="EW351" s="28"/>
      <c r="EX351" s="28"/>
      <c r="EY351" s="28"/>
      <c r="EZ351" s="28"/>
      <c r="FA351" s="28"/>
      <c r="FB351" s="28"/>
      <c r="FC351" s="28"/>
      <c r="FD351" s="28"/>
      <c r="FE351" s="28"/>
      <c r="FF351" s="28"/>
      <c r="FG351" s="28"/>
      <c r="FH351" s="28"/>
      <c r="FI351" s="28"/>
      <c r="FJ351" s="28"/>
      <c r="FK351" s="28"/>
      <c r="FL351" s="28"/>
      <c r="FM351" s="28"/>
      <c r="FN351" s="28"/>
      <c r="FO351" s="28"/>
      <c r="FP351" s="28"/>
      <c r="FQ351" s="28"/>
      <c r="FR351" s="28"/>
      <c r="FS351" s="28"/>
      <c r="FT351" s="28"/>
      <c r="FU351" s="28"/>
      <c r="FV351" s="28"/>
      <c r="FW351" s="28"/>
      <c r="FX351" s="28"/>
      <c r="FY351" s="28"/>
      <c r="FZ351" s="28"/>
      <c r="GA351" s="28"/>
      <c r="GB351" s="28"/>
      <c r="GC351" s="28"/>
      <c r="GD351" s="28"/>
      <c r="GE351" s="28"/>
      <c r="GF351" s="28"/>
      <c r="GG351" s="28"/>
      <c r="GH351" s="28"/>
      <c r="GI351" s="28"/>
      <c r="GJ351" s="28"/>
      <c r="GK351" s="28"/>
      <c r="GL351" s="28"/>
      <c r="GM351" s="28"/>
      <c r="GN351" s="28"/>
      <c r="GO351" s="28"/>
      <c r="GP351" s="28"/>
      <c r="GQ351" s="28"/>
      <c r="GR351" s="28"/>
      <c r="GS351" s="28"/>
      <c r="GT351" s="28"/>
      <c r="GU351" s="28"/>
      <c r="GV351" s="28"/>
      <c r="GW351" s="28"/>
      <c r="GX351" s="28"/>
      <c r="GY351" s="28"/>
      <c r="GZ351" s="28"/>
      <c r="HA351" s="28"/>
      <c r="HB351" s="28"/>
      <c r="HC351" s="28"/>
      <c r="HD351" s="28"/>
      <c r="HE351" s="28"/>
      <c r="HF351" s="28"/>
      <c r="HG351" s="28"/>
      <c r="HH351" s="28"/>
      <c r="HI351" s="28"/>
      <c r="HJ351" s="28"/>
      <c r="HK351" s="28"/>
      <c r="HL351" s="28"/>
    </row>
    <row r="352" spans="1:220" ht="15" customHeight="1">
      <c r="A352" s="31">
        <v>7</v>
      </c>
      <c r="B352" s="105" t="str">
        <f>VLOOKUP(Ruimtestaat[[#This Row],[Code]],Locaties[[Code]:[Locatie]],2,FALSE)</f>
        <v>Montessori IKC De Groene Ring</v>
      </c>
      <c r="C352" s="105" t="str">
        <f>VLOOKUP(Ruimtestaat[[#This Row],[Code]],Locaties[[#All],[Code]:[Adres]],4,FALSE)</f>
        <v>Bergdravik 2</v>
      </c>
      <c r="D352" s="105" t="str">
        <f>VLOOKUP(Ruimtestaat[[#This Row],[Code]],Locaties[[#All],[Code]:[Postcode]],5,FALSE)</f>
        <v>6922 HM</v>
      </c>
      <c r="E352" s="105" t="str">
        <f>VLOOKUP(Ruimtestaat[[#This Row],[Code]],Locaties[#All],6,FALSE)</f>
        <v>Duiven</v>
      </c>
      <c r="F352" s="113"/>
      <c r="I352" s="113" t="s">
        <v>1658</v>
      </c>
      <c r="J352" s="31">
        <v>16</v>
      </c>
      <c r="K352" s="113" t="str">
        <f>VLOOKUP(Ruimtestaat[[#This Row],[Ruimte code]],Ruimtegroepen[[#All],[Code]:[Ruimte omschrijving]],2,FALSE)</f>
        <v>Leslokalen</v>
      </c>
      <c r="L352" s="31" t="s">
        <v>100</v>
      </c>
      <c r="M352" s="31" t="s">
        <v>1975</v>
      </c>
      <c r="N352" s="106">
        <v>62</v>
      </c>
      <c r="O352" s="112"/>
      <c r="P352" s="112"/>
      <c r="Q352" s="107" t="str">
        <f>VLOOKUP(Ruimtestaat[[#This Row],[Ruimte code]],Ruimtegroepen[],4,FALSE)</f>
        <v>Le</v>
      </c>
      <c r="R352" s="73">
        <v>40</v>
      </c>
      <c r="S352" s="73" t="s">
        <v>2</v>
      </c>
      <c r="T352" s="73">
        <f>IF(R352&gt;0,IF(RIGHT(Ruimtestaat[[#This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2" s="73">
        <f>IF(T352&gt;0,VLOOKUP($J352,Ruimtegroepen[],3,FALSE)*VLOOKUP($L352,Vloersoorten[],3,FALSE)*VLOOKUP($S352,Frequenties[],3,FALSE)*VLOOKUP($A352,Locaties[],3,FALSE),0)</f>
        <v>0</v>
      </c>
      <c r="V352" s="73">
        <f>Ruimtestaat[[#This Row],[Uitvoeringen werkdagen]]*Ruimtestaat[[#This Row],[Oppervlak (netto)]]</f>
        <v>12400</v>
      </c>
      <c r="W352" s="108">
        <f>IF(U352&gt;0,Ruimtestaat[[#This Row],[Prest. (m2 /jaar) werkdagen]]/Ruimtestaat[[#This Row],[Norm (m2/uur) werkdagen]],0)</f>
        <v>0</v>
      </c>
      <c r="X352" s="109">
        <f>Ruimtestaat[[#This Row],[uren / jaar werkdagen]]*Tariefsopbouw!$E$35</f>
        <v>0</v>
      </c>
      <c r="Y352" s="73"/>
      <c r="Z352" s="73">
        <f>IF(Ruimtestaat[[#This Row],[Frequentie weekend]]&gt;0,VALUE(LEFT(Y352,1))*R352,0)</f>
        <v>0</v>
      </c>
      <c r="AA352" s="72">
        <f>IF($Z352&gt;0,VLOOKUP($J352,Ruimtegroepen[],3,FALSE)*VLOOKUP($L352,Vloersoorten[],3,FALSE)*VLOOKUP($Y352,Frequenties[],3,FALSE)*VLOOKUP(Ruimtestaat[[#This Row],[Code]],Locaties[],3,FALSE),0)</f>
        <v>0</v>
      </c>
      <c r="AB352" s="72">
        <f>Ruimtestaat[[#This Row],[Uitvoeringen weekend]]*Ruimtestaat[[#This Row],[Oppervlak (netto)]]</f>
        <v>0</v>
      </c>
      <c r="AC352" s="72">
        <f>IF(AA352&gt;0,Ruimtestaat[[#This Row],[Prest. (m2 /jaar) weekend]]/Ruimtestaat[[#This Row],[Norm (m2/uur) weekend]],0)</f>
        <v>0</v>
      </c>
      <c r="AD352" s="109">
        <f>Ruimtestaat[[#This Row],[uren / jaar weekend]]*Tariefsopbouw!$D$40</f>
        <v>0</v>
      </c>
      <c r="AE352" s="108">
        <f>Ruimtestaat[[#This Row],[Prest. (m2 /jaar) weekend]]+Ruimtestaat[[#This Row],[Prest. (m2 /jaar) werkdagen]]</f>
        <v>12400</v>
      </c>
      <c r="AF352" s="108">
        <f>Ruimtestaat[[#This Row],[uren / jaar weekend]]+Ruimtestaat[[#This Row],[uren / jaar werkdagen]]</f>
        <v>0</v>
      </c>
      <c r="AG352" s="103">
        <f>Ruimtestaat[[#This Row],[kosten / jaar weekend]]+Ruimtestaat[[#This Row],[kosten / jaar werkdagen]]</f>
        <v>0</v>
      </c>
      <c r="AH352" s="103"/>
      <c r="AI352" s="110" t="str">
        <f>IF(Ruimtestaat[[#This Row],[Frequentie werkdagen]]="","",_xlfn.CONCAT(Ruimtestaat[[#This Row],[Ruimte code]],"-",Ruimtestaat[[#This Row],[Frequentie werkdagen]]," ",Ruimtestaat[[#This Row],[Vloer code]]))</f>
        <v>16-5w L</v>
      </c>
      <c r="AJ352" s="114" t="str">
        <f>_xlfn.IFNA(VLOOKUP($AI352,Programma!$F$3:$G$1101,2,0),"")</f>
        <v>_</v>
      </c>
      <c r="AK352" s="114" t="str">
        <f>_xlfn.IFNA(VLOOKUP($AI352,Programma!$F$3:$H$1101,3,0),"")</f>
        <v>_</v>
      </c>
      <c r="AL352" s="114" t="str">
        <f>_xlfn.IFNA(VLOOKUP($AI352,Programma!$F$3:$I$1101,4,0),"")</f>
        <v>4w</v>
      </c>
      <c r="AM352" s="114" t="str">
        <f>_xlfn.IFNA(VLOOKUP($AI352,Programma!$F$3:$J$1101,5,0),"")</f>
        <v>1w</v>
      </c>
      <c r="AN352" s="114" t="str">
        <f>_xlfn.IFNA(VLOOKUP($AI352,Programma!$F$3:$K$1101,6,0),"")</f>
        <v>_</v>
      </c>
      <c r="AO352" s="114" t="str">
        <f>_xlfn.IFNA(VLOOKUP($AI352,Programma!$F$3:$L$1101,7,0),"")</f>
        <v>_</v>
      </c>
      <c r="AP352" s="114" t="str">
        <f>_xlfn.IFNA(VLOOKUP($AI352,Programma!$F$3:$M$1101,8,0),"")</f>
        <v>_</v>
      </c>
      <c r="AQ352" s="114" t="str">
        <f>_xlfn.IFNA(VLOOKUP($AI352,Programma!$F$3:$N$1101,9,0),"")</f>
        <v>_</v>
      </c>
      <c r="AR352" s="114" t="str">
        <f>_xlfn.IFNA(VLOOKUP($AI352,Programma!$F$3:$O$1101,10,0),"")</f>
        <v>5w</v>
      </c>
      <c r="AS352" s="114" t="str">
        <f>_xlfn.IFNA(VLOOKUP($AI352,Programma!$F$3:$P$1101,11,0),"")</f>
        <v>5w</v>
      </c>
      <c r="AT352" s="114" t="str">
        <f>_xlfn.IFNA(VLOOKUP($AI352,Programma!$F$3:$Q$1101,12,0),"")</f>
        <v>1w</v>
      </c>
      <c r="AU352" s="114" t="str">
        <f>_xlfn.IFNA(VLOOKUP($AI352,Programma!$F$3:$R$1101,13,0),"")</f>
        <v>1w</v>
      </c>
      <c r="AV352" s="114" t="str">
        <f>_xlfn.IFNA(VLOOKUP($AI352,Programma!$F$3:$S$1101,14,0),"")</f>
        <v>1m</v>
      </c>
      <c r="AW352" s="114" t="str">
        <f>_xlfn.IFNA(VLOOKUP($AI352,Programma!$F$3:$T$1101,15,0),"")</f>
        <v>2j</v>
      </c>
      <c r="AX352" s="114" t="str">
        <f>_xlfn.IFNA(VLOOKUP($AI352,Programma!$F$3:$U$1101,16,0),"")</f>
        <v>1j</v>
      </c>
      <c r="AY352" s="114" t="str">
        <f>_xlfn.IFNA(VLOOKUP($AI352,Programma!$F$3:$V$1101,17,0),"")</f>
        <v>_</v>
      </c>
      <c r="AZ352" s="114" t="str">
        <f>_xlfn.IFNA(VLOOKUP($AI352,Programma!$F$3:$W$1101,18,0),"")</f>
        <v>_</v>
      </c>
      <c r="BA352" s="114" t="str">
        <f>_xlfn.IFNA(VLOOKUP($AI352,Programma!$F$3:$X$1101,19,0),"")</f>
        <v>_</v>
      </c>
      <c r="BB352" s="114" t="str">
        <f>_xlfn.IFNA(VLOOKUP($AI352,Programma!$F$3:$Y$1101,20,0),"")</f>
        <v>_</v>
      </c>
      <c r="BC352" s="111"/>
      <c r="BD352" s="110" t="str">
        <f>IF(Ruimtestaat[[#This Row],[Frequentie weekend]]="","",_xlfn.CONCAT(Ruimtestaat[[#This Row],[Ruimte code]],"-",Ruimtestaat[[#This Row],[Frequentie weekend]]," ",Ruimtestaat[[#This Row],[Vloer code]]))</f>
        <v/>
      </c>
      <c r="BE352" s="114" t="str">
        <f>_xlfn.IFNA(VLOOKUP($BD352,Programma!$F$3:$G$1101,2,0),"")</f>
        <v/>
      </c>
      <c r="BF352" s="114" t="str">
        <f>_xlfn.IFNA(VLOOKUP($BD352,Programma!$F$3:$H$1101,3,0),"")</f>
        <v/>
      </c>
      <c r="BG352" s="114" t="str">
        <f>_xlfn.IFNA(VLOOKUP($BD352,Programma!$F$3:$I$1101,4,0),"")</f>
        <v/>
      </c>
      <c r="BH352" s="114" t="str">
        <f>_xlfn.IFNA(VLOOKUP($BD352,Programma!$F$3:$J$1101,5,0),"")</f>
        <v/>
      </c>
      <c r="BI352" s="114" t="str">
        <f>_xlfn.IFNA(VLOOKUP($BD352,Programma!$F$3:$K$1101,6,0),"")</f>
        <v/>
      </c>
      <c r="BJ352" s="114" t="str">
        <f>_xlfn.IFNA(VLOOKUP($BD352,Programma!$F$3:$L$1101,7,0),"")</f>
        <v/>
      </c>
      <c r="BK352" s="114" t="str">
        <f>_xlfn.IFNA(VLOOKUP($BD352,Programma!$F$3:$M$1101,8,0),"")</f>
        <v/>
      </c>
      <c r="BL352" s="114" t="str">
        <f>_xlfn.IFNA(VLOOKUP($BD352,Programma!$F$3:$N$1101,9,0),"")</f>
        <v/>
      </c>
      <c r="BM352" s="114" t="str">
        <f>_xlfn.IFNA(VLOOKUP($BD352,Programma!$F$3:$O$1101,10,0),"")</f>
        <v/>
      </c>
      <c r="BN352" s="114" t="str">
        <f>_xlfn.IFNA(VLOOKUP($BD352,Programma!$F$3:$P$1101,11,0),"")</f>
        <v/>
      </c>
      <c r="BO352" s="114" t="str">
        <f>_xlfn.IFNA(VLOOKUP($BD352,Programma!$F$3:$Q$1101,12,0),"")</f>
        <v/>
      </c>
      <c r="BP352" s="114" t="str">
        <f>_xlfn.IFNA(VLOOKUP($BD352,Programma!$F$3:$R$1101,13,0),"")</f>
        <v/>
      </c>
      <c r="BQ352" s="114" t="str">
        <f>_xlfn.IFNA(VLOOKUP($BD352,Programma!$F$3:$S$1101,14,0),"")</f>
        <v/>
      </c>
      <c r="BR352" s="114" t="str">
        <f>_xlfn.IFNA(VLOOKUP($BD352,Programma!$F$3:$T$1101,15,0),"")</f>
        <v/>
      </c>
      <c r="BS352" s="114" t="str">
        <f>_xlfn.IFNA(VLOOKUP($BD352,Programma!$F$3:$U$1101,16,0),"")</f>
        <v/>
      </c>
      <c r="BT352" s="114" t="str">
        <f>_xlfn.IFNA(VLOOKUP($BD352,Programma!$F$3:$V$1101,17,0),"")</f>
        <v/>
      </c>
      <c r="BU352" s="114" t="str">
        <f>_xlfn.IFNA(VLOOKUP($BD352,Programma!$F$3:$W$1101,18,0),"")</f>
        <v/>
      </c>
      <c r="BV352" s="114" t="str">
        <f>_xlfn.IFNA(VLOOKUP($BD352,Programma!$F$3:$X$1101,19,0),"")</f>
        <v/>
      </c>
      <c r="BW352" s="114" t="str">
        <f>_xlfn.IFNA(VLOOKUP($BD352,Programma!$F$3:$Y$1101,20,0),"")</f>
        <v/>
      </c>
      <c r="BX352" s="28"/>
      <c r="BY352" s="28"/>
      <c r="BZ352" s="28"/>
      <c r="CA352" s="28"/>
      <c r="CB352" s="28"/>
      <c r="CC352" s="28"/>
      <c r="CD352" s="28"/>
      <c r="CE352" s="28"/>
      <c r="CF352" s="28"/>
      <c r="CG352" s="28"/>
      <c r="CH352" s="28"/>
      <c r="CI352" s="28"/>
      <c r="CJ352" s="28"/>
      <c r="CK352" s="28"/>
      <c r="CL352" s="28"/>
      <c r="CM352" s="28"/>
      <c r="CN352" s="28"/>
      <c r="CO352" s="28"/>
      <c r="CP352" s="28"/>
      <c r="CQ352" s="28"/>
      <c r="CR352" s="28"/>
      <c r="CS352" s="28"/>
      <c r="CT352" s="28"/>
      <c r="CU352" s="28"/>
      <c r="CV352" s="28"/>
      <c r="CW352" s="28"/>
      <c r="CX352" s="28"/>
      <c r="CY352" s="28"/>
      <c r="CZ352" s="28"/>
      <c r="DA352" s="28"/>
      <c r="DB352" s="28"/>
      <c r="DC352" s="28"/>
      <c r="DD352" s="28"/>
      <c r="DE352" s="28"/>
      <c r="DF352" s="28"/>
      <c r="DG352" s="28"/>
      <c r="DH352" s="28"/>
      <c r="DI352" s="28"/>
      <c r="DJ352" s="28"/>
      <c r="DK352" s="28"/>
      <c r="DL352" s="28"/>
      <c r="DM352" s="28"/>
      <c r="DN352" s="28"/>
      <c r="DO352" s="28"/>
      <c r="DP352" s="28"/>
      <c r="DQ352" s="28"/>
      <c r="DR352" s="28"/>
      <c r="DS352" s="28"/>
      <c r="DT352" s="28"/>
      <c r="DU352" s="28"/>
      <c r="DV352" s="28"/>
      <c r="DW352" s="28"/>
      <c r="DX352" s="28"/>
      <c r="DY352" s="28"/>
      <c r="DZ352" s="28"/>
      <c r="EA352" s="28"/>
      <c r="EB352" s="28"/>
      <c r="EC352" s="28"/>
      <c r="ED352" s="28"/>
      <c r="EE352" s="28"/>
      <c r="EF352" s="28"/>
      <c r="EG352" s="28"/>
      <c r="EH352" s="28"/>
      <c r="EI352" s="28"/>
      <c r="EJ352" s="28"/>
      <c r="EK352" s="28"/>
      <c r="EL352" s="28"/>
      <c r="EM352" s="28"/>
      <c r="EN352" s="28"/>
      <c r="EO352" s="28"/>
      <c r="EP352" s="28"/>
      <c r="EQ352" s="28"/>
      <c r="ER352" s="28"/>
      <c r="ES352" s="28"/>
      <c r="ET352" s="28"/>
      <c r="EU352" s="28"/>
      <c r="EV352" s="28"/>
      <c r="EW352" s="28"/>
      <c r="EX352" s="28"/>
      <c r="EY352" s="28"/>
      <c r="EZ352" s="28"/>
      <c r="FA352" s="28"/>
      <c r="FB352" s="28"/>
      <c r="FC352" s="28"/>
      <c r="FD352" s="28"/>
      <c r="FE352" s="28"/>
      <c r="FF352" s="28"/>
      <c r="FG352" s="28"/>
      <c r="FH352" s="28"/>
      <c r="FI352" s="28"/>
      <c r="FJ352" s="28"/>
      <c r="FK352" s="28"/>
      <c r="FL352" s="28"/>
      <c r="FM352" s="28"/>
      <c r="FN352" s="28"/>
      <c r="FO352" s="28"/>
      <c r="FP352" s="28"/>
      <c r="FQ352" s="28"/>
      <c r="FR352" s="28"/>
      <c r="FS352" s="28"/>
      <c r="FT352" s="28"/>
      <c r="FU352" s="28"/>
      <c r="FV352" s="28"/>
      <c r="FW352" s="28"/>
      <c r="FX352" s="28"/>
      <c r="FY352" s="28"/>
      <c r="FZ352" s="28"/>
      <c r="GA352" s="28"/>
      <c r="GB352" s="28"/>
      <c r="GC352" s="28"/>
      <c r="GD352" s="28"/>
      <c r="GE352" s="28"/>
      <c r="GF352" s="28"/>
      <c r="GG352" s="28"/>
      <c r="GH352" s="28"/>
      <c r="GI352" s="28"/>
      <c r="GJ352" s="28"/>
      <c r="GK352" s="28"/>
      <c r="GL352" s="28"/>
      <c r="GM352" s="28"/>
      <c r="GN352" s="28"/>
      <c r="GO352" s="28"/>
      <c r="GP352" s="28"/>
      <c r="GQ352" s="28"/>
      <c r="GR352" s="28"/>
      <c r="GS352" s="28"/>
      <c r="GT352" s="28"/>
      <c r="GU352" s="28"/>
      <c r="GV352" s="28"/>
      <c r="GW352" s="28"/>
      <c r="GX352" s="28"/>
      <c r="GY352" s="28"/>
      <c r="GZ352" s="28"/>
      <c r="HA352" s="28"/>
      <c r="HB352" s="28"/>
      <c r="HC352" s="28"/>
      <c r="HD352" s="28"/>
      <c r="HE352" s="28"/>
      <c r="HF352" s="28"/>
      <c r="HG352" s="28"/>
      <c r="HH352" s="28"/>
      <c r="HI352" s="28"/>
      <c r="HJ352" s="28"/>
      <c r="HK352" s="28"/>
      <c r="HL352" s="28"/>
    </row>
    <row r="353" spans="1:220" ht="15" customHeight="1">
      <c r="A353" s="31">
        <v>7</v>
      </c>
      <c r="B353" s="105" t="str">
        <f>VLOOKUP(Ruimtestaat[[#This Row],[Code]],Locaties[[Code]:[Locatie]],2,FALSE)</f>
        <v>Montessori IKC De Groene Ring</v>
      </c>
      <c r="C353" s="105" t="str">
        <f>VLOOKUP(Ruimtestaat[[#This Row],[Code]],Locaties[[#All],[Code]:[Adres]],4,FALSE)</f>
        <v>Bergdravik 2</v>
      </c>
      <c r="D353" s="105" t="str">
        <f>VLOOKUP(Ruimtestaat[[#This Row],[Code]],Locaties[[#All],[Code]:[Postcode]],5,FALSE)</f>
        <v>6922 HM</v>
      </c>
      <c r="E353" s="105" t="str">
        <f>VLOOKUP(Ruimtestaat[[#This Row],[Code]],Locaties[#All],6,FALSE)</f>
        <v>Duiven</v>
      </c>
      <c r="F353" s="113"/>
      <c r="I353" s="113" t="s">
        <v>1792</v>
      </c>
      <c r="J353" s="31">
        <v>5</v>
      </c>
      <c r="K353" s="113" t="str">
        <f>VLOOKUP(Ruimtestaat[[#This Row],[Ruimte code]],Ruimtegroepen[[#All],[Code]:[Ruimte omschrijving]],2,FALSE)</f>
        <v>Sanitair</v>
      </c>
      <c r="L353" s="31" t="s">
        <v>101</v>
      </c>
      <c r="M353" s="31" t="s">
        <v>1976</v>
      </c>
      <c r="N353" s="106">
        <v>4</v>
      </c>
      <c r="O353" s="112"/>
      <c r="P353" s="112"/>
      <c r="Q353" s="107" t="str">
        <f>VLOOKUP(Ruimtestaat[[#This Row],[Ruimte code]],Ruimtegroepen[],4,FALSE)</f>
        <v>Sa</v>
      </c>
      <c r="R353" s="73">
        <v>40</v>
      </c>
      <c r="S353" s="73" t="s">
        <v>2</v>
      </c>
      <c r="T353" s="73">
        <f>IF(R353&gt;0,IF(RIGHT(Ruimtestaat[[#This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3" s="73">
        <f>IF(T353&gt;0,VLOOKUP($J353,Ruimtegroepen[],3,FALSE)*VLOOKUP($L353,Vloersoorten[],3,FALSE)*VLOOKUP($S353,Frequenties[],3,FALSE)*VLOOKUP($A353,Locaties[],3,FALSE),0)</f>
        <v>0</v>
      </c>
      <c r="V353" s="73">
        <f>Ruimtestaat[[#This Row],[Uitvoeringen werkdagen]]*Ruimtestaat[[#This Row],[Oppervlak (netto)]]</f>
        <v>800</v>
      </c>
      <c r="W353" s="108">
        <f>IF(U353&gt;0,Ruimtestaat[[#This Row],[Prest. (m2 /jaar) werkdagen]]/Ruimtestaat[[#This Row],[Norm (m2/uur) werkdagen]],0)</f>
        <v>0</v>
      </c>
      <c r="X353" s="109">
        <f>Ruimtestaat[[#This Row],[uren / jaar werkdagen]]*Tariefsopbouw!$E$35</f>
        <v>0</v>
      </c>
      <c r="Y353" s="73"/>
      <c r="Z353" s="73">
        <f>IF(Ruimtestaat[[#This Row],[Frequentie weekend]]&gt;0,VALUE(LEFT(Y353,1))*R353,0)</f>
        <v>0</v>
      </c>
      <c r="AA353" s="72">
        <f>IF($Z353&gt;0,VLOOKUP($J353,Ruimtegroepen[],3,FALSE)*VLOOKUP($L353,Vloersoorten[],3,FALSE)*VLOOKUP($Y353,Frequenties[],3,FALSE)*VLOOKUP(Ruimtestaat[[#This Row],[Code]],Locaties[],3,FALSE),0)</f>
        <v>0</v>
      </c>
      <c r="AB353" s="72">
        <f>Ruimtestaat[[#This Row],[Uitvoeringen weekend]]*Ruimtestaat[[#This Row],[Oppervlak (netto)]]</f>
        <v>0</v>
      </c>
      <c r="AC353" s="72">
        <f>IF(AA353&gt;0,Ruimtestaat[[#This Row],[Prest. (m2 /jaar) weekend]]/Ruimtestaat[[#This Row],[Norm (m2/uur) weekend]],0)</f>
        <v>0</v>
      </c>
      <c r="AD353" s="109">
        <f>Ruimtestaat[[#This Row],[uren / jaar weekend]]*Tariefsopbouw!$D$40</f>
        <v>0</v>
      </c>
      <c r="AE353" s="108">
        <f>Ruimtestaat[[#This Row],[Prest. (m2 /jaar) weekend]]+Ruimtestaat[[#This Row],[Prest. (m2 /jaar) werkdagen]]</f>
        <v>800</v>
      </c>
      <c r="AF353" s="108">
        <f>Ruimtestaat[[#This Row],[uren / jaar weekend]]+Ruimtestaat[[#This Row],[uren / jaar werkdagen]]</f>
        <v>0</v>
      </c>
      <c r="AG353" s="103">
        <f>Ruimtestaat[[#This Row],[kosten / jaar weekend]]+Ruimtestaat[[#This Row],[kosten / jaar werkdagen]]</f>
        <v>0</v>
      </c>
      <c r="AH353" s="103"/>
      <c r="AI353" s="110" t="str">
        <f>IF(Ruimtestaat[[#This Row],[Frequentie werkdagen]]="","",_xlfn.CONCAT(Ruimtestaat[[#This Row],[Ruimte code]],"-",Ruimtestaat[[#This Row],[Frequentie werkdagen]]," ",Ruimtestaat[[#This Row],[Vloer code]]))</f>
        <v>5-5w S</v>
      </c>
      <c r="AJ353" s="114" t="str">
        <f>_xlfn.IFNA(VLOOKUP($AI353,Programma!$F$3:$G$1101,2,0),"")</f>
        <v>_</v>
      </c>
      <c r="AK353" s="114" t="str">
        <f>_xlfn.IFNA(VLOOKUP($AI353,Programma!$F$3:$H$1101,3,0),"")</f>
        <v>_</v>
      </c>
      <c r="AL353" s="114" t="str">
        <f>_xlfn.IFNA(VLOOKUP($AI353,Programma!$F$3:$I$1101,4,0),"")</f>
        <v>_</v>
      </c>
      <c r="AM353" s="114" t="str">
        <f>_xlfn.IFNA(VLOOKUP($AI353,Programma!$F$3:$J$1101,5,0),"")</f>
        <v>4w</v>
      </c>
      <c r="AN353" s="114" t="str">
        <f>_xlfn.IFNA(VLOOKUP($AI353,Programma!$F$3:$K$1101,6,0),"")</f>
        <v>1w</v>
      </c>
      <c r="AO353" s="114" t="str">
        <f>_xlfn.IFNA(VLOOKUP($AI353,Programma!$F$3:$L$1101,7,0),"")</f>
        <v>_</v>
      </c>
      <c r="AP353" s="114" t="str">
        <f>_xlfn.IFNA(VLOOKUP($AI353,Programma!$F$3:$M$1101,8,0),"")</f>
        <v>_</v>
      </c>
      <c r="AQ353" s="114" t="str">
        <f>_xlfn.IFNA(VLOOKUP($AI353,Programma!$F$3:$N$1101,9,0),"")</f>
        <v>_</v>
      </c>
      <c r="AR353" s="114" t="str">
        <f>_xlfn.IFNA(VLOOKUP($AI353,Programma!$F$3:$O$1101,10,0),"")</f>
        <v>_</v>
      </c>
      <c r="AS353" s="114" t="str">
        <f>_xlfn.IFNA(VLOOKUP($AI353,Programma!$F$3:$P$1101,11,0),"")</f>
        <v>_</v>
      </c>
      <c r="AT353" s="114" t="str">
        <f>_xlfn.IFNA(VLOOKUP($AI353,Programma!$F$3:$Q$1101,12,0),"")</f>
        <v>_</v>
      </c>
      <c r="AU353" s="114" t="str">
        <f>_xlfn.IFNA(VLOOKUP($AI353,Programma!$F$3:$R$1101,13,0),"")</f>
        <v>_</v>
      </c>
      <c r="AV353" s="114" t="str">
        <f>_xlfn.IFNA(VLOOKUP($AI353,Programma!$F$3:$S$1101,14,0),"")</f>
        <v>_</v>
      </c>
      <c r="AW353" s="114" t="str">
        <f>_xlfn.IFNA(VLOOKUP($AI353,Programma!$F$3:$T$1101,15,0),"")</f>
        <v>_</v>
      </c>
      <c r="AX353" s="114" t="str">
        <f>_xlfn.IFNA(VLOOKUP($AI353,Programma!$F$3:$U$1101,16,0),"")</f>
        <v>_</v>
      </c>
      <c r="AY353" s="114" t="str">
        <f>_xlfn.IFNA(VLOOKUP($AI353,Programma!$F$3:$V$1101,17,0),"")</f>
        <v>_</v>
      </c>
      <c r="AZ353" s="114" t="str">
        <f>_xlfn.IFNA(VLOOKUP($AI353,Programma!$F$3:$W$1101,18,0),"")</f>
        <v>4w</v>
      </c>
      <c r="BA353" s="114" t="str">
        <f>_xlfn.IFNA(VLOOKUP($AI353,Programma!$F$3:$X$1101,19,0),"")</f>
        <v>1w</v>
      </c>
      <c r="BB353" s="114" t="str">
        <f>_xlfn.IFNA(VLOOKUP($AI353,Programma!$F$3:$Y$1101,20,0),"")</f>
        <v>_</v>
      </c>
      <c r="BC353" s="111"/>
      <c r="BD353" s="110" t="str">
        <f>IF(Ruimtestaat[[#This Row],[Frequentie weekend]]="","",_xlfn.CONCAT(Ruimtestaat[[#This Row],[Ruimte code]],"-",Ruimtestaat[[#This Row],[Frequentie weekend]]," ",Ruimtestaat[[#This Row],[Vloer code]]))</f>
        <v/>
      </c>
      <c r="BE353" s="114" t="str">
        <f>_xlfn.IFNA(VLOOKUP($BD353,Programma!$F$3:$G$1101,2,0),"")</f>
        <v/>
      </c>
      <c r="BF353" s="114" t="str">
        <f>_xlfn.IFNA(VLOOKUP($BD353,Programma!$F$3:$H$1101,3,0),"")</f>
        <v/>
      </c>
      <c r="BG353" s="114" t="str">
        <f>_xlfn.IFNA(VLOOKUP($BD353,Programma!$F$3:$I$1101,4,0),"")</f>
        <v/>
      </c>
      <c r="BH353" s="114" t="str">
        <f>_xlfn.IFNA(VLOOKUP($BD353,Programma!$F$3:$J$1101,5,0),"")</f>
        <v/>
      </c>
      <c r="BI353" s="114" t="str">
        <f>_xlfn.IFNA(VLOOKUP($BD353,Programma!$F$3:$K$1101,6,0),"")</f>
        <v/>
      </c>
      <c r="BJ353" s="114" t="str">
        <f>_xlfn.IFNA(VLOOKUP($BD353,Programma!$F$3:$L$1101,7,0),"")</f>
        <v/>
      </c>
      <c r="BK353" s="114" t="str">
        <f>_xlfn.IFNA(VLOOKUP($BD353,Programma!$F$3:$M$1101,8,0),"")</f>
        <v/>
      </c>
      <c r="BL353" s="114" t="str">
        <f>_xlfn.IFNA(VLOOKUP($BD353,Programma!$F$3:$N$1101,9,0),"")</f>
        <v/>
      </c>
      <c r="BM353" s="114" t="str">
        <f>_xlfn.IFNA(VLOOKUP($BD353,Programma!$F$3:$O$1101,10,0),"")</f>
        <v/>
      </c>
      <c r="BN353" s="114" t="str">
        <f>_xlfn.IFNA(VLOOKUP($BD353,Programma!$F$3:$P$1101,11,0),"")</f>
        <v/>
      </c>
      <c r="BO353" s="114" t="str">
        <f>_xlfn.IFNA(VLOOKUP($BD353,Programma!$F$3:$Q$1101,12,0),"")</f>
        <v/>
      </c>
      <c r="BP353" s="114" t="str">
        <f>_xlfn.IFNA(VLOOKUP($BD353,Programma!$F$3:$R$1101,13,0),"")</f>
        <v/>
      </c>
      <c r="BQ353" s="114" t="str">
        <f>_xlfn.IFNA(VLOOKUP($BD353,Programma!$F$3:$S$1101,14,0),"")</f>
        <v/>
      </c>
      <c r="BR353" s="114" t="str">
        <f>_xlfn.IFNA(VLOOKUP($BD353,Programma!$F$3:$T$1101,15,0),"")</f>
        <v/>
      </c>
      <c r="BS353" s="114" t="str">
        <f>_xlfn.IFNA(VLOOKUP($BD353,Programma!$F$3:$U$1101,16,0),"")</f>
        <v/>
      </c>
      <c r="BT353" s="114" t="str">
        <f>_xlfn.IFNA(VLOOKUP($BD353,Programma!$F$3:$V$1101,17,0),"")</f>
        <v/>
      </c>
      <c r="BU353" s="114" t="str">
        <f>_xlfn.IFNA(VLOOKUP($BD353,Programma!$F$3:$W$1101,18,0),"")</f>
        <v/>
      </c>
      <c r="BV353" s="114" t="str">
        <f>_xlfn.IFNA(VLOOKUP($BD353,Programma!$F$3:$X$1101,19,0),"")</f>
        <v/>
      </c>
      <c r="BW353" s="114" t="str">
        <f>_xlfn.IFNA(VLOOKUP($BD353,Programma!$F$3:$Y$1101,20,0),"")</f>
        <v/>
      </c>
      <c r="BX353" s="28"/>
      <c r="BY353" s="28"/>
      <c r="BZ353" s="28"/>
      <c r="CA353" s="28"/>
      <c r="CB353" s="28"/>
      <c r="CC353" s="28"/>
      <c r="CD353" s="28"/>
      <c r="CE353" s="28"/>
      <c r="CF353" s="28"/>
      <c r="CG353" s="28"/>
      <c r="CH353" s="28"/>
      <c r="CI353" s="28"/>
      <c r="CJ353" s="28"/>
      <c r="CK353" s="28"/>
      <c r="CL353" s="28"/>
      <c r="CM353" s="28"/>
      <c r="CN353" s="28"/>
      <c r="CO353" s="28"/>
      <c r="CP353" s="28"/>
      <c r="CQ353" s="28"/>
      <c r="CR353" s="28"/>
      <c r="CS353" s="28"/>
      <c r="CT353" s="28"/>
      <c r="CU353" s="28"/>
      <c r="CV353" s="28"/>
      <c r="CW353" s="28"/>
      <c r="CX353" s="28"/>
      <c r="CY353" s="28"/>
      <c r="CZ353" s="28"/>
      <c r="DA353" s="28"/>
      <c r="DB353" s="28"/>
      <c r="DC353" s="28"/>
      <c r="DD353" s="28"/>
      <c r="DE353" s="28"/>
      <c r="DF353" s="28"/>
      <c r="DG353" s="28"/>
      <c r="DH353" s="28"/>
      <c r="DI353" s="28"/>
      <c r="DJ353" s="28"/>
      <c r="DK353" s="28"/>
      <c r="DL353" s="28"/>
      <c r="DM353" s="28"/>
      <c r="DN353" s="28"/>
      <c r="DO353" s="28"/>
      <c r="DP353" s="28"/>
      <c r="DQ353" s="28"/>
      <c r="DR353" s="28"/>
      <c r="DS353" s="28"/>
      <c r="DT353" s="28"/>
      <c r="DU353" s="28"/>
      <c r="DV353" s="28"/>
      <c r="DW353" s="28"/>
      <c r="DX353" s="28"/>
      <c r="DY353" s="28"/>
      <c r="DZ353" s="28"/>
      <c r="EA353" s="28"/>
      <c r="EB353" s="28"/>
      <c r="EC353" s="28"/>
      <c r="ED353" s="28"/>
      <c r="EE353" s="28"/>
      <c r="EF353" s="28"/>
      <c r="EG353" s="28"/>
      <c r="EH353" s="28"/>
      <c r="EI353" s="28"/>
      <c r="EJ353" s="28"/>
      <c r="EK353" s="28"/>
      <c r="EL353" s="28"/>
      <c r="EM353" s="28"/>
      <c r="EN353" s="28"/>
      <c r="EO353" s="28"/>
      <c r="EP353" s="28"/>
      <c r="EQ353" s="28"/>
      <c r="ER353" s="28"/>
      <c r="ES353" s="28"/>
      <c r="ET353" s="28"/>
      <c r="EU353" s="28"/>
      <c r="EV353" s="28"/>
      <c r="EW353" s="28"/>
      <c r="EX353" s="28"/>
      <c r="EY353" s="28"/>
      <c r="EZ353" s="28"/>
      <c r="FA353" s="28"/>
      <c r="FB353" s="28"/>
      <c r="FC353" s="28"/>
      <c r="FD353" s="28"/>
      <c r="FE353" s="28"/>
      <c r="FF353" s="28"/>
      <c r="FG353" s="28"/>
      <c r="FH353" s="28"/>
      <c r="FI353" s="28"/>
      <c r="FJ353" s="28"/>
      <c r="FK353" s="28"/>
      <c r="FL353" s="28"/>
      <c r="FM353" s="28"/>
      <c r="FN353" s="28"/>
      <c r="FO353" s="28"/>
      <c r="FP353" s="28"/>
      <c r="FQ353" s="28"/>
      <c r="FR353" s="28"/>
      <c r="FS353" s="28"/>
      <c r="FT353" s="28"/>
      <c r="FU353" s="28"/>
      <c r="FV353" s="28"/>
      <c r="FW353" s="28"/>
      <c r="FX353" s="28"/>
      <c r="FY353" s="28"/>
      <c r="FZ353" s="28"/>
      <c r="GA353" s="28"/>
      <c r="GB353" s="28"/>
      <c r="GC353" s="28"/>
      <c r="GD353" s="28"/>
      <c r="GE353" s="28"/>
      <c r="GF353" s="28"/>
      <c r="GG353" s="28"/>
      <c r="GH353" s="28"/>
      <c r="GI353" s="28"/>
      <c r="GJ353" s="28"/>
      <c r="GK353" s="28"/>
      <c r="GL353" s="28"/>
      <c r="GM353" s="28"/>
      <c r="GN353" s="28"/>
      <c r="GO353" s="28"/>
      <c r="GP353" s="28"/>
      <c r="GQ353" s="28"/>
      <c r="GR353" s="28"/>
      <c r="GS353" s="28"/>
      <c r="GT353" s="28"/>
      <c r="GU353" s="28"/>
      <c r="GV353" s="28"/>
      <c r="GW353" s="28"/>
      <c r="GX353" s="28"/>
      <c r="GY353" s="28"/>
      <c r="GZ353" s="28"/>
      <c r="HA353" s="28"/>
      <c r="HB353" s="28"/>
      <c r="HC353" s="28"/>
      <c r="HD353" s="28"/>
      <c r="HE353" s="28"/>
      <c r="HF353" s="28"/>
      <c r="HG353" s="28"/>
      <c r="HH353" s="28"/>
      <c r="HI353" s="28"/>
      <c r="HJ353" s="28"/>
      <c r="HK353" s="28"/>
      <c r="HL353" s="28"/>
    </row>
    <row r="354" spans="1:220" ht="15" customHeight="1">
      <c r="A354" s="31">
        <v>7</v>
      </c>
      <c r="B354" s="105" t="str">
        <f>VLOOKUP(Ruimtestaat[[#This Row],[Code]],Locaties[[Code]:[Locatie]],2,FALSE)</f>
        <v>Montessori IKC De Groene Ring</v>
      </c>
      <c r="C354" s="105" t="str">
        <f>VLOOKUP(Ruimtestaat[[#This Row],[Code]],Locaties[[#All],[Code]:[Adres]],4,FALSE)</f>
        <v>Bergdravik 2</v>
      </c>
      <c r="D354" s="105" t="str">
        <f>VLOOKUP(Ruimtestaat[[#This Row],[Code]],Locaties[[#All],[Code]:[Postcode]],5,FALSE)</f>
        <v>6922 HM</v>
      </c>
      <c r="E354" s="105" t="str">
        <f>VLOOKUP(Ruimtestaat[[#This Row],[Code]],Locaties[#All],6,FALSE)</f>
        <v>Duiven</v>
      </c>
      <c r="F354" s="113"/>
      <c r="I354" s="113" t="s">
        <v>1656</v>
      </c>
      <c r="J354" s="31">
        <v>16</v>
      </c>
      <c r="K354" s="113" t="str">
        <f>VLOOKUP(Ruimtestaat[[#This Row],[Ruimte code]],Ruimtegroepen[[#All],[Code]:[Ruimte omschrijving]],2,FALSE)</f>
        <v>Leslokalen</v>
      </c>
      <c r="L354" s="31" t="s">
        <v>100</v>
      </c>
      <c r="M354" s="31" t="s">
        <v>1975</v>
      </c>
      <c r="N354" s="106">
        <v>62</v>
      </c>
      <c r="O354" s="112"/>
      <c r="P354" s="112"/>
      <c r="Q354" s="107" t="str">
        <f>VLOOKUP(Ruimtestaat[[#This Row],[Ruimte code]],Ruimtegroepen[],4,FALSE)</f>
        <v>Le</v>
      </c>
      <c r="R354" s="73">
        <v>40</v>
      </c>
      <c r="S354" s="73" t="s">
        <v>2</v>
      </c>
      <c r="T354" s="73">
        <f>IF(R354&gt;0,IF(RIGHT(Ruimtestaat[[#This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4" s="73">
        <f>IF(T354&gt;0,VLOOKUP($J354,Ruimtegroepen[],3,FALSE)*VLOOKUP($L354,Vloersoorten[],3,FALSE)*VLOOKUP($S354,Frequenties[],3,FALSE)*VLOOKUP($A354,Locaties[],3,FALSE),0)</f>
        <v>0</v>
      </c>
      <c r="V354" s="73">
        <f>Ruimtestaat[[#This Row],[Uitvoeringen werkdagen]]*Ruimtestaat[[#This Row],[Oppervlak (netto)]]</f>
        <v>12400</v>
      </c>
      <c r="W354" s="108">
        <f>IF(U354&gt;0,Ruimtestaat[[#This Row],[Prest. (m2 /jaar) werkdagen]]/Ruimtestaat[[#This Row],[Norm (m2/uur) werkdagen]],0)</f>
        <v>0</v>
      </c>
      <c r="X354" s="109">
        <f>Ruimtestaat[[#This Row],[uren / jaar werkdagen]]*Tariefsopbouw!$E$35</f>
        <v>0</v>
      </c>
      <c r="Y354" s="73"/>
      <c r="Z354" s="73">
        <f>IF(Ruimtestaat[[#This Row],[Frequentie weekend]]&gt;0,VALUE(LEFT(Y354,1))*R354,0)</f>
        <v>0</v>
      </c>
      <c r="AA354" s="72">
        <f>IF($Z354&gt;0,VLOOKUP($J354,Ruimtegroepen[],3,FALSE)*VLOOKUP($L354,Vloersoorten[],3,FALSE)*VLOOKUP($Y354,Frequenties[],3,FALSE)*VLOOKUP(Ruimtestaat[[#This Row],[Code]],Locaties[],3,FALSE),0)</f>
        <v>0</v>
      </c>
      <c r="AB354" s="72">
        <f>Ruimtestaat[[#This Row],[Uitvoeringen weekend]]*Ruimtestaat[[#This Row],[Oppervlak (netto)]]</f>
        <v>0</v>
      </c>
      <c r="AC354" s="72">
        <f>IF(AA354&gt;0,Ruimtestaat[[#This Row],[Prest. (m2 /jaar) weekend]]/Ruimtestaat[[#This Row],[Norm (m2/uur) weekend]],0)</f>
        <v>0</v>
      </c>
      <c r="AD354" s="109">
        <f>Ruimtestaat[[#This Row],[uren / jaar weekend]]*Tariefsopbouw!$D$40</f>
        <v>0</v>
      </c>
      <c r="AE354" s="108">
        <f>Ruimtestaat[[#This Row],[Prest. (m2 /jaar) weekend]]+Ruimtestaat[[#This Row],[Prest. (m2 /jaar) werkdagen]]</f>
        <v>12400</v>
      </c>
      <c r="AF354" s="108">
        <f>Ruimtestaat[[#This Row],[uren / jaar weekend]]+Ruimtestaat[[#This Row],[uren / jaar werkdagen]]</f>
        <v>0</v>
      </c>
      <c r="AG354" s="103">
        <f>Ruimtestaat[[#This Row],[kosten / jaar weekend]]+Ruimtestaat[[#This Row],[kosten / jaar werkdagen]]</f>
        <v>0</v>
      </c>
      <c r="AH354" s="103"/>
      <c r="AI354" s="110" t="str">
        <f>IF(Ruimtestaat[[#This Row],[Frequentie werkdagen]]="","",_xlfn.CONCAT(Ruimtestaat[[#This Row],[Ruimte code]],"-",Ruimtestaat[[#This Row],[Frequentie werkdagen]]," ",Ruimtestaat[[#This Row],[Vloer code]]))</f>
        <v>16-5w L</v>
      </c>
      <c r="AJ354" s="114" t="str">
        <f>_xlfn.IFNA(VLOOKUP($AI354,Programma!$F$3:$G$1101,2,0),"")</f>
        <v>_</v>
      </c>
      <c r="AK354" s="114" t="str">
        <f>_xlfn.IFNA(VLOOKUP($AI354,Programma!$F$3:$H$1101,3,0),"")</f>
        <v>_</v>
      </c>
      <c r="AL354" s="114" t="str">
        <f>_xlfn.IFNA(VLOOKUP($AI354,Programma!$F$3:$I$1101,4,0),"")</f>
        <v>4w</v>
      </c>
      <c r="AM354" s="114" t="str">
        <f>_xlfn.IFNA(VLOOKUP($AI354,Programma!$F$3:$J$1101,5,0),"")</f>
        <v>1w</v>
      </c>
      <c r="AN354" s="114" t="str">
        <f>_xlfn.IFNA(VLOOKUP($AI354,Programma!$F$3:$K$1101,6,0),"")</f>
        <v>_</v>
      </c>
      <c r="AO354" s="114" t="str">
        <f>_xlfn.IFNA(VLOOKUP($AI354,Programma!$F$3:$L$1101,7,0),"")</f>
        <v>_</v>
      </c>
      <c r="AP354" s="114" t="str">
        <f>_xlfn.IFNA(VLOOKUP($AI354,Programma!$F$3:$M$1101,8,0),"")</f>
        <v>_</v>
      </c>
      <c r="AQ354" s="114" t="str">
        <f>_xlfn.IFNA(VLOOKUP($AI354,Programma!$F$3:$N$1101,9,0),"")</f>
        <v>_</v>
      </c>
      <c r="AR354" s="114" t="str">
        <f>_xlfn.IFNA(VLOOKUP($AI354,Programma!$F$3:$O$1101,10,0),"")</f>
        <v>5w</v>
      </c>
      <c r="AS354" s="114" t="str">
        <f>_xlfn.IFNA(VLOOKUP($AI354,Programma!$F$3:$P$1101,11,0),"")</f>
        <v>5w</v>
      </c>
      <c r="AT354" s="114" t="str">
        <f>_xlfn.IFNA(VLOOKUP($AI354,Programma!$F$3:$Q$1101,12,0),"")</f>
        <v>1w</v>
      </c>
      <c r="AU354" s="114" t="str">
        <f>_xlfn.IFNA(VLOOKUP($AI354,Programma!$F$3:$R$1101,13,0),"")</f>
        <v>1w</v>
      </c>
      <c r="AV354" s="114" t="str">
        <f>_xlfn.IFNA(VLOOKUP($AI354,Programma!$F$3:$S$1101,14,0),"")</f>
        <v>1m</v>
      </c>
      <c r="AW354" s="114" t="str">
        <f>_xlfn.IFNA(VLOOKUP($AI354,Programma!$F$3:$T$1101,15,0),"")</f>
        <v>2j</v>
      </c>
      <c r="AX354" s="114" t="str">
        <f>_xlfn.IFNA(VLOOKUP($AI354,Programma!$F$3:$U$1101,16,0),"")</f>
        <v>1j</v>
      </c>
      <c r="AY354" s="114" t="str">
        <f>_xlfn.IFNA(VLOOKUP($AI354,Programma!$F$3:$V$1101,17,0),"")</f>
        <v>_</v>
      </c>
      <c r="AZ354" s="114" t="str">
        <f>_xlfn.IFNA(VLOOKUP($AI354,Programma!$F$3:$W$1101,18,0),"")</f>
        <v>_</v>
      </c>
      <c r="BA354" s="114" t="str">
        <f>_xlfn.IFNA(VLOOKUP($AI354,Programma!$F$3:$X$1101,19,0),"")</f>
        <v>_</v>
      </c>
      <c r="BB354" s="114" t="str">
        <f>_xlfn.IFNA(VLOOKUP($AI354,Programma!$F$3:$Y$1101,20,0),"")</f>
        <v>_</v>
      </c>
      <c r="BC354" s="111"/>
      <c r="BD354" s="110" t="str">
        <f>IF(Ruimtestaat[[#This Row],[Frequentie weekend]]="","",_xlfn.CONCAT(Ruimtestaat[[#This Row],[Ruimte code]],"-",Ruimtestaat[[#This Row],[Frequentie weekend]]," ",Ruimtestaat[[#This Row],[Vloer code]]))</f>
        <v/>
      </c>
      <c r="BE354" s="114" t="str">
        <f>_xlfn.IFNA(VLOOKUP($BD354,Programma!$F$3:$G$1101,2,0),"")</f>
        <v/>
      </c>
      <c r="BF354" s="114" t="str">
        <f>_xlfn.IFNA(VLOOKUP($BD354,Programma!$F$3:$H$1101,3,0),"")</f>
        <v/>
      </c>
      <c r="BG354" s="114" t="str">
        <f>_xlfn.IFNA(VLOOKUP($BD354,Programma!$F$3:$I$1101,4,0),"")</f>
        <v/>
      </c>
      <c r="BH354" s="114" t="str">
        <f>_xlfn.IFNA(VLOOKUP($BD354,Programma!$F$3:$J$1101,5,0),"")</f>
        <v/>
      </c>
      <c r="BI354" s="114" t="str">
        <f>_xlfn.IFNA(VLOOKUP($BD354,Programma!$F$3:$K$1101,6,0),"")</f>
        <v/>
      </c>
      <c r="BJ354" s="114" t="str">
        <f>_xlfn.IFNA(VLOOKUP($BD354,Programma!$F$3:$L$1101,7,0),"")</f>
        <v/>
      </c>
      <c r="BK354" s="114" t="str">
        <f>_xlfn.IFNA(VLOOKUP($BD354,Programma!$F$3:$M$1101,8,0),"")</f>
        <v/>
      </c>
      <c r="BL354" s="114" t="str">
        <f>_xlfn.IFNA(VLOOKUP($BD354,Programma!$F$3:$N$1101,9,0),"")</f>
        <v/>
      </c>
      <c r="BM354" s="114" t="str">
        <f>_xlfn.IFNA(VLOOKUP($BD354,Programma!$F$3:$O$1101,10,0),"")</f>
        <v/>
      </c>
      <c r="BN354" s="114" t="str">
        <f>_xlfn.IFNA(VLOOKUP($BD354,Programma!$F$3:$P$1101,11,0),"")</f>
        <v/>
      </c>
      <c r="BO354" s="114" t="str">
        <f>_xlfn.IFNA(VLOOKUP($BD354,Programma!$F$3:$Q$1101,12,0),"")</f>
        <v/>
      </c>
      <c r="BP354" s="114" t="str">
        <f>_xlfn.IFNA(VLOOKUP($BD354,Programma!$F$3:$R$1101,13,0),"")</f>
        <v/>
      </c>
      <c r="BQ354" s="114" t="str">
        <f>_xlfn.IFNA(VLOOKUP($BD354,Programma!$F$3:$S$1101,14,0),"")</f>
        <v/>
      </c>
      <c r="BR354" s="114" t="str">
        <f>_xlfn.IFNA(VLOOKUP($BD354,Programma!$F$3:$T$1101,15,0),"")</f>
        <v/>
      </c>
      <c r="BS354" s="114" t="str">
        <f>_xlfn.IFNA(VLOOKUP($BD354,Programma!$F$3:$U$1101,16,0),"")</f>
        <v/>
      </c>
      <c r="BT354" s="114" t="str">
        <f>_xlfn.IFNA(VLOOKUP($BD354,Programma!$F$3:$V$1101,17,0),"")</f>
        <v/>
      </c>
      <c r="BU354" s="114" t="str">
        <f>_xlfn.IFNA(VLOOKUP($BD354,Programma!$F$3:$W$1101,18,0),"")</f>
        <v/>
      </c>
      <c r="BV354" s="114" t="str">
        <f>_xlfn.IFNA(VLOOKUP($BD354,Programma!$F$3:$X$1101,19,0),"")</f>
        <v/>
      </c>
      <c r="BW354" s="114" t="str">
        <f>_xlfn.IFNA(VLOOKUP($BD354,Programma!$F$3:$Y$1101,20,0),"")</f>
        <v/>
      </c>
      <c r="BX354" s="28"/>
      <c r="BY354" s="28"/>
      <c r="BZ354" s="28"/>
      <c r="CA354" s="28"/>
      <c r="CB354" s="28"/>
      <c r="CC354" s="28"/>
      <c r="CD354" s="28"/>
      <c r="CE354" s="28"/>
      <c r="CF354" s="28"/>
      <c r="CG354" s="28"/>
      <c r="CH354" s="28"/>
      <c r="CI354" s="28"/>
      <c r="CJ354" s="28"/>
      <c r="CK354" s="28"/>
      <c r="CL354" s="28"/>
      <c r="CM354" s="28"/>
      <c r="CN354" s="28"/>
      <c r="CO354" s="28"/>
      <c r="CP354" s="28"/>
      <c r="CQ354" s="28"/>
      <c r="CR354" s="28"/>
      <c r="CS354" s="28"/>
      <c r="CT354" s="28"/>
      <c r="CU354" s="28"/>
      <c r="CV354" s="28"/>
      <c r="CW354" s="28"/>
      <c r="CX354" s="28"/>
      <c r="CY354" s="28"/>
      <c r="CZ354" s="28"/>
      <c r="DA354" s="28"/>
      <c r="DB354" s="28"/>
      <c r="DC354" s="28"/>
      <c r="DD354" s="28"/>
      <c r="DE354" s="28"/>
      <c r="DF354" s="28"/>
      <c r="DG354" s="28"/>
      <c r="DH354" s="28"/>
      <c r="DI354" s="28"/>
      <c r="DJ354" s="28"/>
      <c r="DK354" s="28"/>
      <c r="DL354" s="28"/>
      <c r="DM354" s="28"/>
      <c r="DN354" s="28"/>
      <c r="DO354" s="28"/>
      <c r="DP354" s="28"/>
      <c r="DQ354" s="28"/>
      <c r="DR354" s="28"/>
      <c r="DS354" s="28"/>
      <c r="DT354" s="28"/>
      <c r="DU354" s="28"/>
      <c r="DV354" s="28"/>
      <c r="DW354" s="28"/>
      <c r="DX354" s="28"/>
      <c r="DY354" s="28"/>
      <c r="DZ354" s="28"/>
      <c r="EA354" s="28"/>
      <c r="EB354" s="28"/>
      <c r="EC354" s="28"/>
      <c r="ED354" s="28"/>
      <c r="EE354" s="28"/>
      <c r="EF354" s="28"/>
      <c r="EG354" s="28"/>
      <c r="EH354" s="28"/>
      <c r="EI354" s="28"/>
      <c r="EJ354" s="28"/>
      <c r="EK354" s="28"/>
      <c r="EL354" s="28"/>
      <c r="EM354" s="28"/>
      <c r="EN354" s="28"/>
      <c r="EO354" s="28"/>
      <c r="EP354" s="28"/>
      <c r="EQ354" s="28"/>
      <c r="ER354" s="28"/>
      <c r="ES354" s="28"/>
      <c r="ET354" s="28"/>
      <c r="EU354" s="28"/>
      <c r="EV354" s="28"/>
      <c r="EW354" s="28"/>
      <c r="EX354" s="28"/>
      <c r="EY354" s="28"/>
      <c r="EZ354" s="28"/>
      <c r="FA354" s="28"/>
      <c r="FB354" s="28"/>
      <c r="FC354" s="28"/>
      <c r="FD354" s="28"/>
      <c r="FE354" s="28"/>
      <c r="FF354" s="28"/>
      <c r="FG354" s="28"/>
      <c r="FH354" s="28"/>
      <c r="FI354" s="28"/>
      <c r="FJ354" s="28"/>
      <c r="FK354" s="28"/>
      <c r="FL354" s="28"/>
      <c r="FM354" s="28"/>
      <c r="FN354" s="28"/>
      <c r="FO354" s="28"/>
      <c r="FP354" s="28"/>
      <c r="FQ354" s="28"/>
      <c r="FR354" s="28"/>
      <c r="FS354" s="28"/>
      <c r="FT354" s="28"/>
      <c r="FU354" s="28"/>
      <c r="FV354" s="28"/>
      <c r="FW354" s="28"/>
      <c r="FX354" s="28"/>
      <c r="FY354" s="28"/>
      <c r="FZ354" s="28"/>
      <c r="GA354" s="28"/>
      <c r="GB354" s="28"/>
      <c r="GC354" s="28"/>
      <c r="GD354" s="28"/>
      <c r="GE354" s="28"/>
      <c r="GF354" s="28"/>
      <c r="GG354" s="28"/>
      <c r="GH354" s="28"/>
      <c r="GI354" s="28"/>
      <c r="GJ354" s="28"/>
      <c r="GK354" s="28"/>
      <c r="GL354" s="28"/>
      <c r="GM354" s="28"/>
      <c r="GN354" s="28"/>
      <c r="GO354" s="28"/>
      <c r="GP354" s="28"/>
      <c r="GQ354" s="28"/>
      <c r="GR354" s="28"/>
      <c r="GS354" s="28"/>
      <c r="GT354" s="28"/>
      <c r="GU354" s="28"/>
      <c r="GV354" s="28"/>
      <c r="GW354" s="28"/>
      <c r="GX354" s="28"/>
      <c r="GY354" s="28"/>
      <c r="GZ354" s="28"/>
      <c r="HA354" s="28"/>
      <c r="HB354" s="28"/>
      <c r="HC354" s="28"/>
      <c r="HD354" s="28"/>
      <c r="HE354" s="28"/>
      <c r="HF354" s="28"/>
      <c r="HG354" s="28"/>
      <c r="HH354" s="28"/>
      <c r="HI354" s="28"/>
      <c r="HJ354" s="28"/>
      <c r="HK354" s="28"/>
      <c r="HL354" s="28"/>
    </row>
    <row r="355" spans="1:220" ht="15" customHeight="1">
      <c r="A355" s="31">
        <v>7</v>
      </c>
      <c r="B355" s="105" t="str">
        <f>VLOOKUP(Ruimtestaat[[#This Row],[Code]],Locaties[[Code]:[Locatie]],2,FALSE)</f>
        <v>Montessori IKC De Groene Ring</v>
      </c>
      <c r="C355" s="105" t="str">
        <f>VLOOKUP(Ruimtestaat[[#This Row],[Code]],Locaties[[#All],[Code]:[Adres]],4,FALSE)</f>
        <v>Bergdravik 2</v>
      </c>
      <c r="D355" s="105" t="str">
        <f>VLOOKUP(Ruimtestaat[[#This Row],[Code]],Locaties[[#All],[Code]:[Postcode]],5,FALSE)</f>
        <v>6922 HM</v>
      </c>
      <c r="E355" s="105" t="str">
        <f>VLOOKUP(Ruimtestaat[[#This Row],[Code]],Locaties[#All],6,FALSE)</f>
        <v>Duiven</v>
      </c>
      <c r="F355" s="113"/>
      <c r="I355" s="113" t="s">
        <v>1677</v>
      </c>
      <c r="J355" s="31">
        <v>16</v>
      </c>
      <c r="K355" s="113" t="str">
        <f>VLOOKUP(Ruimtestaat[[#This Row],[Ruimte code]],Ruimtegroepen[[#All],[Code]:[Ruimte omschrijving]],2,FALSE)</f>
        <v>Leslokalen</v>
      </c>
      <c r="L355" s="31" t="s">
        <v>100</v>
      </c>
      <c r="M355" s="31" t="s">
        <v>1975</v>
      </c>
      <c r="N355" s="106">
        <v>61</v>
      </c>
      <c r="O355" s="112"/>
      <c r="P355" s="112"/>
      <c r="Q355" s="107" t="str">
        <f>VLOOKUP(Ruimtestaat[[#This Row],[Ruimte code]],Ruimtegroepen[],4,FALSE)</f>
        <v>Le</v>
      </c>
      <c r="R355" s="73">
        <v>40</v>
      </c>
      <c r="S355" s="73" t="s">
        <v>2</v>
      </c>
      <c r="T355" s="73">
        <f>IF(R355&gt;0,IF(RIGHT(Ruimtestaat[[#This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5" s="73">
        <f>IF(T355&gt;0,VLOOKUP($J355,Ruimtegroepen[],3,FALSE)*VLOOKUP($L355,Vloersoorten[],3,FALSE)*VLOOKUP($S355,Frequenties[],3,FALSE)*VLOOKUP($A355,Locaties[],3,FALSE),0)</f>
        <v>0</v>
      </c>
      <c r="V355" s="73">
        <f>Ruimtestaat[[#This Row],[Uitvoeringen werkdagen]]*Ruimtestaat[[#This Row],[Oppervlak (netto)]]</f>
        <v>12200</v>
      </c>
      <c r="W355" s="108">
        <f>IF(U355&gt;0,Ruimtestaat[[#This Row],[Prest. (m2 /jaar) werkdagen]]/Ruimtestaat[[#This Row],[Norm (m2/uur) werkdagen]],0)</f>
        <v>0</v>
      </c>
      <c r="X355" s="109">
        <f>Ruimtestaat[[#This Row],[uren / jaar werkdagen]]*Tariefsopbouw!$E$35</f>
        <v>0</v>
      </c>
      <c r="Y355" s="73"/>
      <c r="Z355" s="73">
        <f>IF(Ruimtestaat[[#This Row],[Frequentie weekend]]&gt;0,VALUE(LEFT(Y355,1))*R355,0)</f>
        <v>0</v>
      </c>
      <c r="AA355" s="72">
        <f>IF($Z355&gt;0,VLOOKUP($J355,Ruimtegroepen[],3,FALSE)*VLOOKUP($L355,Vloersoorten[],3,FALSE)*VLOOKUP($Y355,Frequenties[],3,FALSE)*VLOOKUP(Ruimtestaat[[#This Row],[Code]],Locaties[],3,FALSE),0)</f>
        <v>0</v>
      </c>
      <c r="AB355" s="72">
        <f>Ruimtestaat[[#This Row],[Uitvoeringen weekend]]*Ruimtestaat[[#This Row],[Oppervlak (netto)]]</f>
        <v>0</v>
      </c>
      <c r="AC355" s="72">
        <f>IF(AA355&gt;0,Ruimtestaat[[#This Row],[Prest. (m2 /jaar) weekend]]/Ruimtestaat[[#This Row],[Norm (m2/uur) weekend]],0)</f>
        <v>0</v>
      </c>
      <c r="AD355" s="109">
        <f>Ruimtestaat[[#This Row],[uren / jaar weekend]]*Tariefsopbouw!$D$40</f>
        <v>0</v>
      </c>
      <c r="AE355" s="108">
        <f>Ruimtestaat[[#This Row],[Prest. (m2 /jaar) weekend]]+Ruimtestaat[[#This Row],[Prest. (m2 /jaar) werkdagen]]</f>
        <v>12200</v>
      </c>
      <c r="AF355" s="108">
        <f>Ruimtestaat[[#This Row],[uren / jaar weekend]]+Ruimtestaat[[#This Row],[uren / jaar werkdagen]]</f>
        <v>0</v>
      </c>
      <c r="AG355" s="103">
        <f>Ruimtestaat[[#This Row],[kosten / jaar weekend]]+Ruimtestaat[[#This Row],[kosten / jaar werkdagen]]</f>
        <v>0</v>
      </c>
      <c r="AH355" s="103"/>
      <c r="AI355" s="110" t="str">
        <f>IF(Ruimtestaat[[#This Row],[Frequentie werkdagen]]="","",_xlfn.CONCAT(Ruimtestaat[[#This Row],[Ruimte code]],"-",Ruimtestaat[[#This Row],[Frequentie werkdagen]]," ",Ruimtestaat[[#This Row],[Vloer code]]))</f>
        <v>16-5w L</v>
      </c>
      <c r="AJ355" s="114" t="str">
        <f>_xlfn.IFNA(VLOOKUP($AI355,Programma!$F$3:$G$1101,2,0),"")</f>
        <v>_</v>
      </c>
      <c r="AK355" s="114" t="str">
        <f>_xlfn.IFNA(VLOOKUP($AI355,Programma!$F$3:$H$1101,3,0),"")</f>
        <v>_</v>
      </c>
      <c r="AL355" s="114" t="str">
        <f>_xlfn.IFNA(VLOOKUP($AI355,Programma!$F$3:$I$1101,4,0),"")</f>
        <v>4w</v>
      </c>
      <c r="AM355" s="114" t="str">
        <f>_xlfn.IFNA(VLOOKUP($AI355,Programma!$F$3:$J$1101,5,0),"")</f>
        <v>1w</v>
      </c>
      <c r="AN355" s="114" t="str">
        <f>_xlfn.IFNA(VLOOKUP($AI355,Programma!$F$3:$K$1101,6,0),"")</f>
        <v>_</v>
      </c>
      <c r="AO355" s="114" t="str">
        <f>_xlfn.IFNA(VLOOKUP($AI355,Programma!$F$3:$L$1101,7,0),"")</f>
        <v>_</v>
      </c>
      <c r="AP355" s="114" t="str">
        <f>_xlfn.IFNA(VLOOKUP($AI355,Programma!$F$3:$M$1101,8,0),"")</f>
        <v>_</v>
      </c>
      <c r="AQ355" s="114" t="str">
        <f>_xlfn.IFNA(VLOOKUP($AI355,Programma!$F$3:$N$1101,9,0),"")</f>
        <v>_</v>
      </c>
      <c r="AR355" s="114" t="str">
        <f>_xlfn.IFNA(VLOOKUP($AI355,Programma!$F$3:$O$1101,10,0),"")</f>
        <v>5w</v>
      </c>
      <c r="AS355" s="114" t="str">
        <f>_xlfn.IFNA(VLOOKUP($AI355,Programma!$F$3:$P$1101,11,0),"")</f>
        <v>5w</v>
      </c>
      <c r="AT355" s="114" t="str">
        <f>_xlfn.IFNA(VLOOKUP($AI355,Programma!$F$3:$Q$1101,12,0),"")</f>
        <v>1w</v>
      </c>
      <c r="AU355" s="114" t="str">
        <f>_xlfn.IFNA(VLOOKUP($AI355,Programma!$F$3:$R$1101,13,0),"")</f>
        <v>1w</v>
      </c>
      <c r="AV355" s="114" t="str">
        <f>_xlfn.IFNA(VLOOKUP($AI355,Programma!$F$3:$S$1101,14,0),"")</f>
        <v>1m</v>
      </c>
      <c r="AW355" s="114" t="str">
        <f>_xlfn.IFNA(VLOOKUP($AI355,Programma!$F$3:$T$1101,15,0),"")</f>
        <v>2j</v>
      </c>
      <c r="AX355" s="114" t="str">
        <f>_xlfn.IFNA(VLOOKUP($AI355,Programma!$F$3:$U$1101,16,0),"")</f>
        <v>1j</v>
      </c>
      <c r="AY355" s="114" t="str">
        <f>_xlfn.IFNA(VLOOKUP($AI355,Programma!$F$3:$V$1101,17,0),"")</f>
        <v>_</v>
      </c>
      <c r="AZ355" s="114" t="str">
        <f>_xlfn.IFNA(VLOOKUP($AI355,Programma!$F$3:$W$1101,18,0),"")</f>
        <v>_</v>
      </c>
      <c r="BA355" s="114" t="str">
        <f>_xlfn.IFNA(VLOOKUP($AI355,Programma!$F$3:$X$1101,19,0),"")</f>
        <v>_</v>
      </c>
      <c r="BB355" s="114" t="str">
        <f>_xlfn.IFNA(VLOOKUP($AI355,Programma!$F$3:$Y$1101,20,0),"")</f>
        <v>_</v>
      </c>
      <c r="BC355" s="111"/>
      <c r="BD355" s="110" t="str">
        <f>IF(Ruimtestaat[[#This Row],[Frequentie weekend]]="","",_xlfn.CONCAT(Ruimtestaat[[#This Row],[Ruimte code]],"-",Ruimtestaat[[#This Row],[Frequentie weekend]]," ",Ruimtestaat[[#This Row],[Vloer code]]))</f>
        <v/>
      </c>
      <c r="BE355" s="114" t="str">
        <f>_xlfn.IFNA(VLOOKUP($BD355,Programma!$F$3:$G$1101,2,0),"")</f>
        <v/>
      </c>
      <c r="BF355" s="114" t="str">
        <f>_xlfn.IFNA(VLOOKUP($BD355,Programma!$F$3:$H$1101,3,0),"")</f>
        <v/>
      </c>
      <c r="BG355" s="114" t="str">
        <f>_xlfn.IFNA(VLOOKUP($BD355,Programma!$F$3:$I$1101,4,0),"")</f>
        <v/>
      </c>
      <c r="BH355" s="114" t="str">
        <f>_xlfn.IFNA(VLOOKUP($BD355,Programma!$F$3:$J$1101,5,0),"")</f>
        <v/>
      </c>
      <c r="BI355" s="114" t="str">
        <f>_xlfn.IFNA(VLOOKUP($BD355,Programma!$F$3:$K$1101,6,0),"")</f>
        <v/>
      </c>
      <c r="BJ355" s="114" t="str">
        <f>_xlfn.IFNA(VLOOKUP($BD355,Programma!$F$3:$L$1101,7,0),"")</f>
        <v/>
      </c>
      <c r="BK355" s="114" t="str">
        <f>_xlfn.IFNA(VLOOKUP($BD355,Programma!$F$3:$M$1101,8,0),"")</f>
        <v/>
      </c>
      <c r="BL355" s="114" t="str">
        <f>_xlfn.IFNA(VLOOKUP($BD355,Programma!$F$3:$N$1101,9,0),"")</f>
        <v/>
      </c>
      <c r="BM355" s="114" t="str">
        <f>_xlfn.IFNA(VLOOKUP($BD355,Programma!$F$3:$O$1101,10,0),"")</f>
        <v/>
      </c>
      <c r="BN355" s="114" t="str">
        <f>_xlfn.IFNA(VLOOKUP($BD355,Programma!$F$3:$P$1101,11,0),"")</f>
        <v/>
      </c>
      <c r="BO355" s="114" t="str">
        <f>_xlfn.IFNA(VLOOKUP($BD355,Programma!$F$3:$Q$1101,12,0),"")</f>
        <v/>
      </c>
      <c r="BP355" s="114" t="str">
        <f>_xlfn.IFNA(VLOOKUP($BD355,Programma!$F$3:$R$1101,13,0),"")</f>
        <v/>
      </c>
      <c r="BQ355" s="114" t="str">
        <f>_xlfn.IFNA(VLOOKUP($BD355,Programma!$F$3:$S$1101,14,0),"")</f>
        <v/>
      </c>
      <c r="BR355" s="114" t="str">
        <f>_xlfn.IFNA(VLOOKUP($BD355,Programma!$F$3:$T$1101,15,0),"")</f>
        <v/>
      </c>
      <c r="BS355" s="114" t="str">
        <f>_xlfn.IFNA(VLOOKUP($BD355,Programma!$F$3:$U$1101,16,0),"")</f>
        <v/>
      </c>
      <c r="BT355" s="114" t="str">
        <f>_xlfn.IFNA(VLOOKUP($BD355,Programma!$F$3:$V$1101,17,0),"")</f>
        <v/>
      </c>
      <c r="BU355" s="114" t="str">
        <f>_xlfn.IFNA(VLOOKUP($BD355,Programma!$F$3:$W$1101,18,0),"")</f>
        <v/>
      </c>
      <c r="BV355" s="114" t="str">
        <f>_xlfn.IFNA(VLOOKUP($BD355,Programma!$F$3:$X$1101,19,0),"")</f>
        <v/>
      </c>
      <c r="BW355" s="114" t="str">
        <f>_xlfn.IFNA(VLOOKUP($BD355,Programma!$F$3:$Y$1101,20,0),"")</f>
        <v/>
      </c>
      <c r="BX355" s="28"/>
      <c r="BY355" s="28"/>
      <c r="BZ355" s="28"/>
      <c r="CA355" s="28"/>
      <c r="CB355" s="28"/>
      <c r="CC355" s="28"/>
      <c r="CD355" s="28"/>
      <c r="CE355" s="28"/>
      <c r="CF355" s="28"/>
      <c r="CG355" s="28"/>
      <c r="CH355" s="28"/>
      <c r="CI355" s="28"/>
      <c r="CJ355" s="28"/>
      <c r="CK355" s="28"/>
      <c r="CL355" s="28"/>
      <c r="CM355" s="28"/>
      <c r="CN355" s="28"/>
      <c r="CO355" s="28"/>
      <c r="CP355" s="28"/>
      <c r="CQ355" s="28"/>
      <c r="CR355" s="28"/>
      <c r="CS355" s="28"/>
      <c r="CT355" s="28"/>
      <c r="CU355" s="28"/>
      <c r="CV355" s="28"/>
      <c r="CW355" s="28"/>
      <c r="CX355" s="28"/>
      <c r="CY355" s="28"/>
      <c r="CZ355" s="28"/>
      <c r="DA355" s="28"/>
      <c r="DB355" s="28"/>
      <c r="DC355" s="28"/>
      <c r="DD355" s="28"/>
      <c r="DE355" s="28"/>
      <c r="DF355" s="28"/>
      <c r="DG355" s="28"/>
      <c r="DH355" s="28"/>
      <c r="DI355" s="28"/>
      <c r="DJ355" s="28"/>
      <c r="DK355" s="28"/>
      <c r="DL355" s="28"/>
      <c r="DM355" s="28"/>
      <c r="DN355" s="28"/>
      <c r="DO355" s="28"/>
      <c r="DP355" s="28"/>
      <c r="DQ355" s="28"/>
      <c r="DR355" s="28"/>
      <c r="DS355" s="28"/>
      <c r="DT355" s="28"/>
      <c r="DU355" s="28"/>
      <c r="DV355" s="28"/>
      <c r="DW355" s="28"/>
      <c r="DX355" s="28"/>
      <c r="DY355" s="28"/>
      <c r="DZ355" s="28"/>
      <c r="EA355" s="28"/>
      <c r="EB355" s="28"/>
      <c r="EC355" s="28"/>
      <c r="ED355" s="28"/>
      <c r="EE355" s="28"/>
      <c r="EF355" s="28"/>
      <c r="EG355" s="28"/>
      <c r="EH355" s="28"/>
      <c r="EI355" s="28"/>
      <c r="EJ355" s="28"/>
      <c r="EK355" s="28"/>
      <c r="EL355" s="28"/>
      <c r="EM355" s="28"/>
      <c r="EN355" s="28"/>
      <c r="EO355" s="28"/>
      <c r="EP355" s="28"/>
      <c r="EQ355" s="28"/>
      <c r="ER355" s="28"/>
      <c r="ES355" s="28"/>
      <c r="ET355" s="28"/>
      <c r="EU355" s="28"/>
      <c r="EV355" s="28"/>
      <c r="EW355" s="28"/>
      <c r="EX355" s="28"/>
      <c r="EY355" s="28"/>
      <c r="EZ355" s="28"/>
      <c r="FA355" s="28"/>
      <c r="FB355" s="28"/>
      <c r="FC355" s="28"/>
      <c r="FD355" s="28"/>
      <c r="FE355" s="28"/>
      <c r="FF355" s="28"/>
      <c r="FG355" s="28"/>
      <c r="FH355" s="28"/>
      <c r="FI355" s="28"/>
      <c r="FJ355" s="28"/>
      <c r="FK355" s="28"/>
      <c r="FL355" s="28"/>
      <c r="FM355" s="28"/>
      <c r="FN355" s="28"/>
      <c r="FO355" s="28"/>
      <c r="FP355" s="28"/>
      <c r="FQ355" s="28"/>
      <c r="FR355" s="28"/>
      <c r="FS355" s="28"/>
      <c r="FT355" s="28"/>
      <c r="FU355" s="28"/>
      <c r="FV355" s="28"/>
      <c r="FW355" s="28"/>
      <c r="FX355" s="28"/>
      <c r="FY355" s="28"/>
      <c r="FZ355" s="28"/>
      <c r="GA355" s="28"/>
      <c r="GB355" s="28"/>
      <c r="GC355" s="28"/>
      <c r="GD355" s="28"/>
      <c r="GE355" s="28"/>
      <c r="GF355" s="28"/>
      <c r="GG355" s="28"/>
      <c r="GH355" s="28"/>
      <c r="GI355" s="28"/>
      <c r="GJ355" s="28"/>
      <c r="GK355" s="28"/>
      <c r="GL355" s="28"/>
      <c r="GM355" s="28"/>
      <c r="GN355" s="28"/>
      <c r="GO355" s="28"/>
      <c r="GP355" s="28"/>
      <c r="GQ355" s="28"/>
      <c r="GR355" s="28"/>
      <c r="GS355" s="28"/>
      <c r="GT355" s="28"/>
      <c r="GU355" s="28"/>
      <c r="GV355" s="28"/>
      <c r="GW355" s="28"/>
      <c r="GX355" s="28"/>
      <c r="GY355" s="28"/>
      <c r="GZ355" s="28"/>
      <c r="HA355" s="28"/>
      <c r="HB355" s="28"/>
      <c r="HC355" s="28"/>
      <c r="HD355" s="28"/>
      <c r="HE355" s="28"/>
      <c r="HF355" s="28"/>
      <c r="HG355" s="28"/>
      <c r="HH355" s="28"/>
      <c r="HI355" s="28"/>
      <c r="HJ355" s="28"/>
      <c r="HK355" s="28"/>
      <c r="HL355" s="28"/>
    </row>
    <row r="356" spans="1:220" ht="15" customHeight="1">
      <c r="A356" s="31">
        <v>7</v>
      </c>
      <c r="B356" s="105" t="str">
        <f>VLOOKUP(Ruimtestaat[[#This Row],[Code]],Locaties[[Code]:[Locatie]],2,FALSE)</f>
        <v>Montessori IKC De Groene Ring</v>
      </c>
      <c r="C356" s="105" t="str">
        <f>VLOOKUP(Ruimtestaat[[#This Row],[Code]],Locaties[[#All],[Code]:[Adres]],4,FALSE)</f>
        <v>Bergdravik 2</v>
      </c>
      <c r="D356" s="105" t="str">
        <f>VLOOKUP(Ruimtestaat[[#This Row],[Code]],Locaties[[#All],[Code]:[Postcode]],5,FALSE)</f>
        <v>6922 HM</v>
      </c>
      <c r="E356" s="105" t="str">
        <f>VLOOKUP(Ruimtestaat[[#This Row],[Code]],Locaties[#All],6,FALSE)</f>
        <v>Duiven</v>
      </c>
      <c r="F356" s="113"/>
      <c r="I356" s="113" t="s">
        <v>1791</v>
      </c>
      <c r="J356" s="31">
        <v>5</v>
      </c>
      <c r="K356" s="113" t="str">
        <f>VLOOKUP(Ruimtestaat[[#This Row],[Ruimte code]],Ruimtegroepen[[#All],[Code]:[Ruimte omschrijving]],2,FALSE)</f>
        <v>Sanitair</v>
      </c>
      <c r="L356" s="31" t="s">
        <v>101</v>
      </c>
      <c r="M356" s="31" t="s">
        <v>1976</v>
      </c>
      <c r="N356" s="106">
        <v>4</v>
      </c>
      <c r="O356" s="112"/>
      <c r="P356" s="112"/>
      <c r="Q356" s="107" t="str">
        <f>VLOOKUP(Ruimtestaat[[#This Row],[Ruimte code]],Ruimtegroepen[],4,FALSE)</f>
        <v>Sa</v>
      </c>
      <c r="R356" s="73">
        <v>40</v>
      </c>
      <c r="S356" s="73" t="s">
        <v>2</v>
      </c>
      <c r="T356" s="73">
        <f>IF(R356&gt;0,IF(RIGHT(Ruimtestaat[[#This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6" s="73">
        <f>IF(T356&gt;0,VLOOKUP($J356,Ruimtegroepen[],3,FALSE)*VLOOKUP($L356,Vloersoorten[],3,FALSE)*VLOOKUP($S356,Frequenties[],3,FALSE)*VLOOKUP($A356,Locaties[],3,FALSE),0)</f>
        <v>0</v>
      </c>
      <c r="V356" s="73">
        <f>Ruimtestaat[[#This Row],[Uitvoeringen werkdagen]]*Ruimtestaat[[#This Row],[Oppervlak (netto)]]</f>
        <v>800</v>
      </c>
      <c r="W356" s="108">
        <f>IF(U356&gt;0,Ruimtestaat[[#This Row],[Prest. (m2 /jaar) werkdagen]]/Ruimtestaat[[#This Row],[Norm (m2/uur) werkdagen]],0)</f>
        <v>0</v>
      </c>
      <c r="X356" s="109">
        <f>Ruimtestaat[[#This Row],[uren / jaar werkdagen]]*Tariefsopbouw!$E$35</f>
        <v>0</v>
      </c>
      <c r="Y356" s="73"/>
      <c r="Z356" s="73">
        <f>IF(Ruimtestaat[[#This Row],[Frequentie weekend]]&gt;0,VALUE(LEFT(Y356,1))*R356,0)</f>
        <v>0</v>
      </c>
      <c r="AA356" s="72">
        <f>IF($Z356&gt;0,VLOOKUP($J356,Ruimtegroepen[],3,FALSE)*VLOOKUP($L356,Vloersoorten[],3,FALSE)*VLOOKUP($Y356,Frequenties[],3,FALSE)*VLOOKUP(Ruimtestaat[[#This Row],[Code]],Locaties[],3,FALSE),0)</f>
        <v>0</v>
      </c>
      <c r="AB356" s="72">
        <f>Ruimtestaat[[#This Row],[Uitvoeringen weekend]]*Ruimtestaat[[#This Row],[Oppervlak (netto)]]</f>
        <v>0</v>
      </c>
      <c r="AC356" s="72">
        <f>IF(AA356&gt;0,Ruimtestaat[[#This Row],[Prest. (m2 /jaar) weekend]]/Ruimtestaat[[#This Row],[Norm (m2/uur) weekend]],0)</f>
        <v>0</v>
      </c>
      <c r="AD356" s="109">
        <f>Ruimtestaat[[#This Row],[uren / jaar weekend]]*Tariefsopbouw!$D$40</f>
        <v>0</v>
      </c>
      <c r="AE356" s="108">
        <f>Ruimtestaat[[#This Row],[Prest. (m2 /jaar) weekend]]+Ruimtestaat[[#This Row],[Prest. (m2 /jaar) werkdagen]]</f>
        <v>800</v>
      </c>
      <c r="AF356" s="108">
        <f>Ruimtestaat[[#This Row],[uren / jaar weekend]]+Ruimtestaat[[#This Row],[uren / jaar werkdagen]]</f>
        <v>0</v>
      </c>
      <c r="AG356" s="103">
        <f>Ruimtestaat[[#This Row],[kosten / jaar weekend]]+Ruimtestaat[[#This Row],[kosten / jaar werkdagen]]</f>
        <v>0</v>
      </c>
      <c r="AH356" s="103"/>
      <c r="AI356" s="110" t="str">
        <f>IF(Ruimtestaat[[#This Row],[Frequentie werkdagen]]="","",_xlfn.CONCAT(Ruimtestaat[[#This Row],[Ruimte code]],"-",Ruimtestaat[[#This Row],[Frequentie werkdagen]]," ",Ruimtestaat[[#This Row],[Vloer code]]))</f>
        <v>5-5w S</v>
      </c>
      <c r="AJ356" s="114" t="str">
        <f>_xlfn.IFNA(VLOOKUP($AI356,Programma!$F$3:$G$1101,2,0),"")</f>
        <v>_</v>
      </c>
      <c r="AK356" s="114" t="str">
        <f>_xlfn.IFNA(VLOOKUP($AI356,Programma!$F$3:$H$1101,3,0),"")</f>
        <v>_</v>
      </c>
      <c r="AL356" s="114" t="str">
        <f>_xlfn.IFNA(VLOOKUP($AI356,Programma!$F$3:$I$1101,4,0),"")</f>
        <v>_</v>
      </c>
      <c r="AM356" s="114" t="str">
        <f>_xlfn.IFNA(VLOOKUP($AI356,Programma!$F$3:$J$1101,5,0),"")</f>
        <v>4w</v>
      </c>
      <c r="AN356" s="114" t="str">
        <f>_xlfn.IFNA(VLOOKUP($AI356,Programma!$F$3:$K$1101,6,0),"")</f>
        <v>1w</v>
      </c>
      <c r="AO356" s="114" t="str">
        <f>_xlfn.IFNA(VLOOKUP($AI356,Programma!$F$3:$L$1101,7,0),"")</f>
        <v>_</v>
      </c>
      <c r="AP356" s="114" t="str">
        <f>_xlfn.IFNA(VLOOKUP($AI356,Programma!$F$3:$M$1101,8,0),"")</f>
        <v>_</v>
      </c>
      <c r="AQ356" s="114" t="str">
        <f>_xlfn.IFNA(VLOOKUP($AI356,Programma!$F$3:$N$1101,9,0),"")</f>
        <v>_</v>
      </c>
      <c r="AR356" s="114" t="str">
        <f>_xlfn.IFNA(VLOOKUP($AI356,Programma!$F$3:$O$1101,10,0),"")</f>
        <v>_</v>
      </c>
      <c r="AS356" s="114" t="str">
        <f>_xlfn.IFNA(VLOOKUP($AI356,Programma!$F$3:$P$1101,11,0),"")</f>
        <v>_</v>
      </c>
      <c r="AT356" s="114" t="str">
        <f>_xlfn.IFNA(VLOOKUP($AI356,Programma!$F$3:$Q$1101,12,0),"")</f>
        <v>_</v>
      </c>
      <c r="AU356" s="114" t="str">
        <f>_xlfn.IFNA(VLOOKUP($AI356,Programma!$F$3:$R$1101,13,0),"")</f>
        <v>_</v>
      </c>
      <c r="AV356" s="114" t="str">
        <f>_xlfn.IFNA(VLOOKUP($AI356,Programma!$F$3:$S$1101,14,0),"")</f>
        <v>_</v>
      </c>
      <c r="AW356" s="114" t="str">
        <f>_xlfn.IFNA(VLOOKUP($AI356,Programma!$F$3:$T$1101,15,0),"")</f>
        <v>_</v>
      </c>
      <c r="AX356" s="114" t="str">
        <f>_xlfn.IFNA(VLOOKUP($AI356,Programma!$F$3:$U$1101,16,0),"")</f>
        <v>_</v>
      </c>
      <c r="AY356" s="114" t="str">
        <f>_xlfn.IFNA(VLOOKUP($AI356,Programma!$F$3:$V$1101,17,0),"")</f>
        <v>_</v>
      </c>
      <c r="AZ356" s="114" t="str">
        <f>_xlfn.IFNA(VLOOKUP($AI356,Programma!$F$3:$W$1101,18,0),"")</f>
        <v>4w</v>
      </c>
      <c r="BA356" s="114" t="str">
        <f>_xlfn.IFNA(VLOOKUP($AI356,Programma!$F$3:$X$1101,19,0),"")</f>
        <v>1w</v>
      </c>
      <c r="BB356" s="114" t="str">
        <f>_xlfn.IFNA(VLOOKUP($AI356,Programma!$F$3:$Y$1101,20,0),"")</f>
        <v>_</v>
      </c>
      <c r="BC356" s="111"/>
      <c r="BD356" s="110" t="str">
        <f>IF(Ruimtestaat[[#This Row],[Frequentie weekend]]="","",_xlfn.CONCAT(Ruimtestaat[[#This Row],[Ruimte code]],"-",Ruimtestaat[[#This Row],[Frequentie weekend]]," ",Ruimtestaat[[#This Row],[Vloer code]]))</f>
        <v/>
      </c>
      <c r="BE356" s="114" t="str">
        <f>_xlfn.IFNA(VLOOKUP($BD356,Programma!$F$3:$G$1101,2,0),"")</f>
        <v/>
      </c>
      <c r="BF356" s="114" t="str">
        <f>_xlfn.IFNA(VLOOKUP($BD356,Programma!$F$3:$H$1101,3,0),"")</f>
        <v/>
      </c>
      <c r="BG356" s="114" t="str">
        <f>_xlfn.IFNA(VLOOKUP($BD356,Programma!$F$3:$I$1101,4,0),"")</f>
        <v/>
      </c>
      <c r="BH356" s="114" t="str">
        <f>_xlfn.IFNA(VLOOKUP($BD356,Programma!$F$3:$J$1101,5,0),"")</f>
        <v/>
      </c>
      <c r="BI356" s="114" t="str">
        <f>_xlfn.IFNA(VLOOKUP($BD356,Programma!$F$3:$K$1101,6,0),"")</f>
        <v/>
      </c>
      <c r="BJ356" s="114" t="str">
        <f>_xlfn.IFNA(VLOOKUP($BD356,Programma!$F$3:$L$1101,7,0),"")</f>
        <v/>
      </c>
      <c r="BK356" s="114" t="str">
        <f>_xlfn.IFNA(VLOOKUP($BD356,Programma!$F$3:$M$1101,8,0),"")</f>
        <v/>
      </c>
      <c r="BL356" s="114" t="str">
        <f>_xlfn.IFNA(VLOOKUP($BD356,Programma!$F$3:$N$1101,9,0),"")</f>
        <v/>
      </c>
      <c r="BM356" s="114" t="str">
        <f>_xlfn.IFNA(VLOOKUP($BD356,Programma!$F$3:$O$1101,10,0),"")</f>
        <v/>
      </c>
      <c r="BN356" s="114" t="str">
        <f>_xlfn.IFNA(VLOOKUP($BD356,Programma!$F$3:$P$1101,11,0),"")</f>
        <v/>
      </c>
      <c r="BO356" s="114" t="str">
        <f>_xlfn.IFNA(VLOOKUP($BD356,Programma!$F$3:$Q$1101,12,0),"")</f>
        <v/>
      </c>
      <c r="BP356" s="114" t="str">
        <f>_xlfn.IFNA(VLOOKUP($BD356,Programma!$F$3:$R$1101,13,0),"")</f>
        <v/>
      </c>
      <c r="BQ356" s="114" t="str">
        <f>_xlfn.IFNA(VLOOKUP($BD356,Programma!$F$3:$S$1101,14,0),"")</f>
        <v/>
      </c>
      <c r="BR356" s="114" t="str">
        <f>_xlfn.IFNA(VLOOKUP($BD356,Programma!$F$3:$T$1101,15,0),"")</f>
        <v/>
      </c>
      <c r="BS356" s="114" t="str">
        <f>_xlfn.IFNA(VLOOKUP($BD356,Programma!$F$3:$U$1101,16,0),"")</f>
        <v/>
      </c>
      <c r="BT356" s="114" t="str">
        <f>_xlfn.IFNA(VLOOKUP($BD356,Programma!$F$3:$V$1101,17,0),"")</f>
        <v/>
      </c>
      <c r="BU356" s="114" t="str">
        <f>_xlfn.IFNA(VLOOKUP($BD356,Programma!$F$3:$W$1101,18,0),"")</f>
        <v/>
      </c>
      <c r="BV356" s="114" t="str">
        <f>_xlfn.IFNA(VLOOKUP($BD356,Programma!$F$3:$X$1101,19,0),"")</f>
        <v/>
      </c>
      <c r="BW356" s="114" t="str">
        <f>_xlfn.IFNA(VLOOKUP($BD356,Programma!$F$3:$Y$1101,20,0),"")</f>
        <v/>
      </c>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c r="EV356" s="28"/>
      <c r="EW356" s="28"/>
      <c r="EX356" s="28"/>
      <c r="EY356" s="28"/>
      <c r="EZ356" s="28"/>
      <c r="FA356" s="28"/>
      <c r="FB356" s="28"/>
      <c r="FC356" s="28"/>
      <c r="FD356" s="28"/>
      <c r="FE356" s="28"/>
      <c r="FF356" s="28"/>
      <c r="FG356" s="28"/>
      <c r="FH356" s="28"/>
      <c r="FI356" s="28"/>
      <c r="FJ356" s="28"/>
      <c r="FK356" s="28"/>
      <c r="FL356" s="28"/>
      <c r="FM356" s="28"/>
      <c r="FN356" s="28"/>
      <c r="FO356" s="28"/>
      <c r="FP356" s="28"/>
      <c r="FQ356" s="28"/>
      <c r="FR356" s="28"/>
      <c r="FS356" s="28"/>
      <c r="FT356" s="28"/>
      <c r="FU356" s="28"/>
      <c r="FV356" s="28"/>
      <c r="FW356" s="28"/>
      <c r="FX356" s="28"/>
      <c r="FY356" s="28"/>
      <c r="FZ356" s="28"/>
      <c r="GA356" s="28"/>
      <c r="GB356" s="28"/>
      <c r="GC356" s="28"/>
      <c r="GD356" s="28"/>
      <c r="GE356" s="28"/>
      <c r="GF356" s="28"/>
      <c r="GG356" s="28"/>
      <c r="GH356" s="28"/>
      <c r="GI356" s="28"/>
      <c r="GJ356" s="28"/>
      <c r="GK356" s="28"/>
      <c r="GL356" s="28"/>
      <c r="GM356" s="28"/>
      <c r="GN356" s="28"/>
      <c r="GO356" s="28"/>
      <c r="GP356" s="28"/>
      <c r="GQ356" s="28"/>
      <c r="GR356" s="28"/>
      <c r="GS356" s="28"/>
      <c r="GT356" s="28"/>
      <c r="GU356" s="28"/>
      <c r="GV356" s="28"/>
      <c r="GW356" s="28"/>
      <c r="GX356" s="28"/>
      <c r="GY356" s="28"/>
      <c r="GZ356" s="28"/>
      <c r="HA356" s="28"/>
      <c r="HB356" s="28"/>
      <c r="HC356" s="28"/>
      <c r="HD356" s="28"/>
      <c r="HE356" s="28"/>
      <c r="HF356" s="28"/>
      <c r="HG356" s="28"/>
      <c r="HH356" s="28"/>
      <c r="HI356" s="28"/>
      <c r="HJ356" s="28"/>
      <c r="HK356" s="28"/>
      <c r="HL356" s="28"/>
    </row>
    <row r="357" spans="1:220" ht="15" customHeight="1">
      <c r="A357" s="31">
        <v>7</v>
      </c>
      <c r="B357" s="105" t="str">
        <f>VLOOKUP(Ruimtestaat[[#This Row],[Code]],Locaties[[Code]:[Locatie]],2,FALSE)</f>
        <v>Montessori IKC De Groene Ring</v>
      </c>
      <c r="C357" s="105" t="str">
        <f>VLOOKUP(Ruimtestaat[[#This Row],[Code]],Locaties[[#All],[Code]:[Adres]],4,FALSE)</f>
        <v>Bergdravik 2</v>
      </c>
      <c r="D357" s="105" t="str">
        <f>VLOOKUP(Ruimtestaat[[#This Row],[Code]],Locaties[[#All],[Code]:[Postcode]],5,FALSE)</f>
        <v>6922 HM</v>
      </c>
      <c r="E357" s="105" t="str">
        <f>VLOOKUP(Ruimtestaat[[#This Row],[Code]],Locaties[#All],6,FALSE)</f>
        <v>Duiven</v>
      </c>
      <c r="F357" s="113"/>
      <c r="I357" s="113" t="s">
        <v>1676</v>
      </c>
      <c r="J357" s="31">
        <v>16</v>
      </c>
      <c r="K357" s="113" t="str">
        <f>VLOOKUP(Ruimtestaat[[#This Row],[Ruimte code]],Ruimtegroepen[[#All],[Code]:[Ruimte omschrijving]],2,FALSE)</f>
        <v>Leslokalen</v>
      </c>
      <c r="L357" s="31" t="s">
        <v>100</v>
      </c>
      <c r="M357" s="31" t="s">
        <v>1975</v>
      </c>
      <c r="N357" s="106">
        <v>63</v>
      </c>
      <c r="O357" s="112"/>
      <c r="P357" s="112"/>
      <c r="Q357" s="107" t="str">
        <f>VLOOKUP(Ruimtestaat[[#This Row],[Ruimte code]],Ruimtegroepen[],4,FALSE)</f>
        <v>Le</v>
      </c>
      <c r="R357" s="73">
        <v>40</v>
      </c>
      <c r="S357" s="73" t="s">
        <v>2</v>
      </c>
      <c r="T357" s="73">
        <f>IF(R357&gt;0,IF(RIGHT(Ruimtestaat[[#This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7" s="73">
        <f>IF(T357&gt;0,VLOOKUP($J357,Ruimtegroepen[],3,FALSE)*VLOOKUP($L357,Vloersoorten[],3,FALSE)*VLOOKUP($S357,Frequenties[],3,FALSE)*VLOOKUP($A357,Locaties[],3,FALSE),0)</f>
        <v>0</v>
      </c>
      <c r="V357" s="73">
        <f>Ruimtestaat[[#This Row],[Uitvoeringen werkdagen]]*Ruimtestaat[[#This Row],[Oppervlak (netto)]]</f>
        <v>12600</v>
      </c>
      <c r="W357" s="108">
        <f>IF(U357&gt;0,Ruimtestaat[[#This Row],[Prest. (m2 /jaar) werkdagen]]/Ruimtestaat[[#This Row],[Norm (m2/uur) werkdagen]],0)</f>
        <v>0</v>
      </c>
      <c r="X357" s="109">
        <f>Ruimtestaat[[#This Row],[uren / jaar werkdagen]]*Tariefsopbouw!$E$35</f>
        <v>0</v>
      </c>
      <c r="Y357" s="73"/>
      <c r="Z357" s="73">
        <f>IF(Ruimtestaat[[#This Row],[Frequentie weekend]]&gt;0,VALUE(LEFT(Y357,1))*R357,0)</f>
        <v>0</v>
      </c>
      <c r="AA357" s="72">
        <f>IF($Z357&gt;0,VLOOKUP($J357,Ruimtegroepen[],3,FALSE)*VLOOKUP($L357,Vloersoorten[],3,FALSE)*VLOOKUP($Y357,Frequenties[],3,FALSE)*VLOOKUP(Ruimtestaat[[#This Row],[Code]],Locaties[],3,FALSE),0)</f>
        <v>0</v>
      </c>
      <c r="AB357" s="72">
        <f>Ruimtestaat[[#This Row],[Uitvoeringen weekend]]*Ruimtestaat[[#This Row],[Oppervlak (netto)]]</f>
        <v>0</v>
      </c>
      <c r="AC357" s="72">
        <f>IF(AA357&gt;0,Ruimtestaat[[#This Row],[Prest. (m2 /jaar) weekend]]/Ruimtestaat[[#This Row],[Norm (m2/uur) weekend]],0)</f>
        <v>0</v>
      </c>
      <c r="AD357" s="109">
        <f>Ruimtestaat[[#This Row],[uren / jaar weekend]]*Tariefsopbouw!$D$40</f>
        <v>0</v>
      </c>
      <c r="AE357" s="108">
        <f>Ruimtestaat[[#This Row],[Prest. (m2 /jaar) weekend]]+Ruimtestaat[[#This Row],[Prest. (m2 /jaar) werkdagen]]</f>
        <v>12600</v>
      </c>
      <c r="AF357" s="108">
        <f>Ruimtestaat[[#This Row],[uren / jaar weekend]]+Ruimtestaat[[#This Row],[uren / jaar werkdagen]]</f>
        <v>0</v>
      </c>
      <c r="AG357" s="103">
        <f>Ruimtestaat[[#This Row],[kosten / jaar weekend]]+Ruimtestaat[[#This Row],[kosten / jaar werkdagen]]</f>
        <v>0</v>
      </c>
      <c r="AH357" s="103"/>
      <c r="AI357" s="110" t="str">
        <f>IF(Ruimtestaat[[#This Row],[Frequentie werkdagen]]="","",_xlfn.CONCAT(Ruimtestaat[[#This Row],[Ruimte code]],"-",Ruimtestaat[[#This Row],[Frequentie werkdagen]]," ",Ruimtestaat[[#This Row],[Vloer code]]))</f>
        <v>16-5w L</v>
      </c>
      <c r="AJ357" s="114" t="str">
        <f>_xlfn.IFNA(VLOOKUP($AI357,Programma!$F$3:$G$1101,2,0),"")</f>
        <v>_</v>
      </c>
      <c r="AK357" s="114" t="str">
        <f>_xlfn.IFNA(VLOOKUP($AI357,Programma!$F$3:$H$1101,3,0),"")</f>
        <v>_</v>
      </c>
      <c r="AL357" s="114" t="str">
        <f>_xlfn.IFNA(VLOOKUP($AI357,Programma!$F$3:$I$1101,4,0),"")</f>
        <v>4w</v>
      </c>
      <c r="AM357" s="114" t="str">
        <f>_xlfn.IFNA(VLOOKUP($AI357,Programma!$F$3:$J$1101,5,0),"")</f>
        <v>1w</v>
      </c>
      <c r="AN357" s="114" t="str">
        <f>_xlfn.IFNA(VLOOKUP($AI357,Programma!$F$3:$K$1101,6,0),"")</f>
        <v>_</v>
      </c>
      <c r="AO357" s="114" t="str">
        <f>_xlfn.IFNA(VLOOKUP($AI357,Programma!$F$3:$L$1101,7,0),"")</f>
        <v>_</v>
      </c>
      <c r="AP357" s="114" t="str">
        <f>_xlfn.IFNA(VLOOKUP($AI357,Programma!$F$3:$M$1101,8,0),"")</f>
        <v>_</v>
      </c>
      <c r="AQ357" s="114" t="str">
        <f>_xlfn.IFNA(VLOOKUP($AI357,Programma!$F$3:$N$1101,9,0),"")</f>
        <v>_</v>
      </c>
      <c r="AR357" s="114" t="str">
        <f>_xlfn.IFNA(VLOOKUP($AI357,Programma!$F$3:$O$1101,10,0),"")</f>
        <v>5w</v>
      </c>
      <c r="AS357" s="114" t="str">
        <f>_xlfn.IFNA(VLOOKUP($AI357,Programma!$F$3:$P$1101,11,0),"")</f>
        <v>5w</v>
      </c>
      <c r="AT357" s="114" t="str">
        <f>_xlfn.IFNA(VLOOKUP($AI357,Programma!$F$3:$Q$1101,12,0),"")</f>
        <v>1w</v>
      </c>
      <c r="AU357" s="114" t="str">
        <f>_xlfn.IFNA(VLOOKUP($AI357,Programma!$F$3:$R$1101,13,0),"")</f>
        <v>1w</v>
      </c>
      <c r="AV357" s="114" t="str">
        <f>_xlfn.IFNA(VLOOKUP($AI357,Programma!$F$3:$S$1101,14,0),"")</f>
        <v>1m</v>
      </c>
      <c r="AW357" s="114" t="str">
        <f>_xlfn.IFNA(VLOOKUP($AI357,Programma!$F$3:$T$1101,15,0),"")</f>
        <v>2j</v>
      </c>
      <c r="AX357" s="114" t="str">
        <f>_xlfn.IFNA(VLOOKUP($AI357,Programma!$F$3:$U$1101,16,0),"")</f>
        <v>1j</v>
      </c>
      <c r="AY357" s="114" t="str">
        <f>_xlfn.IFNA(VLOOKUP($AI357,Programma!$F$3:$V$1101,17,0),"")</f>
        <v>_</v>
      </c>
      <c r="AZ357" s="114" t="str">
        <f>_xlfn.IFNA(VLOOKUP($AI357,Programma!$F$3:$W$1101,18,0),"")</f>
        <v>_</v>
      </c>
      <c r="BA357" s="114" t="str">
        <f>_xlfn.IFNA(VLOOKUP($AI357,Programma!$F$3:$X$1101,19,0),"")</f>
        <v>_</v>
      </c>
      <c r="BB357" s="114" t="str">
        <f>_xlfn.IFNA(VLOOKUP($AI357,Programma!$F$3:$Y$1101,20,0),"")</f>
        <v>_</v>
      </c>
      <c r="BC357" s="111"/>
      <c r="BD357" s="110" t="str">
        <f>IF(Ruimtestaat[[#This Row],[Frequentie weekend]]="","",_xlfn.CONCAT(Ruimtestaat[[#This Row],[Ruimte code]],"-",Ruimtestaat[[#This Row],[Frequentie weekend]]," ",Ruimtestaat[[#This Row],[Vloer code]]))</f>
        <v/>
      </c>
      <c r="BE357" s="114" t="str">
        <f>_xlfn.IFNA(VLOOKUP($BD357,Programma!$F$3:$G$1101,2,0),"")</f>
        <v/>
      </c>
      <c r="BF357" s="114" t="str">
        <f>_xlfn.IFNA(VLOOKUP($BD357,Programma!$F$3:$H$1101,3,0),"")</f>
        <v/>
      </c>
      <c r="BG357" s="114" t="str">
        <f>_xlfn.IFNA(VLOOKUP($BD357,Programma!$F$3:$I$1101,4,0),"")</f>
        <v/>
      </c>
      <c r="BH357" s="114" t="str">
        <f>_xlfn.IFNA(VLOOKUP($BD357,Programma!$F$3:$J$1101,5,0),"")</f>
        <v/>
      </c>
      <c r="BI357" s="114" t="str">
        <f>_xlfn.IFNA(VLOOKUP($BD357,Programma!$F$3:$K$1101,6,0),"")</f>
        <v/>
      </c>
      <c r="BJ357" s="114" t="str">
        <f>_xlfn.IFNA(VLOOKUP($BD357,Programma!$F$3:$L$1101,7,0),"")</f>
        <v/>
      </c>
      <c r="BK357" s="114" t="str">
        <f>_xlfn.IFNA(VLOOKUP($BD357,Programma!$F$3:$M$1101,8,0),"")</f>
        <v/>
      </c>
      <c r="BL357" s="114" t="str">
        <f>_xlfn.IFNA(VLOOKUP($BD357,Programma!$F$3:$N$1101,9,0),"")</f>
        <v/>
      </c>
      <c r="BM357" s="114" t="str">
        <f>_xlfn.IFNA(VLOOKUP($BD357,Programma!$F$3:$O$1101,10,0),"")</f>
        <v/>
      </c>
      <c r="BN357" s="114" t="str">
        <f>_xlfn.IFNA(VLOOKUP($BD357,Programma!$F$3:$P$1101,11,0),"")</f>
        <v/>
      </c>
      <c r="BO357" s="114" t="str">
        <f>_xlfn.IFNA(VLOOKUP($BD357,Programma!$F$3:$Q$1101,12,0),"")</f>
        <v/>
      </c>
      <c r="BP357" s="114" t="str">
        <f>_xlfn.IFNA(VLOOKUP($BD357,Programma!$F$3:$R$1101,13,0),"")</f>
        <v/>
      </c>
      <c r="BQ357" s="114" t="str">
        <f>_xlfn.IFNA(VLOOKUP($BD357,Programma!$F$3:$S$1101,14,0),"")</f>
        <v/>
      </c>
      <c r="BR357" s="114" t="str">
        <f>_xlfn.IFNA(VLOOKUP($BD357,Programma!$F$3:$T$1101,15,0),"")</f>
        <v/>
      </c>
      <c r="BS357" s="114" t="str">
        <f>_xlfn.IFNA(VLOOKUP($BD357,Programma!$F$3:$U$1101,16,0),"")</f>
        <v/>
      </c>
      <c r="BT357" s="114" t="str">
        <f>_xlfn.IFNA(VLOOKUP($BD357,Programma!$F$3:$V$1101,17,0),"")</f>
        <v/>
      </c>
      <c r="BU357" s="114" t="str">
        <f>_xlfn.IFNA(VLOOKUP($BD357,Programma!$F$3:$W$1101,18,0),"")</f>
        <v/>
      </c>
      <c r="BV357" s="114" t="str">
        <f>_xlfn.IFNA(VLOOKUP($BD357,Programma!$F$3:$X$1101,19,0),"")</f>
        <v/>
      </c>
      <c r="BW357" s="114" t="str">
        <f>_xlfn.IFNA(VLOOKUP($BD357,Programma!$F$3:$Y$1101,20,0),"")</f>
        <v/>
      </c>
      <c r="BX357" s="28"/>
      <c r="BY357" s="28"/>
      <c r="BZ357" s="28"/>
      <c r="CA357" s="28"/>
      <c r="CB357" s="28"/>
      <c r="CC357" s="28"/>
      <c r="CD357" s="28"/>
      <c r="CE357" s="28"/>
      <c r="CF357" s="28"/>
      <c r="CG357" s="28"/>
      <c r="CH357" s="28"/>
      <c r="CI357" s="28"/>
      <c r="CJ357" s="28"/>
      <c r="CK357" s="28"/>
      <c r="CL357" s="28"/>
      <c r="CM357" s="28"/>
      <c r="CN357" s="28"/>
      <c r="CO357" s="28"/>
      <c r="CP357" s="28"/>
      <c r="CQ357" s="28"/>
      <c r="CR357" s="28"/>
      <c r="CS357" s="28"/>
      <c r="CT357" s="28"/>
      <c r="CU357" s="28"/>
      <c r="CV357" s="28"/>
      <c r="CW357" s="28"/>
      <c r="CX357" s="28"/>
      <c r="CY357" s="28"/>
      <c r="CZ357" s="28"/>
      <c r="DA357" s="28"/>
      <c r="DB357" s="28"/>
      <c r="DC357" s="28"/>
      <c r="DD357" s="28"/>
      <c r="DE357" s="28"/>
      <c r="DF357" s="28"/>
      <c r="DG357" s="28"/>
      <c r="DH357" s="28"/>
      <c r="DI357" s="28"/>
      <c r="DJ357" s="28"/>
      <c r="DK357" s="28"/>
      <c r="DL357" s="28"/>
      <c r="DM357" s="28"/>
      <c r="DN357" s="28"/>
      <c r="DO357" s="28"/>
      <c r="DP357" s="28"/>
      <c r="DQ357" s="28"/>
      <c r="DR357" s="28"/>
      <c r="DS357" s="28"/>
      <c r="DT357" s="28"/>
      <c r="DU357" s="28"/>
      <c r="DV357" s="28"/>
      <c r="DW357" s="28"/>
      <c r="DX357" s="28"/>
      <c r="DY357" s="28"/>
      <c r="DZ357" s="28"/>
      <c r="EA357" s="28"/>
      <c r="EB357" s="28"/>
      <c r="EC357" s="28"/>
      <c r="ED357" s="28"/>
      <c r="EE357" s="28"/>
      <c r="EF357" s="28"/>
      <c r="EG357" s="28"/>
      <c r="EH357" s="28"/>
      <c r="EI357" s="28"/>
      <c r="EJ357" s="28"/>
      <c r="EK357" s="28"/>
      <c r="EL357" s="28"/>
      <c r="EM357" s="28"/>
      <c r="EN357" s="28"/>
      <c r="EO357" s="28"/>
      <c r="EP357" s="28"/>
      <c r="EQ357" s="28"/>
      <c r="ER357" s="28"/>
      <c r="ES357" s="28"/>
      <c r="ET357" s="28"/>
      <c r="EU357" s="28"/>
      <c r="EV357" s="28"/>
      <c r="EW357" s="28"/>
      <c r="EX357" s="28"/>
      <c r="EY357" s="28"/>
      <c r="EZ357" s="28"/>
      <c r="FA357" s="28"/>
      <c r="FB357" s="28"/>
      <c r="FC357" s="28"/>
      <c r="FD357" s="28"/>
      <c r="FE357" s="28"/>
      <c r="FF357" s="28"/>
      <c r="FG357" s="28"/>
      <c r="FH357" s="28"/>
      <c r="FI357" s="28"/>
      <c r="FJ357" s="28"/>
      <c r="FK357" s="28"/>
      <c r="FL357" s="28"/>
      <c r="FM357" s="28"/>
      <c r="FN357" s="28"/>
      <c r="FO357" s="28"/>
      <c r="FP357" s="28"/>
      <c r="FQ357" s="28"/>
      <c r="FR357" s="28"/>
      <c r="FS357" s="28"/>
      <c r="FT357" s="28"/>
      <c r="FU357" s="28"/>
      <c r="FV357" s="28"/>
      <c r="FW357" s="28"/>
      <c r="FX357" s="28"/>
      <c r="FY357" s="28"/>
      <c r="FZ357" s="28"/>
      <c r="GA357" s="28"/>
      <c r="GB357" s="28"/>
      <c r="GC357" s="28"/>
      <c r="GD357" s="28"/>
      <c r="GE357" s="28"/>
      <c r="GF357" s="28"/>
      <c r="GG357" s="28"/>
      <c r="GH357" s="28"/>
      <c r="GI357" s="28"/>
      <c r="GJ357" s="28"/>
      <c r="GK357" s="28"/>
      <c r="GL357" s="28"/>
      <c r="GM357" s="28"/>
      <c r="GN357" s="28"/>
      <c r="GO357" s="28"/>
      <c r="GP357" s="28"/>
      <c r="GQ357" s="28"/>
      <c r="GR357" s="28"/>
      <c r="GS357" s="28"/>
      <c r="GT357" s="28"/>
      <c r="GU357" s="28"/>
      <c r="GV357" s="28"/>
      <c r="GW357" s="28"/>
      <c r="GX357" s="28"/>
      <c r="GY357" s="28"/>
      <c r="GZ357" s="28"/>
      <c r="HA357" s="28"/>
      <c r="HB357" s="28"/>
      <c r="HC357" s="28"/>
      <c r="HD357" s="28"/>
      <c r="HE357" s="28"/>
      <c r="HF357" s="28"/>
      <c r="HG357" s="28"/>
      <c r="HH357" s="28"/>
      <c r="HI357" s="28"/>
      <c r="HJ357" s="28"/>
      <c r="HK357" s="28"/>
      <c r="HL357" s="28"/>
    </row>
    <row r="358" spans="1:220" ht="15" customHeight="1">
      <c r="A358" s="31">
        <v>7</v>
      </c>
      <c r="B358" s="105" t="str">
        <f>VLOOKUP(Ruimtestaat[[#This Row],[Code]],Locaties[[Code]:[Locatie]],2,FALSE)</f>
        <v>Montessori IKC De Groene Ring</v>
      </c>
      <c r="C358" s="105" t="str">
        <f>VLOOKUP(Ruimtestaat[[#This Row],[Code]],Locaties[[#All],[Code]:[Adres]],4,FALSE)</f>
        <v>Bergdravik 2</v>
      </c>
      <c r="D358" s="105" t="str">
        <f>VLOOKUP(Ruimtestaat[[#This Row],[Code]],Locaties[[#All],[Code]:[Postcode]],5,FALSE)</f>
        <v>6922 HM</v>
      </c>
      <c r="E358" s="105" t="str">
        <f>VLOOKUP(Ruimtestaat[[#This Row],[Code]],Locaties[#All],6,FALSE)</f>
        <v>Duiven</v>
      </c>
      <c r="F358" s="113"/>
      <c r="I358" s="113" t="s">
        <v>1674</v>
      </c>
      <c r="J358" s="31">
        <v>16</v>
      </c>
      <c r="K358" s="113" t="str">
        <f>VLOOKUP(Ruimtestaat[[#This Row],[Ruimte code]],Ruimtegroepen[[#All],[Code]:[Ruimte omschrijving]],2,FALSE)</f>
        <v>Leslokalen</v>
      </c>
      <c r="L358" s="31" t="s">
        <v>100</v>
      </c>
      <c r="M358" s="31" t="s">
        <v>1975</v>
      </c>
      <c r="N358" s="106">
        <v>62</v>
      </c>
      <c r="O358" s="112"/>
      <c r="P358" s="112"/>
      <c r="Q358" s="107" t="str">
        <f>VLOOKUP(Ruimtestaat[[#This Row],[Ruimte code]],Ruimtegroepen[],4,FALSE)</f>
        <v>Le</v>
      </c>
      <c r="R358" s="73">
        <v>40</v>
      </c>
      <c r="S358" s="73" t="s">
        <v>2</v>
      </c>
      <c r="T358" s="73">
        <f>IF(R358&gt;0,IF(RIGHT(Ruimtestaat[[#This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8" s="73">
        <f>IF(T358&gt;0,VLOOKUP($J358,Ruimtegroepen[],3,FALSE)*VLOOKUP($L358,Vloersoorten[],3,FALSE)*VLOOKUP($S358,Frequenties[],3,FALSE)*VLOOKUP($A358,Locaties[],3,FALSE),0)</f>
        <v>0</v>
      </c>
      <c r="V358" s="73">
        <f>Ruimtestaat[[#This Row],[Uitvoeringen werkdagen]]*Ruimtestaat[[#This Row],[Oppervlak (netto)]]</f>
        <v>12400</v>
      </c>
      <c r="W358" s="108">
        <f>IF(U358&gt;0,Ruimtestaat[[#This Row],[Prest. (m2 /jaar) werkdagen]]/Ruimtestaat[[#This Row],[Norm (m2/uur) werkdagen]],0)</f>
        <v>0</v>
      </c>
      <c r="X358" s="109">
        <f>Ruimtestaat[[#This Row],[uren / jaar werkdagen]]*Tariefsopbouw!$E$35</f>
        <v>0</v>
      </c>
      <c r="Y358" s="73"/>
      <c r="Z358" s="73">
        <f>IF(Ruimtestaat[[#This Row],[Frequentie weekend]]&gt;0,VALUE(LEFT(Y358,1))*R358,0)</f>
        <v>0</v>
      </c>
      <c r="AA358" s="72">
        <f>IF($Z358&gt;0,VLOOKUP($J358,Ruimtegroepen[],3,FALSE)*VLOOKUP($L358,Vloersoorten[],3,FALSE)*VLOOKUP($Y358,Frequenties[],3,FALSE)*VLOOKUP(Ruimtestaat[[#This Row],[Code]],Locaties[],3,FALSE),0)</f>
        <v>0</v>
      </c>
      <c r="AB358" s="72">
        <f>Ruimtestaat[[#This Row],[Uitvoeringen weekend]]*Ruimtestaat[[#This Row],[Oppervlak (netto)]]</f>
        <v>0</v>
      </c>
      <c r="AC358" s="72">
        <f>IF(AA358&gt;0,Ruimtestaat[[#This Row],[Prest. (m2 /jaar) weekend]]/Ruimtestaat[[#This Row],[Norm (m2/uur) weekend]],0)</f>
        <v>0</v>
      </c>
      <c r="AD358" s="109">
        <f>Ruimtestaat[[#This Row],[uren / jaar weekend]]*Tariefsopbouw!$D$40</f>
        <v>0</v>
      </c>
      <c r="AE358" s="108">
        <f>Ruimtestaat[[#This Row],[Prest. (m2 /jaar) weekend]]+Ruimtestaat[[#This Row],[Prest. (m2 /jaar) werkdagen]]</f>
        <v>12400</v>
      </c>
      <c r="AF358" s="108">
        <f>Ruimtestaat[[#This Row],[uren / jaar weekend]]+Ruimtestaat[[#This Row],[uren / jaar werkdagen]]</f>
        <v>0</v>
      </c>
      <c r="AG358" s="103">
        <f>Ruimtestaat[[#This Row],[kosten / jaar weekend]]+Ruimtestaat[[#This Row],[kosten / jaar werkdagen]]</f>
        <v>0</v>
      </c>
      <c r="AH358" s="103"/>
      <c r="AI358" s="110" t="str">
        <f>IF(Ruimtestaat[[#This Row],[Frequentie werkdagen]]="","",_xlfn.CONCAT(Ruimtestaat[[#This Row],[Ruimte code]],"-",Ruimtestaat[[#This Row],[Frequentie werkdagen]]," ",Ruimtestaat[[#This Row],[Vloer code]]))</f>
        <v>16-5w L</v>
      </c>
      <c r="AJ358" s="114" t="str">
        <f>_xlfn.IFNA(VLOOKUP($AI358,Programma!$F$3:$G$1101,2,0),"")</f>
        <v>_</v>
      </c>
      <c r="AK358" s="114" t="str">
        <f>_xlfn.IFNA(VLOOKUP($AI358,Programma!$F$3:$H$1101,3,0),"")</f>
        <v>_</v>
      </c>
      <c r="AL358" s="114" t="str">
        <f>_xlfn.IFNA(VLOOKUP($AI358,Programma!$F$3:$I$1101,4,0),"")</f>
        <v>4w</v>
      </c>
      <c r="AM358" s="114" t="str">
        <f>_xlfn.IFNA(VLOOKUP($AI358,Programma!$F$3:$J$1101,5,0),"")</f>
        <v>1w</v>
      </c>
      <c r="AN358" s="114" t="str">
        <f>_xlfn.IFNA(VLOOKUP($AI358,Programma!$F$3:$K$1101,6,0),"")</f>
        <v>_</v>
      </c>
      <c r="AO358" s="114" t="str">
        <f>_xlfn.IFNA(VLOOKUP($AI358,Programma!$F$3:$L$1101,7,0),"")</f>
        <v>_</v>
      </c>
      <c r="AP358" s="114" t="str">
        <f>_xlfn.IFNA(VLOOKUP($AI358,Programma!$F$3:$M$1101,8,0),"")</f>
        <v>_</v>
      </c>
      <c r="AQ358" s="114" t="str">
        <f>_xlfn.IFNA(VLOOKUP($AI358,Programma!$F$3:$N$1101,9,0),"")</f>
        <v>_</v>
      </c>
      <c r="AR358" s="114" t="str">
        <f>_xlfn.IFNA(VLOOKUP($AI358,Programma!$F$3:$O$1101,10,0),"")</f>
        <v>5w</v>
      </c>
      <c r="AS358" s="114" t="str">
        <f>_xlfn.IFNA(VLOOKUP($AI358,Programma!$F$3:$P$1101,11,0),"")</f>
        <v>5w</v>
      </c>
      <c r="AT358" s="114" t="str">
        <f>_xlfn.IFNA(VLOOKUP($AI358,Programma!$F$3:$Q$1101,12,0),"")</f>
        <v>1w</v>
      </c>
      <c r="AU358" s="114" t="str">
        <f>_xlfn.IFNA(VLOOKUP($AI358,Programma!$F$3:$R$1101,13,0),"")</f>
        <v>1w</v>
      </c>
      <c r="AV358" s="114" t="str">
        <f>_xlfn.IFNA(VLOOKUP($AI358,Programma!$F$3:$S$1101,14,0),"")</f>
        <v>1m</v>
      </c>
      <c r="AW358" s="114" t="str">
        <f>_xlfn.IFNA(VLOOKUP($AI358,Programma!$F$3:$T$1101,15,0),"")</f>
        <v>2j</v>
      </c>
      <c r="AX358" s="114" t="str">
        <f>_xlfn.IFNA(VLOOKUP($AI358,Programma!$F$3:$U$1101,16,0),"")</f>
        <v>1j</v>
      </c>
      <c r="AY358" s="114" t="str">
        <f>_xlfn.IFNA(VLOOKUP($AI358,Programma!$F$3:$V$1101,17,0),"")</f>
        <v>_</v>
      </c>
      <c r="AZ358" s="114" t="str">
        <f>_xlfn.IFNA(VLOOKUP($AI358,Programma!$F$3:$W$1101,18,0),"")</f>
        <v>_</v>
      </c>
      <c r="BA358" s="114" t="str">
        <f>_xlfn.IFNA(VLOOKUP($AI358,Programma!$F$3:$X$1101,19,0),"")</f>
        <v>_</v>
      </c>
      <c r="BB358" s="114" t="str">
        <f>_xlfn.IFNA(VLOOKUP($AI358,Programma!$F$3:$Y$1101,20,0),"")</f>
        <v>_</v>
      </c>
      <c r="BC358" s="111"/>
      <c r="BD358" s="110" t="str">
        <f>IF(Ruimtestaat[[#This Row],[Frequentie weekend]]="","",_xlfn.CONCAT(Ruimtestaat[[#This Row],[Ruimte code]],"-",Ruimtestaat[[#This Row],[Frequentie weekend]]," ",Ruimtestaat[[#This Row],[Vloer code]]))</f>
        <v/>
      </c>
      <c r="BE358" s="114" t="str">
        <f>_xlfn.IFNA(VLOOKUP($BD358,Programma!$F$3:$G$1101,2,0),"")</f>
        <v/>
      </c>
      <c r="BF358" s="114" t="str">
        <f>_xlfn.IFNA(VLOOKUP($BD358,Programma!$F$3:$H$1101,3,0),"")</f>
        <v/>
      </c>
      <c r="BG358" s="114" t="str">
        <f>_xlfn.IFNA(VLOOKUP($BD358,Programma!$F$3:$I$1101,4,0),"")</f>
        <v/>
      </c>
      <c r="BH358" s="114" t="str">
        <f>_xlfn.IFNA(VLOOKUP($BD358,Programma!$F$3:$J$1101,5,0),"")</f>
        <v/>
      </c>
      <c r="BI358" s="114" t="str">
        <f>_xlfn.IFNA(VLOOKUP($BD358,Programma!$F$3:$K$1101,6,0),"")</f>
        <v/>
      </c>
      <c r="BJ358" s="114" t="str">
        <f>_xlfn.IFNA(VLOOKUP($BD358,Programma!$F$3:$L$1101,7,0),"")</f>
        <v/>
      </c>
      <c r="BK358" s="114" t="str">
        <f>_xlfn.IFNA(VLOOKUP($BD358,Programma!$F$3:$M$1101,8,0),"")</f>
        <v/>
      </c>
      <c r="BL358" s="114" t="str">
        <f>_xlfn.IFNA(VLOOKUP($BD358,Programma!$F$3:$N$1101,9,0),"")</f>
        <v/>
      </c>
      <c r="BM358" s="114" t="str">
        <f>_xlfn.IFNA(VLOOKUP($BD358,Programma!$F$3:$O$1101,10,0),"")</f>
        <v/>
      </c>
      <c r="BN358" s="114" t="str">
        <f>_xlfn.IFNA(VLOOKUP($BD358,Programma!$F$3:$P$1101,11,0),"")</f>
        <v/>
      </c>
      <c r="BO358" s="114" t="str">
        <f>_xlfn.IFNA(VLOOKUP($BD358,Programma!$F$3:$Q$1101,12,0),"")</f>
        <v/>
      </c>
      <c r="BP358" s="114" t="str">
        <f>_xlfn.IFNA(VLOOKUP($BD358,Programma!$F$3:$R$1101,13,0),"")</f>
        <v/>
      </c>
      <c r="BQ358" s="114" t="str">
        <f>_xlfn.IFNA(VLOOKUP($BD358,Programma!$F$3:$S$1101,14,0),"")</f>
        <v/>
      </c>
      <c r="BR358" s="114" t="str">
        <f>_xlfn.IFNA(VLOOKUP($BD358,Programma!$F$3:$T$1101,15,0),"")</f>
        <v/>
      </c>
      <c r="BS358" s="114" t="str">
        <f>_xlfn.IFNA(VLOOKUP($BD358,Programma!$F$3:$U$1101,16,0),"")</f>
        <v/>
      </c>
      <c r="BT358" s="114" t="str">
        <f>_xlfn.IFNA(VLOOKUP($BD358,Programma!$F$3:$V$1101,17,0),"")</f>
        <v/>
      </c>
      <c r="BU358" s="114" t="str">
        <f>_xlfn.IFNA(VLOOKUP($BD358,Programma!$F$3:$W$1101,18,0),"")</f>
        <v/>
      </c>
      <c r="BV358" s="114" t="str">
        <f>_xlfn.IFNA(VLOOKUP($BD358,Programma!$F$3:$X$1101,19,0),"")</f>
        <v/>
      </c>
      <c r="BW358" s="114" t="str">
        <f>_xlfn.IFNA(VLOOKUP($BD358,Programma!$F$3:$Y$1101,20,0),"")</f>
        <v/>
      </c>
      <c r="BX358" s="28"/>
      <c r="BY358" s="28"/>
      <c r="BZ358" s="28"/>
      <c r="CA358" s="28"/>
      <c r="CB358" s="28"/>
      <c r="CC358" s="28"/>
      <c r="CD358" s="28"/>
      <c r="CE358" s="28"/>
      <c r="CF358" s="28"/>
      <c r="CG358" s="28"/>
      <c r="CH358" s="28"/>
      <c r="CI358" s="28"/>
      <c r="CJ358" s="28"/>
      <c r="CK358" s="28"/>
      <c r="CL358" s="28"/>
      <c r="CM358" s="28"/>
      <c r="CN358" s="28"/>
      <c r="CO358" s="28"/>
      <c r="CP358" s="28"/>
      <c r="CQ358" s="28"/>
      <c r="CR358" s="28"/>
      <c r="CS358" s="28"/>
      <c r="CT358" s="28"/>
      <c r="CU358" s="28"/>
      <c r="CV358" s="28"/>
      <c r="CW358" s="28"/>
      <c r="CX358" s="28"/>
      <c r="CY358" s="28"/>
      <c r="CZ358" s="28"/>
      <c r="DA358" s="28"/>
      <c r="DB358" s="28"/>
      <c r="DC358" s="28"/>
      <c r="DD358" s="28"/>
      <c r="DE358" s="28"/>
      <c r="DF358" s="28"/>
      <c r="DG358" s="28"/>
      <c r="DH358" s="28"/>
      <c r="DI358" s="28"/>
      <c r="DJ358" s="28"/>
      <c r="DK358" s="28"/>
      <c r="DL358" s="28"/>
      <c r="DM358" s="28"/>
      <c r="DN358" s="28"/>
      <c r="DO358" s="28"/>
      <c r="DP358" s="28"/>
      <c r="DQ358" s="28"/>
      <c r="DR358" s="28"/>
      <c r="DS358" s="28"/>
      <c r="DT358" s="28"/>
      <c r="DU358" s="28"/>
      <c r="DV358" s="28"/>
      <c r="DW358" s="28"/>
      <c r="DX358" s="28"/>
      <c r="DY358" s="28"/>
      <c r="DZ358" s="28"/>
      <c r="EA358" s="28"/>
      <c r="EB358" s="28"/>
      <c r="EC358" s="28"/>
      <c r="ED358" s="28"/>
      <c r="EE358" s="28"/>
      <c r="EF358" s="28"/>
      <c r="EG358" s="28"/>
      <c r="EH358" s="28"/>
      <c r="EI358" s="28"/>
      <c r="EJ358" s="28"/>
      <c r="EK358" s="28"/>
      <c r="EL358" s="28"/>
      <c r="EM358" s="28"/>
      <c r="EN358" s="28"/>
      <c r="EO358" s="28"/>
      <c r="EP358" s="28"/>
      <c r="EQ358" s="28"/>
      <c r="ER358" s="28"/>
      <c r="ES358" s="28"/>
      <c r="ET358" s="28"/>
      <c r="EU358" s="28"/>
      <c r="EV358" s="28"/>
      <c r="EW358" s="28"/>
      <c r="EX358" s="28"/>
      <c r="EY358" s="28"/>
      <c r="EZ358" s="28"/>
      <c r="FA358" s="28"/>
      <c r="FB358" s="28"/>
      <c r="FC358" s="28"/>
      <c r="FD358" s="28"/>
      <c r="FE358" s="28"/>
      <c r="FF358" s="28"/>
      <c r="FG358" s="28"/>
      <c r="FH358" s="28"/>
      <c r="FI358" s="28"/>
      <c r="FJ358" s="28"/>
      <c r="FK358" s="28"/>
      <c r="FL358" s="28"/>
      <c r="FM358" s="28"/>
      <c r="FN358" s="28"/>
      <c r="FO358" s="28"/>
      <c r="FP358" s="28"/>
      <c r="FQ358" s="28"/>
      <c r="FR358" s="28"/>
      <c r="FS358" s="28"/>
      <c r="FT358" s="28"/>
      <c r="FU358" s="28"/>
      <c r="FV358" s="28"/>
      <c r="FW358" s="28"/>
      <c r="FX358" s="28"/>
      <c r="FY358" s="28"/>
      <c r="FZ358" s="28"/>
      <c r="GA358" s="28"/>
      <c r="GB358" s="28"/>
      <c r="GC358" s="28"/>
      <c r="GD358" s="28"/>
      <c r="GE358" s="28"/>
      <c r="GF358" s="28"/>
      <c r="GG358" s="28"/>
      <c r="GH358" s="28"/>
      <c r="GI358" s="28"/>
      <c r="GJ358" s="28"/>
      <c r="GK358" s="28"/>
      <c r="GL358" s="28"/>
      <c r="GM358" s="28"/>
      <c r="GN358" s="28"/>
      <c r="GO358" s="28"/>
      <c r="GP358" s="28"/>
      <c r="GQ358" s="28"/>
      <c r="GR358" s="28"/>
      <c r="GS358" s="28"/>
      <c r="GT358" s="28"/>
      <c r="GU358" s="28"/>
      <c r="GV358" s="28"/>
      <c r="GW358" s="28"/>
      <c r="GX358" s="28"/>
      <c r="GY358" s="28"/>
      <c r="GZ358" s="28"/>
      <c r="HA358" s="28"/>
      <c r="HB358" s="28"/>
      <c r="HC358" s="28"/>
      <c r="HD358" s="28"/>
      <c r="HE358" s="28"/>
      <c r="HF358" s="28"/>
      <c r="HG358" s="28"/>
      <c r="HH358" s="28"/>
      <c r="HI358" s="28"/>
      <c r="HJ358" s="28"/>
      <c r="HK358" s="28"/>
      <c r="HL358" s="28"/>
    </row>
    <row r="359" spans="1:220" ht="15" customHeight="1">
      <c r="A359" s="31">
        <v>7</v>
      </c>
      <c r="B359" s="105" t="str">
        <f>VLOOKUP(Ruimtestaat[[#This Row],[Code]],Locaties[[Code]:[Locatie]],2,FALSE)</f>
        <v>Montessori IKC De Groene Ring</v>
      </c>
      <c r="C359" s="105" t="str">
        <f>VLOOKUP(Ruimtestaat[[#This Row],[Code]],Locaties[[#All],[Code]:[Adres]],4,FALSE)</f>
        <v>Bergdravik 2</v>
      </c>
      <c r="D359" s="105" t="str">
        <f>VLOOKUP(Ruimtestaat[[#This Row],[Code]],Locaties[[#All],[Code]:[Postcode]],5,FALSE)</f>
        <v>6922 HM</v>
      </c>
      <c r="E359" s="105" t="str">
        <f>VLOOKUP(Ruimtestaat[[#This Row],[Code]],Locaties[#All],6,FALSE)</f>
        <v>Duiven</v>
      </c>
      <c r="F359" s="113"/>
      <c r="I359" s="113" t="s">
        <v>1907</v>
      </c>
      <c r="J359" s="31">
        <v>5</v>
      </c>
      <c r="K359" s="113" t="str">
        <f>VLOOKUP(Ruimtestaat[[#This Row],[Ruimte code]],Ruimtegroepen[[#All],[Code]:[Ruimte omschrijving]],2,FALSE)</f>
        <v>Sanitair</v>
      </c>
      <c r="L359" s="31" t="s">
        <v>101</v>
      </c>
      <c r="M359" s="31" t="s">
        <v>1976</v>
      </c>
      <c r="N359" s="106">
        <v>4</v>
      </c>
      <c r="O359" s="112"/>
      <c r="P359" s="112"/>
      <c r="Q359" s="107" t="str">
        <f>VLOOKUP(Ruimtestaat[[#This Row],[Ruimte code]],Ruimtegroepen[],4,FALSE)</f>
        <v>Sa</v>
      </c>
      <c r="R359" s="73">
        <v>40</v>
      </c>
      <c r="S359" s="73" t="s">
        <v>2</v>
      </c>
      <c r="T359" s="73">
        <f>IF(R359&gt;0,IF(RIGHT(Ruimtestaat[[#This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9" s="73">
        <f>IF(T359&gt;0,VLOOKUP($J359,Ruimtegroepen[],3,FALSE)*VLOOKUP($L359,Vloersoorten[],3,FALSE)*VLOOKUP($S359,Frequenties[],3,FALSE)*VLOOKUP($A359,Locaties[],3,FALSE),0)</f>
        <v>0</v>
      </c>
      <c r="V359" s="73">
        <f>Ruimtestaat[[#This Row],[Uitvoeringen werkdagen]]*Ruimtestaat[[#This Row],[Oppervlak (netto)]]</f>
        <v>800</v>
      </c>
      <c r="W359" s="108">
        <f>IF(U359&gt;0,Ruimtestaat[[#This Row],[Prest. (m2 /jaar) werkdagen]]/Ruimtestaat[[#This Row],[Norm (m2/uur) werkdagen]],0)</f>
        <v>0</v>
      </c>
      <c r="X359" s="109">
        <f>Ruimtestaat[[#This Row],[uren / jaar werkdagen]]*Tariefsopbouw!$E$35</f>
        <v>0</v>
      </c>
      <c r="Y359" s="73"/>
      <c r="Z359" s="73">
        <f>IF(Ruimtestaat[[#This Row],[Frequentie weekend]]&gt;0,VALUE(LEFT(Y359,1))*R359,0)</f>
        <v>0</v>
      </c>
      <c r="AA359" s="72">
        <f>IF($Z359&gt;0,VLOOKUP($J359,Ruimtegroepen[],3,FALSE)*VLOOKUP($L359,Vloersoorten[],3,FALSE)*VLOOKUP($Y359,Frequenties[],3,FALSE)*VLOOKUP(Ruimtestaat[[#This Row],[Code]],Locaties[],3,FALSE),0)</f>
        <v>0</v>
      </c>
      <c r="AB359" s="72">
        <f>Ruimtestaat[[#This Row],[Uitvoeringen weekend]]*Ruimtestaat[[#This Row],[Oppervlak (netto)]]</f>
        <v>0</v>
      </c>
      <c r="AC359" s="72">
        <f>IF(AA359&gt;0,Ruimtestaat[[#This Row],[Prest. (m2 /jaar) weekend]]/Ruimtestaat[[#This Row],[Norm (m2/uur) weekend]],0)</f>
        <v>0</v>
      </c>
      <c r="AD359" s="109">
        <f>Ruimtestaat[[#This Row],[uren / jaar weekend]]*Tariefsopbouw!$D$40</f>
        <v>0</v>
      </c>
      <c r="AE359" s="108">
        <f>Ruimtestaat[[#This Row],[Prest. (m2 /jaar) weekend]]+Ruimtestaat[[#This Row],[Prest. (m2 /jaar) werkdagen]]</f>
        <v>800</v>
      </c>
      <c r="AF359" s="108">
        <f>Ruimtestaat[[#This Row],[uren / jaar weekend]]+Ruimtestaat[[#This Row],[uren / jaar werkdagen]]</f>
        <v>0</v>
      </c>
      <c r="AG359" s="103">
        <f>Ruimtestaat[[#This Row],[kosten / jaar weekend]]+Ruimtestaat[[#This Row],[kosten / jaar werkdagen]]</f>
        <v>0</v>
      </c>
      <c r="AH359" s="103"/>
      <c r="AI359" s="110" t="str">
        <f>IF(Ruimtestaat[[#This Row],[Frequentie werkdagen]]="","",_xlfn.CONCAT(Ruimtestaat[[#This Row],[Ruimte code]],"-",Ruimtestaat[[#This Row],[Frequentie werkdagen]]," ",Ruimtestaat[[#This Row],[Vloer code]]))</f>
        <v>5-5w S</v>
      </c>
      <c r="AJ359" s="114" t="str">
        <f>_xlfn.IFNA(VLOOKUP($AI359,Programma!$F$3:$G$1101,2,0),"")</f>
        <v>_</v>
      </c>
      <c r="AK359" s="114" t="str">
        <f>_xlfn.IFNA(VLOOKUP($AI359,Programma!$F$3:$H$1101,3,0),"")</f>
        <v>_</v>
      </c>
      <c r="AL359" s="114" t="str">
        <f>_xlfn.IFNA(VLOOKUP($AI359,Programma!$F$3:$I$1101,4,0),"")</f>
        <v>_</v>
      </c>
      <c r="AM359" s="114" t="str">
        <f>_xlfn.IFNA(VLOOKUP($AI359,Programma!$F$3:$J$1101,5,0),"")</f>
        <v>4w</v>
      </c>
      <c r="AN359" s="114" t="str">
        <f>_xlfn.IFNA(VLOOKUP($AI359,Programma!$F$3:$K$1101,6,0),"")</f>
        <v>1w</v>
      </c>
      <c r="AO359" s="114" t="str">
        <f>_xlfn.IFNA(VLOOKUP($AI359,Programma!$F$3:$L$1101,7,0),"")</f>
        <v>_</v>
      </c>
      <c r="AP359" s="114" t="str">
        <f>_xlfn.IFNA(VLOOKUP($AI359,Programma!$F$3:$M$1101,8,0),"")</f>
        <v>_</v>
      </c>
      <c r="AQ359" s="114" t="str">
        <f>_xlfn.IFNA(VLOOKUP($AI359,Programma!$F$3:$N$1101,9,0),"")</f>
        <v>_</v>
      </c>
      <c r="AR359" s="114" t="str">
        <f>_xlfn.IFNA(VLOOKUP($AI359,Programma!$F$3:$O$1101,10,0),"")</f>
        <v>_</v>
      </c>
      <c r="AS359" s="114" t="str">
        <f>_xlfn.IFNA(VLOOKUP($AI359,Programma!$F$3:$P$1101,11,0),"")</f>
        <v>_</v>
      </c>
      <c r="AT359" s="114" t="str">
        <f>_xlfn.IFNA(VLOOKUP($AI359,Programma!$F$3:$Q$1101,12,0),"")</f>
        <v>_</v>
      </c>
      <c r="AU359" s="114" t="str">
        <f>_xlfn.IFNA(VLOOKUP($AI359,Programma!$F$3:$R$1101,13,0),"")</f>
        <v>_</v>
      </c>
      <c r="AV359" s="114" t="str">
        <f>_xlfn.IFNA(VLOOKUP($AI359,Programma!$F$3:$S$1101,14,0),"")</f>
        <v>_</v>
      </c>
      <c r="AW359" s="114" t="str">
        <f>_xlfn.IFNA(VLOOKUP($AI359,Programma!$F$3:$T$1101,15,0),"")</f>
        <v>_</v>
      </c>
      <c r="AX359" s="114" t="str">
        <f>_xlfn.IFNA(VLOOKUP($AI359,Programma!$F$3:$U$1101,16,0),"")</f>
        <v>_</v>
      </c>
      <c r="AY359" s="114" t="str">
        <f>_xlfn.IFNA(VLOOKUP($AI359,Programma!$F$3:$V$1101,17,0),"")</f>
        <v>_</v>
      </c>
      <c r="AZ359" s="114" t="str">
        <f>_xlfn.IFNA(VLOOKUP($AI359,Programma!$F$3:$W$1101,18,0),"")</f>
        <v>4w</v>
      </c>
      <c r="BA359" s="114" t="str">
        <f>_xlfn.IFNA(VLOOKUP($AI359,Programma!$F$3:$X$1101,19,0),"")</f>
        <v>1w</v>
      </c>
      <c r="BB359" s="114" t="str">
        <f>_xlfn.IFNA(VLOOKUP($AI359,Programma!$F$3:$Y$1101,20,0),"")</f>
        <v>_</v>
      </c>
      <c r="BC359" s="111"/>
      <c r="BD359" s="110" t="str">
        <f>IF(Ruimtestaat[[#This Row],[Frequentie weekend]]="","",_xlfn.CONCAT(Ruimtestaat[[#This Row],[Ruimte code]],"-",Ruimtestaat[[#This Row],[Frequentie weekend]]," ",Ruimtestaat[[#This Row],[Vloer code]]))</f>
        <v/>
      </c>
      <c r="BE359" s="114" t="str">
        <f>_xlfn.IFNA(VLOOKUP($BD359,Programma!$F$3:$G$1101,2,0),"")</f>
        <v/>
      </c>
      <c r="BF359" s="114" t="str">
        <f>_xlfn.IFNA(VLOOKUP($BD359,Programma!$F$3:$H$1101,3,0),"")</f>
        <v/>
      </c>
      <c r="BG359" s="114" t="str">
        <f>_xlfn.IFNA(VLOOKUP($BD359,Programma!$F$3:$I$1101,4,0),"")</f>
        <v/>
      </c>
      <c r="BH359" s="114" t="str">
        <f>_xlfn.IFNA(VLOOKUP($BD359,Programma!$F$3:$J$1101,5,0),"")</f>
        <v/>
      </c>
      <c r="BI359" s="114" t="str">
        <f>_xlfn.IFNA(VLOOKUP($BD359,Programma!$F$3:$K$1101,6,0),"")</f>
        <v/>
      </c>
      <c r="BJ359" s="114" t="str">
        <f>_xlfn.IFNA(VLOOKUP($BD359,Programma!$F$3:$L$1101,7,0),"")</f>
        <v/>
      </c>
      <c r="BK359" s="114" t="str">
        <f>_xlfn.IFNA(VLOOKUP($BD359,Programma!$F$3:$M$1101,8,0),"")</f>
        <v/>
      </c>
      <c r="BL359" s="114" t="str">
        <f>_xlfn.IFNA(VLOOKUP($BD359,Programma!$F$3:$N$1101,9,0),"")</f>
        <v/>
      </c>
      <c r="BM359" s="114" t="str">
        <f>_xlfn.IFNA(VLOOKUP($BD359,Programma!$F$3:$O$1101,10,0),"")</f>
        <v/>
      </c>
      <c r="BN359" s="114" t="str">
        <f>_xlfn.IFNA(VLOOKUP($BD359,Programma!$F$3:$P$1101,11,0),"")</f>
        <v/>
      </c>
      <c r="BO359" s="114" t="str">
        <f>_xlfn.IFNA(VLOOKUP($BD359,Programma!$F$3:$Q$1101,12,0),"")</f>
        <v/>
      </c>
      <c r="BP359" s="114" t="str">
        <f>_xlfn.IFNA(VLOOKUP($BD359,Programma!$F$3:$R$1101,13,0),"")</f>
        <v/>
      </c>
      <c r="BQ359" s="114" t="str">
        <f>_xlfn.IFNA(VLOOKUP($BD359,Programma!$F$3:$S$1101,14,0),"")</f>
        <v/>
      </c>
      <c r="BR359" s="114" t="str">
        <f>_xlfn.IFNA(VLOOKUP($BD359,Programma!$F$3:$T$1101,15,0),"")</f>
        <v/>
      </c>
      <c r="BS359" s="114" t="str">
        <f>_xlfn.IFNA(VLOOKUP($BD359,Programma!$F$3:$U$1101,16,0),"")</f>
        <v/>
      </c>
      <c r="BT359" s="114" t="str">
        <f>_xlfn.IFNA(VLOOKUP($BD359,Programma!$F$3:$V$1101,17,0),"")</f>
        <v/>
      </c>
      <c r="BU359" s="114" t="str">
        <f>_xlfn.IFNA(VLOOKUP($BD359,Programma!$F$3:$W$1101,18,0),"")</f>
        <v/>
      </c>
      <c r="BV359" s="114" t="str">
        <f>_xlfn.IFNA(VLOOKUP($BD359,Programma!$F$3:$X$1101,19,0),"")</f>
        <v/>
      </c>
      <c r="BW359" s="114" t="str">
        <f>_xlfn.IFNA(VLOOKUP($BD359,Programma!$F$3:$Y$1101,20,0),"")</f>
        <v/>
      </c>
      <c r="BX359" s="28"/>
      <c r="BY359" s="28"/>
      <c r="BZ359" s="28"/>
      <c r="CA359" s="28"/>
      <c r="CB359" s="28"/>
      <c r="CC359" s="28"/>
      <c r="CD359" s="28"/>
      <c r="CE359" s="28"/>
      <c r="CF359" s="28"/>
      <c r="CG359" s="28"/>
      <c r="CH359" s="28"/>
      <c r="CI359" s="28"/>
      <c r="CJ359" s="28"/>
      <c r="CK359" s="28"/>
      <c r="CL359" s="28"/>
      <c r="CM359" s="28"/>
      <c r="CN359" s="28"/>
      <c r="CO359" s="28"/>
      <c r="CP359" s="28"/>
      <c r="CQ359" s="28"/>
      <c r="CR359" s="28"/>
      <c r="CS359" s="28"/>
      <c r="CT359" s="28"/>
      <c r="CU359" s="28"/>
      <c r="CV359" s="28"/>
      <c r="CW359" s="28"/>
      <c r="CX359" s="28"/>
      <c r="CY359" s="28"/>
      <c r="CZ359" s="28"/>
      <c r="DA359" s="28"/>
      <c r="DB359" s="28"/>
      <c r="DC359" s="28"/>
      <c r="DD359" s="28"/>
      <c r="DE359" s="28"/>
      <c r="DF359" s="28"/>
      <c r="DG359" s="28"/>
      <c r="DH359" s="28"/>
      <c r="DI359" s="28"/>
      <c r="DJ359" s="28"/>
      <c r="DK359" s="28"/>
      <c r="DL359" s="28"/>
      <c r="DM359" s="28"/>
      <c r="DN359" s="28"/>
      <c r="DO359" s="28"/>
      <c r="DP359" s="28"/>
      <c r="DQ359" s="28"/>
      <c r="DR359" s="28"/>
      <c r="DS359" s="28"/>
      <c r="DT359" s="28"/>
      <c r="DU359" s="28"/>
      <c r="DV359" s="28"/>
      <c r="DW359" s="28"/>
      <c r="DX359" s="28"/>
      <c r="DY359" s="28"/>
      <c r="DZ359" s="28"/>
      <c r="EA359" s="28"/>
      <c r="EB359" s="28"/>
      <c r="EC359" s="28"/>
      <c r="ED359" s="28"/>
      <c r="EE359" s="28"/>
      <c r="EF359" s="28"/>
      <c r="EG359" s="28"/>
      <c r="EH359" s="28"/>
      <c r="EI359" s="28"/>
      <c r="EJ359" s="28"/>
      <c r="EK359" s="28"/>
      <c r="EL359" s="28"/>
      <c r="EM359" s="28"/>
      <c r="EN359" s="28"/>
      <c r="EO359" s="28"/>
      <c r="EP359" s="28"/>
      <c r="EQ359" s="28"/>
      <c r="ER359" s="28"/>
      <c r="ES359" s="28"/>
      <c r="ET359" s="28"/>
      <c r="EU359" s="28"/>
      <c r="EV359" s="28"/>
      <c r="EW359" s="28"/>
      <c r="EX359" s="28"/>
      <c r="EY359" s="28"/>
      <c r="EZ359" s="28"/>
      <c r="FA359" s="28"/>
      <c r="FB359" s="28"/>
      <c r="FC359" s="28"/>
      <c r="FD359" s="28"/>
      <c r="FE359" s="28"/>
      <c r="FF359" s="28"/>
      <c r="FG359" s="28"/>
      <c r="FH359" s="28"/>
      <c r="FI359" s="28"/>
      <c r="FJ359" s="28"/>
      <c r="FK359" s="28"/>
      <c r="FL359" s="28"/>
      <c r="FM359" s="28"/>
      <c r="FN359" s="28"/>
      <c r="FO359" s="28"/>
      <c r="FP359" s="28"/>
      <c r="FQ359" s="28"/>
      <c r="FR359" s="28"/>
      <c r="FS359" s="28"/>
      <c r="FT359" s="28"/>
      <c r="FU359" s="28"/>
      <c r="FV359" s="28"/>
      <c r="FW359" s="28"/>
      <c r="FX359" s="28"/>
      <c r="FY359" s="28"/>
      <c r="FZ359" s="28"/>
      <c r="GA359" s="28"/>
      <c r="GB359" s="28"/>
      <c r="GC359" s="28"/>
      <c r="GD359" s="28"/>
      <c r="GE359" s="28"/>
      <c r="GF359" s="28"/>
      <c r="GG359" s="28"/>
      <c r="GH359" s="28"/>
      <c r="GI359" s="28"/>
      <c r="GJ359" s="28"/>
      <c r="GK359" s="28"/>
      <c r="GL359" s="28"/>
      <c r="GM359" s="28"/>
      <c r="GN359" s="28"/>
      <c r="GO359" s="28"/>
      <c r="GP359" s="28"/>
      <c r="GQ359" s="28"/>
      <c r="GR359" s="28"/>
      <c r="GS359" s="28"/>
      <c r="GT359" s="28"/>
      <c r="GU359" s="28"/>
      <c r="GV359" s="28"/>
      <c r="GW359" s="28"/>
      <c r="GX359" s="28"/>
      <c r="GY359" s="28"/>
      <c r="GZ359" s="28"/>
      <c r="HA359" s="28"/>
      <c r="HB359" s="28"/>
      <c r="HC359" s="28"/>
      <c r="HD359" s="28"/>
      <c r="HE359" s="28"/>
      <c r="HF359" s="28"/>
      <c r="HG359" s="28"/>
      <c r="HH359" s="28"/>
      <c r="HI359" s="28"/>
      <c r="HJ359" s="28"/>
      <c r="HK359" s="28"/>
      <c r="HL359" s="28"/>
    </row>
    <row r="360" spans="1:220" ht="15" customHeight="1">
      <c r="A360" s="31">
        <v>7</v>
      </c>
      <c r="B360" s="105" t="str">
        <f>VLOOKUP(Ruimtestaat[[#This Row],[Code]],Locaties[[Code]:[Locatie]],2,FALSE)</f>
        <v>Montessori IKC De Groene Ring</v>
      </c>
      <c r="C360" s="105" t="str">
        <f>VLOOKUP(Ruimtestaat[[#This Row],[Code]],Locaties[[#All],[Code]:[Adres]],4,FALSE)</f>
        <v>Bergdravik 2</v>
      </c>
      <c r="D360" s="105" t="str">
        <f>VLOOKUP(Ruimtestaat[[#This Row],[Code]],Locaties[[#All],[Code]:[Postcode]],5,FALSE)</f>
        <v>6922 HM</v>
      </c>
      <c r="E360" s="105" t="str">
        <f>VLOOKUP(Ruimtestaat[[#This Row],[Code]],Locaties[#All],6,FALSE)</f>
        <v>Duiven</v>
      </c>
      <c r="F360" s="113"/>
      <c r="I360" s="113" t="s">
        <v>1673</v>
      </c>
      <c r="J360" s="31">
        <v>16</v>
      </c>
      <c r="K360" s="113" t="str">
        <f>VLOOKUP(Ruimtestaat[[#This Row],[Ruimte code]],Ruimtegroepen[[#All],[Code]:[Ruimte omschrijving]],2,FALSE)</f>
        <v>Leslokalen</v>
      </c>
      <c r="L360" s="31" t="s">
        <v>100</v>
      </c>
      <c r="M360" s="31" t="s">
        <v>1975</v>
      </c>
      <c r="N360" s="106">
        <v>62</v>
      </c>
      <c r="O360" s="112"/>
      <c r="P360" s="112"/>
      <c r="Q360" s="107" t="str">
        <f>VLOOKUP(Ruimtestaat[[#This Row],[Ruimte code]],Ruimtegroepen[],4,FALSE)</f>
        <v>Le</v>
      </c>
      <c r="R360" s="73">
        <v>40</v>
      </c>
      <c r="S360" s="73" t="s">
        <v>2</v>
      </c>
      <c r="T360" s="73">
        <f>IF(R360&gt;0,IF(RIGHT(Ruimtestaat[[#This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0" s="73">
        <f>IF(T360&gt;0,VLOOKUP($J360,Ruimtegroepen[],3,FALSE)*VLOOKUP($L360,Vloersoorten[],3,FALSE)*VLOOKUP($S360,Frequenties[],3,FALSE)*VLOOKUP($A360,Locaties[],3,FALSE),0)</f>
        <v>0</v>
      </c>
      <c r="V360" s="73">
        <f>Ruimtestaat[[#This Row],[Uitvoeringen werkdagen]]*Ruimtestaat[[#This Row],[Oppervlak (netto)]]</f>
        <v>12400</v>
      </c>
      <c r="W360" s="108">
        <f>IF(U360&gt;0,Ruimtestaat[[#This Row],[Prest. (m2 /jaar) werkdagen]]/Ruimtestaat[[#This Row],[Norm (m2/uur) werkdagen]],0)</f>
        <v>0</v>
      </c>
      <c r="X360" s="109">
        <f>Ruimtestaat[[#This Row],[uren / jaar werkdagen]]*Tariefsopbouw!$E$35</f>
        <v>0</v>
      </c>
      <c r="Y360" s="73"/>
      <c r="Z360" s="73">
        <f>IF(Ruimtestaat[[#This Row],[Frequentie weekend]]&gt;0,VALUE(LEFT(Y360,1))*R360,0)</f>
        <v>0</v>
      </c>
      <c r="AA360" s="72">
        <f>IF($Z360&gt;0,VLOOKUP($J360,Ruimtegroepen[],3,FALSE)*VLOOKUP($L360,Vloersoorten[],3,FALSE)*VLOOKUP($Y360,Frequenties[],3,FALSE)*VLOOKUP(Ruimtestaat[[#This Row],[Code]],Locaties[],3,FALSE),0)</f>
        <v>0</v>
      </c>
      <c r="AB360" s="72">
        <f>Ruimtestaat[[#This Row],[Uitvoeringen weekend]]*Ruimtestaat[[#This Row],[Oppervlak (netto)]]</f>
        <v>0</v>
      </c>
      <c r="AC360" s="72">
        <f>IF(AA360&gt;0,Ruimtestaat[[#This Row],[Prest. (m2 /jaar) weekend]]/Ruimtestaat[[#This Row],[Norm (m2/uur) weekend]],0)</f>
        <v>0</v>
      </c>
      <c r="AD360" s="109">
        <f>Ruimtestaat[[#This Row],[uren / jaar weekend]]*Tariefsopbouw!$D$40</f>
        <v>0</v>
      </c>
      <c r="AE360" s="108">
        <f>Ruimtestaat[[#This Row],[Prest. (m2 /jaar) weekend]]+Ruimtestaat[[#This Row],[Prest. (m2 /jaar) werkdagen]]</f>
        <v>12400</v>
      </c>
      <c r="AF360" s="108">
        <f>Ruimtestaat[[#This Row],[uren / jaar weekend]]+Ruimtestaat[[#This Row],[uren / jaar werkdagen]]</f>
        <v>0</v>
      </c>
      <c r="AG360" s="103">
        <f>Ruimtestaat[[#This Row],[kosten / jaar weekend]]+Ruimtestaat[[#This Row],[kosten / jaar werkdagen]]</f>
        <v>0</v>
      </c>
      <c r="AH360" s="103"/>
      <c r="AI360" s="110" t="str">
        <f>IF(Ruimtestaat[[#This Row],[Frequentie werkdagen]]="","",_xlfn.CONCAT(Ruimtestaat[[#This Row],[Ruimte code]],"-",Ruimtestaat[[#This Row],[Frequentie werkdagen]]," ",Ruimtestaat[[#This Row],[Vloer code]]))</f>
        <v>16-5w L</v>
      </c>
      <c r="AJ360" s="114" t="str">
        <f>_xlfn.IFNA(VLOOKUP($AI360,Programma!$F$3:$G$1101,2,0),"")</f>
        <v>_</v>
      </c>
      <c r="AK360" s="114" t="str">
        <f>_xlfn.IFNA(VLOOKUP($AI360,Programma!$F$3:$H$1101,3,0),"")</f>
        <v>_</v>
      </c>
      <c r="AL360" s="114" t="str">
        <f>_xlfn.IFNA(VLOOKUP($AI360,Programma!$F$3:$I$1101,4,0),"")</f>
        <v>4w</v>
      </c>
      <c r="AM360" s="114" t="str">
        <f>_xlfn.IFNA(VLOOKUP($AI360,Programma!$F$3:$J$1101,5,0),"")</f>
        <v>1w</v>
      </c>
      <c r="AN360" s="114" t="str">
        <f>_xlfn.IFNA(VLOOKUP($AI360,Programma!$F$3:$K$1101,6,0),"")</f>
        <v>_</v>
      </c>
      <c r="AO360" s="114" t="str">
        <f>_xlfn.IFNA(VLOOKUP($AI360,Programma!$F$3:$L$1101,7,0),"")</f>
        <v>_</v>
      </c>
      <c r="AP360" s="114" t="str">
        <f>_xlfn.IFNA(VLOOKUP($AI360,Programma!$F$3:$M$1101,8,0),"")</f>
        <v>_</v>
      </c>
      <c r="AQ360" s="114" t="str">
        <f>_xlfn.IFNA(VLOOKUP($AI360,Programma!$F$3:$N$1101,9,0),"")</f>
        <v>_</v>
      </c>
      <c r="AR360" s="114" t="str">
        <f>_xlfn.IFNA(VLOOKUP($AI360,Programma!$F$3:$O$1101,10,0),"")</f>
        <v>5w</v>
      </c>
      <c r="AS360" s="114" t="str">
        <f>_xlfn.IFNA(VLOOKUP($AI360,Programma!$F$3:$P$1101,11,0),"")</f>
        <v>5w</v>
      </c>
      <c r="AT360" s="114" t="str">
        <f>_xlfn.IFNA(VLOOKUP($AI360,Programma!$F$3:$Q$1101,12,0),"")</f>
        <v>1w</v>
      </c>
      <c r="AU360" s="114" t="str">
        <f>_xlfn.IFNA(VLOOKUP($AI360,Programma!$F$3:$R$1101,13,0),"")</f>
        <v>1w</v>
      </c>
      <c r="AV360" s="114" t="str">
        <f>_xlfn.IFNA(VLOOKUP($AI360,Programma!$F$3:$S$1101,14,0),"")</f>
        <v>1m</v>
      </c>
      <c r="AW360" s="114" t="str">
        <f>_xlfn.IFNA(VLOOKUP($AI360,Programma!$F$3:$T$1101,15,0),"")</f>
        <v>2j</v>
      </c>
      <c r="AX360" s="114" t="str">
        <f>_xlfn.IFNA(VLOOKUP($AI360,Programma!$F$3:$U$1101,16,0),"")</f>
        <v>1j</v>
      </c>
      <c r="AY360" s="114" t="str">
        <f>_xlfn.IFNA(VLOOKUP($AI360,Programma!$F$3:$V$1101,17,0),"")</f>
        <v>_</v>
      </c>
      <c r="AZ360" s="114" t="str">
        <f>_xlfn.IFNA(VLOOKUP($AI360,Programma!$F$3:$W$1101,18,0),"")</f>
        <v>_</v>
      </c>
      <c r="BA360" s="114" t="str">
        <f>_xlfn.IFNA(VLOOKUP($AI360,Programma!$F$3:$X$1101,19,0),"")</f>
        <v>_</v>
      </c>
      <c r="BB360" s="114" t="str">
        <f>_xlfn.IFNA(VLOOKUP($AI360,Programma!$F$3:$Y$1101,20,0),"")</f>
        <v>_</v>
      </c>
      <c r="BC360" s="111"/>
      <c r="BD360" s="110" t="str">
        <f>IF(Ruimtestaat[[#This Row],[Frequentie weekend]]="","",_xlfn.CONCAT(Ruimtestaat[[#This Row],[Ruimte code]],"-",Ruimtestaat[[#This Row],[Frequentie weekend]]," ",Ruimtestaat[[#This Row],[Vloer code]]))</f>
        <v/>
      </c>
      <c r="BE360" s="114" t="str">
        <f>_xlfn.IFNA(VLOOKUP($BD360,Programma!$F$3:$G$1101,2,0),"")</f>
        <v/>
      </c>
      <c r="BF360" s="114" t="str">
        <f>_xlfn.IFNA(VLOOKUP($BD360,Programma!$F$3:$H$1101,3,0),"")</f>
        <v/>
      </c>
      <c r="BG360" s="114" t="str">
        <f>_xlfn.IFNA(VLOOKUP($BD360,Programma!$F$3:$I$1101,4,0),"")</f>
        <v/>
      </c>
      <c r="BH360" s="114" t="str">
        <f>_xlfn.IFNA(VLOOKUP($BD360,Programma!$F$3:$J$1101,5,0),"")</f>
        <v/>
      </c>
      <c r="BI360" s="114" t="str">
        <f>_xlfn.IFNA(VLOOKUP($BD360,Programma!$F$3:$K$1101,6,0),"")</f>
        <v/>
      </c>
      <c r="BJ360" s="114" t="str">
        <f>_xlfn.IFNA(VLOOKUP($BD360,Programma!$F$3:$L$1101,7,0),"")</f>
        <v/>
      </c>
      <c r="BK360" s="114" t="str">
        <f>_xlfn.IFNA(VLOOKUP($BD360,Programma!$F$3:$M$1101,8,0),"")</f>
        <v/>
      </c>
      <c r="BL360" s="114" t="str">
        <f>_xlfn.IFNA(VLOOKUP($BD360,Programma!$F$3:$N$1101,9,0),"")</f>
        <v/>
      </c>
      <c r="BM360" s="114" t="str">
        <f>_xlfn.IFNA(VLOOKUP($BD360,Programma!$F$3:$O$1101,10,0),"")</f>
        <v/>
      </c>
      <c r="BN360" s="114" t="str">
        <f>_xlfn.IFNA(VLOOKUP($BD360,Programma!$F$3:$P$1101,11,0),"")</f>
        <v/>
      </c>
      <c r="BO360" s="114" t="str">
        <f>_xlfn.IFNA(VLOOKUP($BD360,Programma!$F$3:$Q$1101,12,0),"")</f>
        <v/>
      </c>
      <c r="BP360" s="114" t="str">
        <f>_xlfn.IFNA(VLOOKUP($BD360,Programma!$F$3:$R$1101,13,0),"")</f>
        <v/>
      </c>
      <c r="BQ360" s="114" t="str">
        <f>_xlfn.IFNA(VLOOKUP($BD360,Programma!$F$3:$S$1101,14,0),"")</f>
        <v/>
      </c>
      <c r="BR360" s="114" t="str">
        <f>_xlfn.IFNA(VLOOKUP($BD360,Programma!$F$3:$T$1101,15,0),"")</f>
        <v/>
      </c>
      <c r="BS360" s="114" t="str">
        <f>_xlfn.IFNA(VLOOKUP($BD360,Programma!$F$3:$U$1101,16,0),"")</f>
        <v/>
      </c>
      <c r="BT360" s="114" t="str">
        <f>_xlfn.IFNA(VLOOKUP($BD360,Programma!$F$3:$V$1101,17,0),"")</f>
        <v/>
      </c>
      <c r="BU360" s="114" t="str">
        <f>_xlfn.IFNA(VLOOKUP($BD360,Programma!$F$3:$W$1101,18,0),"")</f>
        <v/>
      </c>
      <c r="BV360" s="114" t="str">
        <f>_xlfn.IFNA(VLOOKUP($BD360,Programma!$F$3:$X$1101,19,0),"")</f>
        <v/>
      </c>
      <c r="BW360" s="114" t="str">
        <f>_xlfn.IFNA(VLOOKUP($BD360,Programma!$F$3:$Y$1101,20,0),"")</f>
        <v/>
      </c>
    </row>
    <row r="361" spans="1:220" ht="15" customHeight="1">
      <c r="A361" s="31">
        <v>7</v>
      </c>
      <c r="B361" s="105" t="str">
        <f>VLOOKUP(Ruimtestaat[[#This Row],[Code]],Locaties[[Code]:[Locatie]],2,FALSE)</f>
        <v>Montessori IKC De Groene Ring</v>
      </c>
      <c r="C361" s="105" t="str">
        <f>VLOOKUP(Ruimtestaat[[#This Row],[Code]],Locaties[[#All],[Code]:[Adres]],4,FALSE)</f>
        <v>Bergdravik 2</v>
      </c>
      <c r="D361" s="105" t="str">
        <f>VLOOKUP(Ruimtestaat[[#This Row],[Code]],Locaties[[#All],[Code]:[Postcode]],5,FALSE)</f>
        <v>6922 HM</v>
      </c>
      <c r="E361" s="105" t="str">
        <f>VLOOKUP(Ruimtestaat[[#This Row],[Code]],Locaties[#All],6,FALSE)</f>
        <v>Duiven</v>
      </c>
      <c r="F361" s="113" t="s">
        <v>1824</v>
      </c>
      <c r="I361" s="113" t="s">
        <v>1962</v>
      </c>
      <c r="J361" s="31">
        <v>8</v>
      </c>
      <c r="K361" s="113" t="str">
        <f>VLOOKUP(Ruimtestaat[[#This Row],[Ruimte code]],Ruimtegroepen[[#All],[Code]:[Ruimte omschrijving]],2,FALSE)</f>
        <v>Kinderopvang</v>
      </c>
      <c r="L361" s="31" t="s">
        <v>100</v>
      </c>
      <c r="M361" s="31" t="s">
        <v>1975</v>
      </c>
      <c r="N361" s="106">
        <v>62</v>
      </c>
      <c r="O361" s="112"/>
      <c r="P361" s="112"/>
      <c r="Q361" s="107" t="str">
        <f>VLOOKUP(Ruimtestaat[[#This Row],[Ruimte code]],Ruimtegroepen[],4,FALSE)</f>
        <v>Le</v>
      </c>
      <c r="R361" s="73">
        <v>40</v>
      </c>
      <c r="S361" s="73" t="s">
        <v>2</v>
      </c>
      <c r="T361" s="73">
        <f>IF(R361&gt;0,IF(RIGHT(Ruimtestaat[[#This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1" s="73">
        <f>IF(T361&gt;0,VLOOKUP($J361,Ruimtegroepen[],3,FALSE)*VLOOKUP($L361,Vloersoorten[],3,FALSE)*VLOOKUP($S361,Frequenties[],3,FALSE)*VLOOKUP($A361,Locaties[],3,FALSE),0)</f>
        <v>0</v>
      </c>
      <c r="V361" s="73">
        <f>Ruimtestaat[[#This Row],[Uitvoeringen werkdagen]]*Ruimtestaat[[#This Row],[Oppervlak (netto)]]</f>
        <v>12400</v>
      </c>
      <c r="W361" s="108">
        <f>IF(U361&gt;0,Ruimtestaat[[#This Row],[Prest. (m2 /jaar) werkdagen]]/Ruimtestaat[[#This Row],[Norm (m2/uur) werkdagen]],0)</f>
        <v>0</v>
      </c>
      <c r="X361" s="109">
        <f>Ruimtestaat[[#This Row],[uren / jaar werkdagen]]*Tariefsopbouw!$E$35</f>
        <v>0</v>
      </c>
      <c r="Y361" s="73"/>
      <c r="Z361" s="73">
        <f>IF(Ruimtestaat[[#This Row],[Frequentie weekend]]&gt;0,VALUE(LEFT(Y361,1))*R361,0)</f>
        <v>0</v>
      </c>
      <c r="AA361" s="72">
        <f>IF($Z361&gt;0,VLOOKUP($J361,Ruimtegroepen[],3,FALSE)*VLOOKUP($L361,Vloersoorten[],3,FALSE)*VLOOKUP($Y361,Frequenties[],3,FALSE)*VLOOKUP(Ruimtestaat[[#This Row],[Code]],Locaties[],3,FALSE),0)</f>
        <v>0</v>
      </c>
      <c r="AB361" s="72">
        <f>Ruimtestaat[[#This Row],[Uitvoeringen weekend]]*Ruimtestaat[[#This Row],[Oppervlak (netto)]]</f>
        <v>0</v>
      </c>
      <c r="AC361" s="72">
        <f>IF(AA361&gt;0,Ruimtestaat[[#This Row],[Prest. (m2 /jaar) weekend]]/Ruimtestaat[[#This Row],[Norm (m2/uur) weekend]],0)</f>
        <v>0</v>
      </c>
      <c r="AD361" s="109">
        <f>Ruimtestaat[[#This Row],[uren / jaar weekend]]*Tariefsopbouw!$D$40</f>
        <v>0</v>
      </c>
      <c r="AE361" s="108">
        <f>Ruimtestaat[[#This Row],[Prest. (m2 /jaar) weekend]]+Ruimtestaat[[#This Row],[Prest. (m2 /jaar) werkdagen]]</f>
        <v>12400</v>
      </c>
      <c r="AF361" s="108">
        <f>Ruimtestaat[[#This Row],[uren / jaar weekend]]+Ruimtestaat[[#This Row],[uren / jaar werkdagen]]</f>
        <v>0</v>
      </c>
      <c r="AG361" s="103">
        <f>Ruimtestaat[[#This Row],[kosten / jaar weekend]]+Ruimtestaat[[#This Row],[kosten / jaar werkdagen]]</f>
        <v>0</v>
      </c>
      <c r="AH361" s="103"/>
      <c r="AI361" s="110" t="str">
        <f>IF(Ruimtestaat[[#This Row],[Frequentie werkdagen]]="","",_xlfn.CONCAT(Ruimtestaat[[#This Row],[Ruimte code]],"-",Ruimtestaat[[#This Row],[Frequentie werkdagen]]," ",Ruimtestaat[[#This Row],[Vloer code]]))</f>
        <v>8-5w L</v>
      </c>
      <c r="AJ361" s="114" t="str">
        <f>_xlfn.IFNA(VLOOKUP($AI361,Programma!$F$3:$G$1101,2,0),"")</f>
        <v>_</v>
      </c>
      <c r="AK361" s="114" t="str">
        <f>_xlfn.IFNA(VLOOKUP($AI361,Programma!$F$3:$H$1101,3,0),"")</f>
        <v>_</v>
      </c>
      <c r="AL361" s="114" t="str">
        <f>_xlfn.IFNA(VLOOKUP($AI361,Programma!$F$3:$I$1101,4,0),"")</f>
        <v>4w</v>
      </c>
      <c r="AM361" s="114" t="str">
        <f>_xlfn.IFNA(VLOOKUP($AI361,Programma!$F$3:$J$1101,5,0),"")</f>
        <v>1w</v>
      </c>
      <c r="AN361" s="114" t="str">
        <f>_xlfn.IFNA(VLOOKUP($AI361,Programma!$F$3:$K$1101,6,0),"")</f>
        <v>_</v>
      </c>
      <c r="AO361" s="114" t="str">
        <f>_xlfn.IFNA(VLOOKUP($AI361,Programma!$F$3:$L$1101,7,0),"")</f>
        <v>_</v>
      </c>
      <c r="AP361" s="114" t="str">
        <f>_xlfn.IFNA(VLOOKUP($AI361,Programma!$F$3:$M$1101,8,0),"")</f>
        <v>_</v>
      </c>
      <c r="AQ361" s="114" t="str">
        <f>_xlfn.IFNA(VLOOKUP($AI361,Programma!$F$3:$N$1101,9,0),"")</f>
        <v>_</v>
      </c>
      <c r="AR361" s="114" t="str">
        <f>_xlfn.IFNA(VLOOKUP($AI361,Programma!$F$3:$O$1101,10,0),"")</f>
        <v>5w</v>
      </c>
      <c r="AS361" s="114" t="str">
        <f>_xlfn.IFNA(VLOOKUP($AI361,Programma!$F$3:$P$1101,11,0),"")</f>
        <v>5w</v>
      </c>
      <c r="AT361" s="114" t="str">
        <f>_xlfn.IFNA(VLOOKUP($AI361,Programma!$F$3:$Q$1101,12,0),"")</f>
        <v>1w</v>
      </c>
      <c r="AU361" s="114" t="str">
        <f>_xlfn.IFNA(VLOOKUP($AI361,Programma!$F$3:$R$1101,13,0),"")</f>
        <v>1w</v>
      </c>
      <c r="AV361" s="114" t="str">
        <f>_xlfn.IFNA(VLOOKUP($AI361,Programma!$F$3:$S$1101,14,0),"")</f>
        <v>1m</v>
      </c>
      <c r="AW361" s="114" t="str">
        <f>_xlfn.IFNA(VLOOKUP($AI361,Programma!$F$3:$T$1101,15,0),"")</f>
        <v>2j</v>
      </c>
      <c r="AX361" s="114" t="str">
        <f>_xlfn.IFNA(VLOOKUP($AI361,Programma!$F$3:$U$1101,16,0),"")</f>
        <v>1j</v>
      </c>
      <c r="AY361" s="114" t="str">
        <f>_xlfn.IFNA(VLOOKUP($AI361,Programma!$F$3:$V$1101,17,0),"")</f>
        <v>_</v>
      </c>
      <c r="AZ361" s="114" t="str">
        <f>_xlfn.IFNA(VLOOKUP($AI361,Programma!$F$3:$W$1101,18,0),"")</f>
        <v>_</v>
      </c>
      <c r="BA361" s="114" t="str">
        <f>_xlfn.IFNA(VLOOKUP($AI361,Programma!$F$3:$X$1101,19,0),"")</f>
        <v>_</v>
      </c>
      <c r="BB361" s="114" t="str">
        <f>_xlfn.IFNA(VLOOKUP($AI361,Programma!$F$3:$Y$1101,20,0),"")</f>
        <v>_</v>
      </c>
      <c r="BC361" s="111"/>
      <c r="BD361" s="110" t="str">
        <f>IF(Ruimtestaat[[#This Row],[Frequentie weekend]]="","",_xlfn.CONCAT(Ruimtestaat[[#This Row],[Ruimte code]],"-",Ruimtestaat[[#This Row],[Frequentie weekend]]," ",Ruimtestaat[[#This Row],[Vloer code]]))</f>
        <v/>
      </c>
      <c r="BE361" s="114" t="str">
        <f>_xlfn.IFNA(VLOOKUP($BD361,Programma!$F$3:$G$1101,2,0),"")</f>
        <v/>
      </c>
      <c r="BF361" s="114" t="str">
        <f>_xlfn.IFNA(VLOOKUP($BD361,Programma!$F$3:$H$1101,3,0),"")</f>
        <v/>
      </c>
      <c r="BG361" s="114" t="str">
        <f>_xlfn.IFNA(VLOOKUP($BD361,Programma!$F$3:$I$1101,4,0),"")</f>
        <v/>
      </c>
      <c r="BH361" s="114" t="str">
        <f>_xlfn.IFNA(VLOOKUP($BD361,Programma!$F$3:$J$1101,5,0),"")</f>
        <v/>
      </c>
      <c r="BI361" s="114" t="str">
        <f>_xlfn.IFNA(VLOOKUP($BD361,Programma!$F$3:$K$1101,6,0),"")</f>
        <v/>
      </c>
      <c r="BJ361" s="114" t="str">
        <f>_xlfn.IFNA(VLOOKUP($BD361,Programma!$F$3:$L$1101,7,0),"")</f>
        <v/>
      </c>
      <c r="BK361" s="114" t="str">
        <f>_xlfn.IFNA(VLOOKUP($BD361,Programma!$F$3:$M$1101,8,0),"")</f>
        <v/>
      </c>
      <c r="BL361" s="114" t="str">
        <f>_xlfn.IFNA(VLOOKUP($BD361,Programma!$F$3:$N$1101,9,0),"")</f>
        <v/>
      </c>
      <c r="BM361" s="114" t="str">
        <f>_xlfn.IFNA(VLOOKUP($BD361,Programma!$F$3:$O$1101,10,0),"")</f>
        <v/>
      </c>
      <c r="BN361" s="114" t="str">
        <f>_xlfn.IFNA(VLOOKUP($BD361,Programma!$F$3:$P$1101,11,0),"")</f>
        <v/>
      </c>
      <c r="BO361" s="114" t="str">
        <f>_xlfn.IFNA(VLOOKUP($BD361,Programma!$F$3:$Q$1101,12,0),"")</f>
        <v/>
      </c>
      <c r="BP361" s="114" t="str">
        <f>_xlfn.IFNA(VLOOKUP($BD361,Programma!$F$3:$R$1101,13,0),"")</f>
        <v/>
      </c>
      <c r="BQ361" s="114" t="str">
        <f>_xlfn.IFNA(VLOOKUP($BD361,Programma!$F$3:$S$1101,14,0),"")</f>
        <v/>
      </c>
      <c r="BR361" s="114" t="str">
        <f>_xlfn.IFNA(VLOOKUP($BD361,Programma!$F$3:$T$1101,15,0),"")</f>
        <v/>
      </c>
      <c r="BS361" s="114" t="str">
        <f>_xlfn.IFNA(VLOOKUP($BD361,Programma!$F$3:$U$1101,16,0),"")</f>
        <v/>
      </c>
      <c r="BT361" s="114" t="str">
        <f>_xlfn.IFNA(VLOOKUP($BD361,Programma!$F$3:$V$1101,17,0),"")</f>
        <v/>
      </c>
      <c r="BU361" s="114" t="str">
        <f>_xlfn.IFNA(VLOOKUP($BD361,Programma!$F$3:$W$1101,18,0),"")</f>
        <v/>
      </c>
      <c r="BV361" s="114" t="str">
        <f>_xlfn.IFNA(VLOOKUP($BD361,Programma!$F$3:$X$1101,19,0),"")</f>
        <v/>
      </c>
      <c r="BW361" s="114" t="str">
        <f>_xlfn.IFNA(VLOOKUP($BD361,Programma!$F$3:$Y$1101,20,0),"")</f>
        <v/>
      </c>
    </row>
    <row r="362" spans="1:220" ht="15" customHeight="1">
      <c r="A362" s="31">
        <v>7</v>
      </c>
      <c r="B362" s="105" t="str">
        <f>VLOOKUP(Ruimtestaat[[#This Row],[Code]],Locaties[[Code]:[Locatie]],2,FALSE)</f>
        <v>Montessori IKC De Groene Ring</v>
      </c>
      <c r="C362" s="105" t="str">
        <f>VLOOKUP(Ruimtestaat[[#This Row],[Code]],Locaties[[#All],[Code]:[Adres]],4,FALSE)</f>
        <v>Bergdravik 2</v>
      </c>
      <c r="D362" s="105" t="str">
        <f>VLOOKUP(Ruimtestaat[[#This Row],[Code]],Locaties[[#All],[Code]:[Postcode]],5,FALSE)</f>
        <v>6922 HM</v>
      </c>
      <c r="E362" s="105" t="str">
        <f>VLOOKUP(Ruimtestaat[[#This Row],[Code]],Locaties[#All],6,FALSE)</f>
        <v>Duiven</v>
      </c>
      <c r="F362" s="113" t="s">
        <v>1824</v>
      </c>
      <c r="I362" s="113" t="s">
        <v>1784</v>
      </c>
      <c r="J362" s="31">
        <v>5</v>
      </c>
      <c r="K362" s="113" t="str">
        <f>VLOOKUP(Ruimtestaat[[#This Row],[Ruimte code]],Ruimtegroepen[[#All],[Code]:[Ruimte omschrijving]],2,FALSE)</f>
        <v>Sanitair</v>
      </c>
      <c r="L362" s="31" t="s">
        <v>101</v>
      </c>
      <c r="M362" s="31" t="s">
        <v>1976</v>
      </c>
      <c r="N362" s="106">
        <v>4</v>
      </c>
      <c r="O362" s="112"/>
      <c r="P362" s="112"/>
      <c r="Q362" s="107" t="str">
        <f>VLOOKUP(Ruimtestaat[[#This Row],[Ruimte code]],Ruimtegroepen[],4,FALSE)</f>
        <v>Sa</v>
      </c>
      <c r="R362" s="73">
        <v>40</v>
      </c>
      <c r="S362" s="73" t="s">
        <v>2</v>
      </c>
      <c r="T362" s="73">
        <f>IF(R362&gt;0,IF(RIGHT(Ruimtestaat[[#This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2" s="73">
        <f>IF(T362&gt;0,VLOOKUP($J362,Ruimtegroepen[],3,FALSE)*VLOOKUP($L362,Vloersoorten[],3,FALSE)*VLOOKUP($S362,Frequenties[],3,FALSE)*VLOOKUP($A362,Locaties[],3,FALSE),0)</f>
        <v>0</v>
      </c>
      <c r="V362" s="73">
        <f>Ruimtestaat[[#This Row],[Uitvoeringen werkdagen]]*Ruimtestaat[[#This Row],[Oppervlak (netto)]]</f>
        <v>800</v>
      </c>
      <c r="W362" s="108">
        <f>IF(U362&gt;0,Ruimtestaat[[#This Row],[Prest. (m2 /jaar) werkdagen]]/Ruimtestaat[[#This Row],[Norm (m2/uur) werkdagen]],0)</f>
        <v>0</v>
      </c>
      <c r="X362" s="109">
        <f>Ruimtestaat[[#This Row],[uren / jaar werkdagen]]*Tariefsopbouw!$E$35</f>
        <v>0</v>
      </c>
      <c r="Y362" s="73"/>
      <c r="Z362" s="73">
        <f>IF(Ruimtestaat[[#This Row],[Frequentie weekend]]&gt;0,VALUE(LEFT(Y362,1))*R362,0)</f>
        <v>0</v>
      </c>
      <c r="AA362" s="72">
        <f>IF($Z362&gt;0,VLOOKUP($J362,Ruimtegroepen[],3,FALSE)*VLOOKUP($L362,Vloersoorten[],3,FALSE)*VLOOKUP($Y362,Frequenties[],3,FALSE)*VLOOKUP(Ruimtestaat[[#This Row],[Code]],Locaties[],3,FALSE),0)</f>
        <v>0</v>
      </c>
      <c r="AB362" s="72">
        <f>Ruimtestaat[[#This Row],[Uitvoeringen weekend]]*Ruimtestaat[[#This Row],[Oppervlak (netto)]]</f>
        <v>0</v>
      </c>
      <c r="AC362" s="72">
        <f>IF(AA362&gt;0,Ruimtestaat[[#This Row],[Prest. (m2 /jaar) weekend]]/Ruimtestaat[[#This Row],[Norm (m2/uur) weekend]],0)</f>
        <v>0</v>
      </c>
      <c r="AD362" s="109">
        <f>Ruimtestaat[[#This Row],[uren / jaar weekend]]*Tariefsopbouw!$D$40</f>
        <v>0</v>
      </c>
      <c r="AE362" s="108">
        <f>Ruimtestaat[[#This Row],[Prest. (m2 /jaar) weekend]]+Ruimtestaat[[#This Row],[Prest. (m2 /jaar) werkdagen]]</f>
        <v>800</v>
      </c>
      <c r="AF362" s="108">
        <f>Ruimtestaat[[#This Row],[uren / jaar weekend]]+Ruimtestaat[[#This Row],[uren / jaar werkdagen]]</f>
        <v>0</v>
      </c>
      <c r="AG362" s="103">
        <f>Ruimtestaat[[#This Row],[kosten / jaar weekend]]+Ruimtestaat[[#This Row],[kosten / jaar werkdagen]]</f>
        <v>0</v>
      </c>
      <c r="AH362" s="103"/>
      <c r="AI362" s="110" t="str">
        <f>IF(Ruimtestaat[[#This Row],[Frequentie werkdagen]]="","",_xlfn.CONCAT(Ruimtestaat[[#This Row],[Ruimte code]],"-",Ruimtestaat[[#This Row],[Frequentie werkdagen]]," ",Ruimtestaat[[#This Row],[Vloer code]]))</f>
        <v>5-5w S</v>
      </c>
      <c r="AJ362" s="114" t="str">
        <f>_xlfn.IFNA(VLOOKUP($AI362,Programma!$F$3:$G$1101,2,0),"")</f>
        <v>_</v>
      </c>
      <c r="AK362" s="114" t="str">
        <f>_xlfn.IFNA(VLOOKUP($AI362,Programma!$F$3:$H$1101,3,0),"")</f>
        <v>_</v>
      </c>
      <c r="AL362" s="114" t="str">
        <f>_xlfn.IFNA(VLOOKUP($AI362,Programma!$F$3:$I$1101,4,0),"")</f>
        <v>_</v>
      </c>
      <c r="AM362" s="114" t="str">
        <f>_xlfn.IFNA(VLOOKUP($AI362,Programma!$F$3:$J$1101,5,0),"")</f>
        <v>4w</v>
      </c>
      <c r="AN362" s="114" t="str">
        <f>_xlfn.IFNA(VLOOKUP($AI362,Programma!$F$3:$K$1101,6,0),"")</f>
        <v>1w</v>
      </c>
      <c r="AO362" s="114" t="str">
        <f>_xlfn.IFNA(VLOOKUP($AI362,Programma!$F$3:$L$1101,7,0),"")</f>
        <v>_</v>
      </c>
      <c r="AP362" s="114" t="str">
        <f>_xlfn.IFNA(VLOOKUP($AI362,Programma!$F$3:$M$1101,8,0),"")</f>
        <v>_</v>
      </c>
      <c r="AQ362" s="114" t="str">
        <f>_xlfn.IFNA(VLOOKUP($AI362,Programma!$F$3:$N$1101,9,0),"")</f>
        <v>_</v>
      </c>
      <c r="AR362" s="114" t="str">
        <f>_xlfn.IFNA(VLOOKUP($AI362,Programma!$F$3:$O$1101,10,0),"")</f>
        <v>_</v>
      </c>
      <c r="AS362" s="114" t="str">
        <f>_xlfn.IFNA(VLOOKUP($AI362,Programma!$F$3:$P$1101,11,0),"")</f>
        <v>_</v>
      </c>
      <c r="AT362" s="114" t="str">
        <f>_xlfn.IFNA(VLOOKUP($AI362,Programma!$F$3:$Q$1101,12,0),"")</f>
        <v>_</v>
      </c>
      <c r="AU362" s="114" t="str">
        <f>_xlfn.IFNA(VLOOKUP($AI362,Programma!$F$3:$R$1101,13,0),"")</f>
        <v>_</v>
      </c>
      <c r="AV362" s="114" t="str">
        <f>_xlfn.IFNA(VLOOKUP($AI362,Programma!$F$3:$S$1101,14,0),"")</f>
        <v>_</v>
      </c>
      <c r="AW362" s="114" t="str">
        <f>_xlfn.IFNA(VLOOKUP($AI362,Programma!$F$3:$T$1101,15,0),"")</f>
        <v>_</v>
      </c>
      <c r="AX362" s="114" t="str">
        <f>_xlfn.IFNA(VLOOKUP($AI362,Programma!$F$3:$U$1101,16,0),"")</f>
        <v>_</v>
      </c>
      <c r="AY362" s="114" t="str">
        <f>_xlfn.IFNA(VLOOKUP($AI362,Programma!$F$3:$V$1101,17,0),"")</f>
        <v>_</v>
      </c>
      <c r="AZ362" s="114" t="str">
        <f>_xlfn.IFNA(VLOOKUP($AI362,Programma!$F$3:$W$1101,18,0),"")</f>
        <v>4w</v>
      </c>
      <c r="BA362" s="114" t="str">
        <f>_xlfn.IFNA(VLOOKUP($AI362,Programma!$F$3:$X$1101,19,0),"")</f>
        <v>1w</v>
      </c>
      <c r="BB362" s="114" t="str">
        <f>_xlfn.IFNA(VLOOKUP($AI362,Programma!$F$3:$Y$1101,20,0),"")</f>
        <v>_</v>
      </c>
      <c r="BC362" s="111"/>
      <c r="BD362" s="110" t="str">
        <f>IF(Ruimtestaat[[#This Row],[Frequentie weekend]]="","",_xlfn.CONCAT(Ruimtestaat[[#This Row],[Ruimte code]],"-",Ruimtestaat[[#This Row],[Frequentie weekend]]," ",Ruimtestaat[[#This Row],[Vloer code]]))</f>
        <v/>
      </c>
      <c r="BE362" s="114" t="str">
        <f>_xlfn.IFNA(VLOOKUP($BD362,Programma!$F$3:$G$1101,2,0),"")</f>
        <v/>
      </c>
      <c r="BF362" s="114" t="str">
        <f>_xlfn.IFNA(VLOOKUP($BD362,Programma!$F$3:$H$1101,3,0),"")</f>
        <v/>
      </c>
      <c r="BG362" s="114" t="str">
        <f>_xlfn.IFNA(VLOOKUP($BD362,Programma!$F$3:$I$1101,4,0),"")</f>
        <v/>
      </c>
      <c r="BH362" s="114" t="str">
        <f>_xlfn.IFNA(VLOOKUP($BD362,Programma!$F$3:$J$1101,5,0),"")</f>
        <v/>
      </c>
      <c r="BI362" s="114" t="str">
        <f>_xlfn.IFNA(VLOOKUP($BD362,Programma!$F$3:$K$1101,6,0),"")</f>
        <v/>
      </c>
      <c r="BJ362" s="114" t="str">
        <f>_xlfn.IFNA(VLOOKUP($BD362,Programma!$F$3:$L$1101,7,0),"")</f>
        <v/>
      </c>
      <c r="BK362" s="114" t="str">
        <f>_xlfn.IFNA(VLOOKUP($BD362,Programma!$F$3:$M$1101,8,0),"")</f>
        <v/>
      </c>
      <c r="BL362" s="114" t="str">
        <f>_xlfn.IFNA(VLOOKUP($BD362,Programma!$F$3:$N$1101,9,0),"")</f>
        <v/>
      </c>
      <c r="BM362" s="114" t="str">
        <f>_xlfn.IFNA(VLOOKUP($BD362,Programma!$F$3:$O$1101,10,0),"")</f>
        <v/>
      </c>
      <c r="BN362" s="114" t="str">
        <f>_xlfn.IFNA(VLOOKUP($BD362,Programma!$F$3:$P$1101,11,0),"")</f>
        <v/>
      </c>
      <c r="BO362" s="114" t="str">
        <f>_xlfn.IFNA(VLOOKUP($BD362,Programma!$F$3:$Q$1101,12,0),"")</f>
        <v/>
      </c>
      <c r="BP362" s="114" t="str">
        <f>_xlfn.IFNA(VLOOKUP($BD362,Programma!$F$3:$R$1101,13,0),"")</f>
        <v/>
      </c>
      <c r="BQ362" s="114" t="str">
        <f>_xlfn.IFNA(VLOOKUP($BD362,Programma!$F$3:$S$1101,14,0),"")</f>
        <v/>
      </c>
      <c r="BR362" s="114" t="str">
        <f>_xlfn.IFNA(VLOOKUP($BD362,Programma!$F$3:$T$1101,15,0),"")</f>
        <v/>
      </c>
      <c r="BS362" s="114" t="str">
        <f>_xlfn.IFNA(VLOOKUP($BD362,Programma!$F$3:$U$1101,16,0),"")</f>
        <v/>
      </c>
      <c r="BT362" s="114" t="str">
        <f>_xlfn.IFNA(VLOOKUP($BD362,Programma!$F$3:$V$1101,17,0),"")</f>
        <v/>
      </c>
      <c r="BU362" s="114" t="str">
        <f>_xlfn.IFNA(VLOOKUP($BD362,Programma!$F$3:$W$1101,18,0),"")</f>
        <v/>
      </c>
      <c r="BV362" s="114" t="str">
        <f>_xlfn.IFNA(VLOOKUP($BD362,Programma!$F$3:$X$1101,19,0),"")</f>
        <v/>
      </c>
      <c r="BW362" s="114" t="str">
        <f>_xlfn.IFNA(VLOOKUP($BD362,Programma!$F$3:$Y$1101,20,0),"")</f>
        <v/>
      </c>
    </row>
    <row r="363" spans="1:220" ht="15" customHeight="1">
      <c r="A363" s="31">
        <v>7</v>
      </c>
      <c r="B363" s="105" t="str">
        <f>VLOOKUP(Ruimtestaat[[#This Row],[Code]],Locaties[[Code]:[Locatie]],2,FALSE)</f>
        <v>Montessori IKC De Groene Ring</v>
      </c>
      <c r="C363" s="105" t="str">
        <f>VLOOKUP(Ruimtestaat[[#This Row],[Code]],Locaties[[#All],[Code]:[Adres]],4,FALSE)</f>
        <v>Bergdravik 2</v>
      </c>
      <c r="D363" s="105" t="str">
        <f>VLOOKUP(Ruimtestaat[[#This Row],[Code]],Locaties[[#All],[Code]:[Postcode]],5,FALSE)</f>
        <v>6922 HM</v>
      </c>
      <c r="E363" s="105" t="str">
        <f>VLOOKUP(Ruimtestaat[[#This Row],[Code]],Locaties[#All],6,FALSE)</f>
        <v>Duiven</v>
      </c>
      <c r="F363" s="113" t="s">
        <v>1824</v>
      </c>
      <c r="I363" s="113" t="s">
        <v>1654</v>
      </c>
      <c r="J363" s="31">
        <v>5</v>
      </c>
      <c r="K363" s="113" t="str">
        <f>VLOOKUP(Ruimtestaat[[#This Row],[Ruimte code]],Ruimtegroepen[[#All],[Code]:[Ruimte omschrijving]],2,FALSE)</f>
        <v>Sanitair</v>
      </c>
      <c r="L363" s="31" t="s">
        <v>101</v>
      </c>
      <c r="M363" s="31" t="s">
        <v>1976</v>
      </c>
      <c r="N363" s="106">
        <v>1.8</v>
      </c>
      <c r="O363" s="112"/>
      <c r="P363" s="112"/>
      <c r="Q363" s="107" t="str">
        <f>VLOOKUP(Ruimtestaat[[#This Row],[Ruimte code]],Ruimtegroepen[],4,FALSE)</f>
        <v>Sa</v>
      </c>
      <c r="R363" s="73">
        <v>40</v>
      </c>
      <c r="S363" s="73" t="s">
        <v>2</v>
      </c>
      <c r="T363" s="73">
        <f>IF(R363&gt;0,IF(RIGHT(Ruimtestaat[[#This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3" s="73">
        <f>IF(T363&gt;0,VLOOKUP($J363,Ruimtegroepen[],3,FALSE)*VLOOKUP($L363,Vloersoorten[],3,FALSE)*VLOOKUP($S363,Frequenties[],3,FALSE)*VLOOKUP($A363,Locaties[],3,FALSE),0)</f>
        <v>0</v>
      </c>
      <c r="V363" s="73">
        <f>Ruimtestaat[[#This Row],[Uitvoeringen werkdagen]]*Ruimtestaat[[#This Row],[Oppervlak (netto)]]</f>
        <v>360</v>
      </c>
      <c r="W363" s="108">
        <f>IF(U363&gt;0,Ruimtestaat[[#This Row],[Prest. (m2 /jaar) werkdagen]]/Ruimtestaat[[#This Row],[Norm (m2/uur) werkdagen]],0)</f>
        <v>0</v>
      </c>
      <c r="X363" s="109">
        <f>Ruimtestaat[[#This Row],[uren / jaar werkdagen]]*Tariefsopbouw!$E$35</f>
        <v>0</v>
      </c>
      <c r="Y363" s="73"/>
      <c r="Z363" s="73">
        <f>IF(Ruimtestaat[[#This Row],[Frequentie weekend]]&gt;0,VALUE(LEFT(Y363,1))*R363,0)</f>
        <v>0</v>
      </c>
      <c r="AA363" s="72">
        <f>IF($Z363&gt;0,VLOOKUP($J363,Ruimtegroepen[],3,FALSE)*VLOOKUP($L363,Vloersoorten[],3,FALSE)*VLOOKUP($Y363,Frequenties[],3,FALSE)*VLOOKUP(Ruimtestaat[[#This Row],[Code]],Locaties[],3,FALSE),0)</f>
        <v>0</v>
      </c>
      <c r="AB363" s="72">
        <f>Ruimtestaat[[#This Row],[Uitvoeringen weekend]]*Ruimtestaat[[#This Row],[Oppervlak (netto)]]</f>
        <v>0</v>
      </c>
      <c r="AC363" s="72">
        <f>IF(AA363&gt;0,Ruimtestaat[[#This Row],[Prest. (m2 /jaar) weekend]]/Ruimtestaat[[#This Row],[Norm (m2/uur) weekend]],0)</f>
        <v>0</v>
      </c>
      <c r="AD363" s="109">
        <f>Ruimtestaat[[#This Row],[uren / jaar weekend]]*Tariefsopbouw!$D$40</f>
        <v>0</v>
      </c>
      <c r="AE363" s="108">
        <f>Ruimtestaat[[#This Row],[Prest. (m2 /jaar) weekend]]+Ruimtestaat[[#This Row],[Prest. (m2 /jaar) werkdagen]]</f>
        <v>360</v>
      </c>
      <c r="AF363" s="108">
        <f>Ruimtestaat[[#This Row],[uren / jaar weekend]]+Ruimtestaat[[#This Row],[uren / jaar werkdagen]]</f>
        <v>0</v>
      </c>
      <c r="AG363" s="103">
        <f>Ruimtestaat[[#This Row],[kosten / jaar weekend]]+Ruimtestaat[[#This Row],[kosten / jaar werkdagen]]</f>
        <v>0</v>
      </c>
      <c r="AH363" s="103"/>
      <c r="AI363" s="110" t="str">
        <f>IF(Ruimtestaat[[#This Row],[Frequentie werkdagen]]="","",_xlfn.CONCAT(Ruimtestaat[[#This Row],[Ruimte code]],"-",Ruimtestaat[[#This Row],[Frequentie werkdagen]]," ",Ruimtestaat[[#This Row],[Vloer code]]))</f>
        <v>5-5w S</v>
      </c>
      <c r="AJ363" s="114" t="str">
        <f>_xlfn.IFNA(VLOOKUP($AI363,Programma!$F$3:$G$1101,2,0),"")</f>
        <v>_</v>
      </c>
      <c r="AK363" s="114" t="str">
        <f>_xlfn.IFNA(VLOOKUP($AI363,Programma!$F$3:$H$1101,3,0),"")</f>
        <v>_</v>
      </c>
      <c r="AL363" s="114" t="str">
        <f>_xlfn.IFNA(VLOOKUP($AI363,Programma!$F$3:$I$1101,4,0),"")</f>
        <v>_</v>
      </c>
      <c r="AM363" s="114" t="str">
        <f>_xlfn.IFNA(VLOOKUP($AI363,Programma!$F$3:$J$1101,5,0),"")</f>
        <v>4w</v>
      </c>
      <c r="AN363" s="114" t="str">
        <f>_xlfn.IFNA(VLOOKUP($AI363,Programma!$F$3:$K$1101,6,0),"")</f>
        <v>1w</v>
      </c>
      <c r="AO363" s="114" t="str">
        <f>_xlfn.IFNA(VLOOKUP($AI363,Programma!$F$3:$L$1101,7,0),"")</f>
        <v>_</v>
      </c>
      <c r="AP363" s="114" t="str">
        <f>_xlfn.IFNA(VLOOKUP($AI363,Programma!$F$3:$M$1101,8,0),"")</f>
        <v>_</v>
      </c>
      <c r="AQ363" s="114" t="str">
        <f>_xlfn.IFNA(VLOOKUP($AI363,Programma!$F$3:$N$1101,9,0),"")</f>
        <v>_</v>
      </c>
      <c r="AR363" s="114" t="str">
        <f>_xlfn.IFNA(VLOOKUP($AI363,Programma!$F$3:$O$1101,10,0),"")</f>
        <v>_</v>
      </c>
      <c r="AS363" s="114" t="str">
        <f>_xlfn.IFNA(VLOOKUP($AI363,Programma!$F$3:$P$1101,11,0),"")</f>
        <v>_</v>
      </c>
      <c r="AT363" s="114" t="str">
        <f>_xlfn.IFNA(VLOOKUP($AI363,Programma!$F$3:$Q$1101,12,0),"")</f>
        <v>_</v>
      </c>
      <c r="AU363" s="114" t="str">
        <f>_xlfn.IFNA(VLOOKUP($AI363,Programma!$F$3:$R$1101,13,0),"")</f>
        <v>_</v>
      </c>
      <c r="AV363" s="114" t="str">
        <f>_xlfn.IFNA(VLOOKUP($AI363,Programma!$F$3:$S$1101,14,0),"")</f>
        <v>_</v>
      </c>
      <c r="AW363" s="114" t="str">
        <f>_xlfn.IFNA(VLOOKUP($AI363,Programma!$F$3:$T$1101,15,0),"")</f>
        <v>_</v>
      </c>
      <c r="AX363" s="114" t="str">
        <f>_xlfn.IFNA(VLOOKUP($AI363,Programma!$F$3:$U$1101,16,0),"")</f>
        <v>_</v>
      </c>
      <c r="AY363" s="114" t="str">
        <f>_xlfn.IFNA(VLOOKUP($AI363,Programma!$F$3:$V$1101,17,0),"")</f>
        <v>_</v>
      </c>
      <c r="AZ363" s="114" t="str">
        <f>_xlfn.IFNA(VLOOKUP($AI363,Programma!$F$3:$W$1101,18,0),"")</f>
        <v>4w</v>
      </c>
      <c r="BA363" s="114" t="str">
        <f>_xlfn.IFNA(VLOOKUP($AI363,Programma!$F$3:$X$1101,19,0),"")</f>
        <v>1w</v>
      </c>
      <c r="BB363" s="114" t="str">
        <f>_xlfn.IFNA(VLOOKUP($AI363,Programma!$F$3:$Y$1101,20,0),"")</f>
        <v>_</v>
      </c>
      <c r="BC363" s="111"/>
      <c r="BD363" s="110" t="str">
        <f>IF(Ruimtestaat[[#This Row],[Frequentie weekend]]="","",_xlfn.CONCAT(Ruimtestaat[[#This Row],[Ruimte code]],"-",Ruimtestaat[[#This Row],[Frequentie weekend]]," ",Ruimtestaat[[#This Row],[Vloer code]]))</f>
        <v/>
      </c>
      <c r="BE363" s="114" t="str">
        <f>_xlfn.IFNA(VLOOKUP($BD363,Programma!$F$3:$G$1101,2,0),"")</f>
        <v/>
      </c>
      <c r="BF363" s="114" t="str">
        <f>_xlfn.IFNA(VLOOKUP($BD363,Programma!$F$3:$H$1101,3,0),"")</f>
        <v/>
      </c>
      <c r="BG363" s="114" t="str">
        <f>_xlfn.IFNA(VLOOKUP($BD363,Programma!$F$3:$I$1101,4,0),"")</f>
        <v/>
      </c>
      <c r="BH363" s="114" t="str">
        <f>_xlfn.IFNA(VLOOKUP($BD363,Programma!$F$3:$J$1101,5,0),"")</f>
        <v/>
      </c>
      <c r="BI363" s="114" t="str">
        <f>_xlfn.IFNA(VLOOKUP($BD363,Programma!$F$3:$K$1101,6,0),"")</f>
        <v/>
      </c>
      <c r="BJ363" s="114" t="str">
        <f>_xlfn.IFNA(VLOOKUP($BD363,Programma!$F$3:$L$1101,7,0),"")</f>
        <v/>
      </c>
      <c r="BK363" s="114" t="str">
        <f>_xlfn.IFNA(VLOOKUP($BD363,Programma!$F$3:$M$1101,8,0),"")</f>
        <v/>
      </c>
      <c r="BL363" s="114" t="str">
        <f>_xlfn.IFNA(VLOOKUP($BD363,Programma!$F$3:$N$1101,9,0),"")</f>
        <v/>
      </c>
      <c r="BM363" s="114" t="str">
        <f>_xlfn.IFNA(VLOOKUP($BD363,Programma!$F$3:$O$1101,10,0),"")</f>
        <v/>
      </c>
      <c r="BN363" s="114" t="str">
        <f>_xlfn.IFNA(VLOOKUP($BD363,Programma!$F$3:$P$1101,11,0),"")</f>
        <v/>
      </c>
      <c r="BO363" s="114" t="str">
        <f>_xlfn.IFNA(VLOOKUP($BD363,Programma!$F$3:$Q$1101,12,0),"")</f>
        <v/>
      </c>
      <c r="BP363" s="114" t="str">
        <f>_xlfn.IFNA(VLOOKUP($BD363,Programma!$F$3:$R$1101,13,0),"")</f>
        <v/>
      </c>
      <c r="BQ363" s="114" t="str">
        <f>_xlfn.IFNA(VLOOKUP($BD363,Programma!$F$3:$S$1101,14,0),"")</f>
        <v/>
      </c>
      <c r="BR363" s="114" t="str">
        <f>_xlfn.IFNA(VLOOKUP($BD363,Programma!$F$3:$T$1101,15,0),"")</f>
        <v/>
      </c>
      <c r="BS363" s="114" t="str">
        <f>_xlfn.IFNA(VLOOKUP($BD363,Programma!$F$3:$U$1101,16,0),"")</f>
        <v/>
      </c>
      <c r="BT363" s="114" t="str">
        <f>_xlfn.IFNA(VLOOKUP($BD363,Programma!$F$3:$V$1101,17,0),"")</f>
        <v/>
      </c>
      <c r="BU363" s="114" t="str">
        <f>_xlfn.IFNA(VLOOKUP($BD363,Programma!$F$3:$W$1101,18,0),"")</f>
        <v/>
      </c>
      <c r="BV363" s="114" t="str">
        <f>_xlfn.IFNA(VLOOKUP($BD363,Programma!$F$3:$X$1101,19,0),"")</f>
        <v/>
      </c>
      <c r="BW363" s="114" t="str">
        <f>_xlfn.IFNA(VLOOKUP($BD363,Programma!$F$3:$Y$1101,20,0),"")</f>
        <v/>
      </c>
    </row>
  </sheetData>
  <sheetProtection algorithmName="SHA-512" hashValue="n7+AUv8b+sBslIfL5VNrcxnGoM/qmO/YOMDnyhx1ZFrgY5wncXZn8l9EB9KojC6vC1HZ2SNCi0Y0YvdnKHG/nw==" saltValue="wdaukrRuIZGXzlo1lvqMEg==" spinCount="100000" sheet="1" objects="1" scenarios="1" sort="0" autoFilter="0"/>
  <sortState xmlns:xlrd2="http://schemas.microsoft.com/office/spreadsheetml/2017/richdata2" ref="B17:S363">
    <sortCondition ref="F17:F363"/>
  </sortState>
  <mergeCells count="13">
    <mergeCell ref="AJ2:BB2"/>
    <mergeCell ref="BE2:BW2"/>
    <mergeCell ref="AJ3:AQ3"/>
    <mergeCell ref="AR3:AY3"/>
    <mergeCell ref="AZ3:BB3"/>
    <mergeCell ref="BE3:BL3"/>
    <mergeCell ref="BM3:BT3"/>
    <mergeCell ref="BU3:BW3"/>
    <mergeCell ref="A1:Q1"/>
    <mergeCell ref="R1:AG1"/>
    <mergeCell ref="S3:X3"/>
    <mergeCell ref="Y3:AD3"/>
    <mergeCell ref="AE3:AG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5"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55"/>
  <sheetViews>
    <sheetView showGridLines="0" view="pageBreakPreview" topLeftCell="A3" zoomScaleNormal="100" zoomScaleSheetLayoutView="100" workbookViewId="0">
      <selection activeCell="C9" sqref="C9:C18"/>
    </sheetView>
  </sheetViews>
  <sheetFormatPr defaultColWidth="9.140625" defaultRowHeight="15" customHeight="1"/>
  <cols>
    <col min="1" max="1" width="9.7109375" style="28" customWidth="1"/>
    <col min="2" max="2" width="56.28515625" style="28" customWidth="1"/>
    <col min="3" max="3" width="14.85546875" style="31" customWidth="1"/>
    <col min="4" max="4" width="62" style="28" customWidth="1"/>
    <col min="5" max="5" width="17.7109375" style="28" bestFit="1" customWidth="1"/>
    <col min="6" max="6" width="17.7109375" style="125" bestFit="1" customWidth="1"/>
    <col min="7" max="7" width="17.7109375" style="28" bestFit="1" customWidth="1"/>
    <col min="8" max="8" width="18" style="28" bestFit="1" customWidth="1"/>
    <col min="9" max="9" width="19" style="28" customWidth="1"/>
    <col min="10" max="10" width="6.42578125" style="28" customWidth="1"/>
    <col min="11" max="11" width="9.140625" style="28"/>
    <col min="12" max="12" width="35.7109375" style="28" customWidth="1"/>
    <col min="13" max="13" width="15.85546875" style="28" customWidth="1"/>
    <col min="14" max="16384" width="9.140625" style="28"/>
  </cols>
  <sheetData>
    <row r="1" spans="1:13" s="25" customFormat="1" ht="26.25" customHeight="1">
      <c r="A1" s="332" t="s">
        <v>160</v>
      </c>
      <c r="B1" s="332"/>
      <c r="C1" s="332"/>
      <c r="D1" s="332"/>
      <c r="E1" s="332"/>
      <c r="F1" s="332"/>
      <c r="G1" s="332"/>
      <c r="H1" s="332"/>
    </row>
    <row r="2" spans="1:13" s="25" customFormat="1" ht="15" customHeight="1">
      <c r="A2" s="350" t="s">
        <v>1608</v>
      </c>
      <c r="B2" s="333"/>
      <c r="C2" s="333"/>
      <c r="D2" s="333"/>
      <c r="E2" s="333"/>
      <c r="F2" s="333"/>
      <c r="G2" s="333"/>
      <c r="H2" s="333"/>
    </row>
    <row r="3" spans="1:13" ht="15" customHeight="1">
      <c r="B3" s="31"/>
      <c r="C3" s="28"/>
      <c r="D3" s="123"/>
      <c r="E3" s="124"/>
    </row>
    <row r="4" spans="1:13" ht="15" customHeight="1">
      <c r="A4" s="28" t="s">
        <v>168</v>
      </c>
      <c r="B4" s="126"/>
      <c r="C4" s="126"/>
      <c r="D4" s="126"/>
      <c r="E4" s="126"/>
      <c r="F4" s="127"/>
      <c r="G4" s="128"/>
    </row>
    <row r="5" spans="1:13" ht="15" customHeight="1">
      <c r="A5" s="28" t="s">
        <v>222</v>
      </c>
      <c r="B5" s="126"/>
      <c r="C5" s="126"/>
      <c r="D5" s="126"/>
      <c r="E5" s="126"/>
      <c r="F5" s="127"/>
      <c r="G5" s="128"/>
    </row>
    <row r="6" spans="1:13" ht="15" customHeight="1">
      <c r="A6" s="28" t="s">
        <v>215</v>
      </c>
      <c r="B6" s="129"/>
      <c r="C6" s="130"/>
      <c r="D6" s="130"/>
      <c r="E6" s="130"/>
      <c r="F6" s="131"/>
    </row>
    <row r="7" spans="1:13" ht="15" customHeight="1">
      <c r="B7" s="129"/>
      <c r="C7" s="129"/>
      <c r="D7" s="132"/>
      <c r="E7" s="351" t="s">
        <v>244</v>
      </c>
      <c r="F7" s="351"/>
      <c r="G7" s="351"/>
      <c r="H7" s="351"/>
      <c r="I7" s="351"/>
      <c r="M7" s="133"/>
    </row>
    <row r="8" spans="1:13" s="29" customFormat="1" ht="26.25" customHeight="1">
      <c r="A8" s="211" t="s">
        <v>198</v>
      </c>
      <c r="B8" s="212" t="s">
        <v>150</v>
      </c>
      <c r="C8" s="213" t="s">
        <v>142</v>
      </c>
      <c r="D8" s="211" t="s">
        <v>1302</v>
      </c>
      <c r="E8" s="211" t="s">
        <v>1245</v>
      </c>
      <c r="F8" s="211" t="s">
        <v>1303</v>
      </c>
      <c r="G8" s="211" t="s">
        <v>1579</v>
      </c>
      <c r="H8" s="211" t="s">
        <v>1614</v>
      </c>
      <c r="I8" s="211" t="s">
        <v>1613</v>
      </c>
      <c r="M8" s="134"/>
    </row>
    <row r="9" spans="1:13" ht="15" customHeight="1">
      <c r="A9" s="140">
        <v>1</v>
      </c>
      <c r="B9" s="152" t="s">
        <v>155</v>
      </c>
      <c r="C9" s="444">
        <v>0</v>
      </c>
      <c r="D9" s="141" t="s">
        <v>151</v>
      </c>
      <c r="E9" s="135" t="e">
        <f>InvulVloer19[[#This Row],[Prijs]]*Tariefsopbouw!$I$37+InvulVloer19[[#This Row],[Prijs]]</f>
        <v>#DIV/0!</v>
      </c>
      <c r="F9" s="283" t="e">
        <f>InvulVloer19[[#This Row],[2027]]*Tariefsopbouw!$K$37+InvulVloer19[[#This Row],[2027]]</f>
        <v>#DIV/0!</v>
      </c>
      <c r="G9" s="283" t="e">
        <f>InvulVloer19[[#This Row],[2028]]*Tariefsopbouw!$M$37+InvulVloer19[[#This Row],[2028]]</f>
        <v>#DIV/0!</v>
      </c>
      <c r="H9" s="283" t="e">
        <f>InvulVloer19[[#This Row],[2029]]*Tariefsopbouw!$O$37+InvulVloer19[[#This Row],[2029]]</f>
        <v>#DIV/0!</v>
      </c>
      <c r="I9" s="283" t="e">
        <f>InvulVloer19[[#This Row],[2030]]*Tariefsopbouw!$Q$37+InvulVloer19[[#This Row],[2030]]</f>
        <v>#DIV/0!</v>
      </c>
      <c r="M9" s="133"/>
    </row>
    <row r="10" spans="1:13" ht="15" customHeight="1">
      <c r="A10" s="140">
        <v>2</v>
      </c>
      <c r="B10" s="152" t="s">
        <v>245</v>
      </c>
      <c r="C10" s="444">
        <v>0</v>
      </c>
      <c r="D10" s="141" t="s">
        <v>151</v>
      </c>
      <c r="E10" s="135" t="e">
        <f>InvulVloer19[[#This Row],[Prijs]]*Tariefsopbouw!$I$37+InvulVloer19[[#This Row],[Prijs]]</f>
        <v>#DIV/0!</v>
      </c>
      <c r="F10" s="135" t="e">
        <f>InvulVloer19[[#This Row],[2027]]*Tariefsopbouw!$K$37+InvulVloer19[[#This Row],[2027]]</f>
        <v>#DIV/0!</v>
      </c>
      <c r="G10" s="135" t="e">
        <f>InvulVloer19[[#This Row],[2028]]*Tariefsopbouw!$M$37+InvulVloer19[[#This Row],[2028]]</f>
        <v>#DIV/0!</v>
      </c>
      <c r="H10" s="135" t="e">
        <f>InvulVloer19[[#This Row],[2029]]*Tariefsopbouw!$O$37+InvulVloer19[[#This Row],[2029]]</f>
        <v>#DIV/0!</v>
      </c>
      <c r="I10" s="135" t="e">
        <f>InvulVloer19[[#This Row],[2030]]*Tariefsopbouw!$Q$37+InvulVloer19[[#This Row],[2030]]</f>
        <v>#DIV/0!</v>
      </c>
      <c r="M10" s="136"/>
    </row>
    <row r="11" spans="1:13" ht="15" customHeight="1">
      <c r="A11" s="140">
        <v>3</v>
      </c>
      <c r="B11" s="152" t="s">
        <v>156</v>
      </c>
      <c r="C11" s="444">
        <v>0</v>
      </c>
      <c r="D11" s="141" t="s">
        <v>152</v>
      </c>
      <c r="E11" s="135" t="e">
        <f>InvulVloer19[[#This Row],[Prijs]]*Tariefsopbouw!$I$37+InvulVloer19[[#This Row],[Prijs]]</f>
        <v>#DIV/0!</v>
      </c>
      <c r="F11" s="135" t="e">
        <f>InvulVloer19[[#This Row],[2027]]*Tariefsopbouw!$K$37+InvulVloer19[[#This Row],[2027]]</f>
        <v>#DIV/0!</v>
      </c>
      <c r="G11" s="135" t="e">
        <f>InvulVloer19[[#This Row],[2028]]*Tariefsopbouw!$M$37+InvulVloer19[[#This Row],[2028]]</f>
        <v>#DIV/0!</v>
      </c>
      <c r="H11" s="135" t="e">
        <f>InvulVloer19[[#This Row],[2029]]*Tariefsopbouw!$O$37+InvulVloer19[[#This Row],[2029]]</f>
        <v>#DIV/0!</v>
      </c>
      <c r="I11" s="135" t="e">
        <f>InvulVloer19[[#This Row],[2030]]*Tariefsopbouw!$Q$37+InvulVloer19[[#This Row],[2030]]</f>
        <v>#DIV/0!</v>
      </c>
      <c r="M11" s="137"/>
    </row>
    <row r="12" spans="1:13" ht="15" customHeight="1">
      <c r="A12" s="140">
        <v>4</v>
      </c>
      <c r="B12" s="152" t="s">
        <v>246</v>
      </c>
      <c r="C12" s="444">
        <v>0</v>
      </c>
      <c r="D12" s="141" t="s">
        <v>151</v>
      </c>
      <c r="E12" s="135" t="e">
        <f>InvulVloer19[[#This Row],[Prijs]]*Tariefsopbouw!$I$37+InvulVloer19[[#This Row],[Prijs]]</f>
        <v>#DIV/0!</v>
      </c>
      <c r="F12" s="135" t="e">
        <f>InvulVloer19[[#This Row],[2027]]*Tariefsopbouw!$K$37+InvulVloer19[[#This Row],[2027]]</f>
        <v>#DIV/0!</v>
      </c>
      <c r="G12" s="135" t="e">
        <f>InvulVloer19[[#This Row],[2028]]*Tariefsopbouw!$M$37+InvulVloer19[[#This Row],[2028]]</f>
        <v>#DIV/0!</v>
      </c>
      <c r="H12" s="135" t="e">
        <f>InvulVloer19[[#This Row],[2029]]*Tariefsopbouw!$O$37+InvulVloer19[[#This Row],[2029]]</f>
        <v>#DIV/0!</v>
      </c>
      <c r="I12" s="135" t="e">
        <f>InvulVloer19[[#This Row],[2030]]*Tariefsopbouw!$Q$37+InvulVloer19[[#This Row],[2030]]</f>
        <v>#DIV/0!</v>
      </c>
    </row>
    <row r="13" spans="1:13" ht="15" customHeight="1">
      <c r="A13" s="140">
        <v>5</v>
      </c>
      <c r="B13" s="152" t="s">
        <v>247</v>
      </c>
      <c r="C13" s="444">
        <v>0</v>
      </c>
      <c r="D13" s="141" t="s">
        <v>151</v>
      </c>
      <c r="E13" s="135" t="e">
        <f>InvulVloer19[[#This Row],[Prijs]]*Tariefsopbouw!$I$37+InvulVloer19[[#This Row],[Prijs]]</f>
        <v>#DIV/0!</v>
      </c>
      <c r="F13" s="135" t="e">
        <f>InvulVloer19[[#This Row],[2027]]*Tariefsopbouw!$K$37+InvulVloer19[[#This Row],[2027]]</f>
        <v>#DIV/0!</v>
      </c>
      <c r="G13" s="135" t="e">
        <f>InvulVloer19[[#This Row],[2028]]*Tariefsopbouw!$M$37+InvulVloer19[[#This Row],[2028]]</f>
        <v>#DIV/0!</v>
      </c>
      <c r="H13" s="135" t="e">
        <f>InvulVloer19[[#This Row],[2029]]*Tariefsopbouw!$O$37+InvulVloer19[[#This Row],[2029]]</f>
        <v>#DIV/0!</v>
      </c>
      <c r="I13" s="135" t="e">
        <f>InvulVloer19[[#This Row],[2030]]*Tariefsopbouw!$Q$37+InvulVloer19[[#This Row],[2030]]</f>
        <v>#DIV/0!</v>
      </c>
    </row>
    <row r="14" spans="1:13" ht="15" customHeight="1">
      <c r="A14" s="140">
        <v>6</v>
      </c>
      <c r="B14" s="152" t="s">
        <v>157</v>
      </c>
      <c r="C14" s="444">
        <v>0</v>
      </c>
      <c r="D14" s="141" t="s">
        <v>151</v>
      </c>
      <c r="E14" s="135" t="e">
        <f>InvulVloer19[[#This Row],[Prijs]]*Tariefsopbouw!$I$37+InvulVloer19[[#This Row],[Prijs]]</f>
        <v>#DIV/0!</v>
      </c>
      <c r="F14" s="135" t="e">
        <f>InvulVloer19[[#This Row],[2027]]*Tariefsopbouw!$K$37+InvulVloer19[[#This Row],[2027]]</f>
        <v>#DIV/0!</v>
      </c>
      <c r="G14" s="135" t="e">
        <f>InvulVloer19[[#This Row],[2028]]*Tariefsopbouw!$M$37+InvulVloer19[[#This Row],[2028]]</f>
        <v>#DIV/0!</v>
      </c>
      <c r="H14" s="135" t="e">
        <f>InvulVloer19[[#This Row],[2029]]*Tariefsopbouw!$O$37+InvulVloer19[[#This Row],[2029]]</f>
        <v>#DIV/0!</v>
      </c>
      <c r="I14" s="135" t="e">
        <f>InvulVloer19[[#This Row],[2030]]*Tariefsopbouw!$Q$37+InvulVloer19[[#This Row],[2030]]</f>
        <v>#DIV/0!</v>
      </c>
    </row>
    <row r="15" spans="1:13" ht="15" customHeight="1">
      <c r="A15" s="140">
        <v>7</v>
      </c>
      <c r="B15" s="152" t="s">
        <v>1585</v>
      </c>
      <c r="C15" s="444">
        <v>0</v>
      </c>
      <c r="D15" s="141" t="s">
        <v>151</v>
      </c>
      <c r="E15" s="135" t="e">
        <f>InvulVloer19[[#This Row],[Prijs]]*Tariefsopbouw!$I$37+InvulVloer19[[#This Row],[Prijs]]</f>
        <v>#DIV/0!</v>
      </c>
      <c r="F15" s="284" t="e">
        <f>InvulVloer19[[#This Row],[2027]]*Tariefsopbouw!$K$37+InvulVloer19[[#This Row],[2027]]</f>
        <v>#DIV/0!</v>
      </c>
      <c r="G15" s="135" t="e">
        <f>InvulVloer19[[#This Row],[2028]]*Tariefsopbouw!$M$37+InvulVloer19[[#This Row],[2028]]</f>
        <v>#DIV/0!</v>
      </c>
      <c r="H15" s="135" t="e">
        <f>InvulVloer19[[#This Row],[2029]]*Tariefsopbouw!$O$37+InvulVloer19[[#This Row],[2029]]</f>
        <v>#DIV/0!</v>
      </c>
      <c r="I15" s="135" t="e">
        <f>InvulVloer19[[#This Row],[2030]]*Tariefsopbouw!$Q$37+InvulVloer19[[#This Row],[2030]]</f>
        <v>#DIV/0!</v>
      </c>
    </row>
    <row r="16" spans="1:13" ht="15" customHeight="1">
      <c r="A16" s="140">
        <v>8</v>
      </c>
      <c r="B16" s="141" t="s">
        <v>159</v>
      </c>
      <c r="C16" s="444">
        <v>0</v>
      </c>
      <c r="D16" s="141" t="s">
        <v>151</v>
      </c>
      <c r="E16" s="135" t="e">
        <f>InvulVloer19[[#This Row],[Prijs]]*Tariefsopbouw!$I$37+InvulVloer19[[#This Row],[Prijs]]</f>
        <v>#DIV/0!</v>
      </c>
      <c r="F16" s="135" t="e">
        <f>InvulVloer19[[#This Row],[2027]]*Tariefsopbouw!$K$37+InvulVloer19[[#This Row],[2027]]</f>
        <v>#DIV/0!</v>
      </c>
      <c r="G16" s="135" t="e">
        <f>InvulVloer19[[#This Row],[2028]]*Tariefsopbouw!$M$37+InvulVloer19[[#This Row],[2028]]</f>
        <v>#DIV/0!</v>
      </c>
      <c r="H16" s="135" t="e">
        <f>InvulVloer19[[#This Row],[2029]]*Tariefsopbouw!$O$37+InvulVloer19[[#This Row],[2029]]</f>
        <v>#DIV/0!</v>
      </c>
      <c r="I16" s="135" t="e">
        <f>InvulVloer19[[#This Row],[2030]]*Tariefsopbouw!$Q$37+InvulVloer19[[#This Row],[2030]]</f>
        <v>#DIV/0!</v>
      </c>
    </row>
    <row r="17" spans="1:13" ht="15" customHeight="1">
      <c r="A17" s="140">
        <v>9</v>
      </c>
      <c r="B17" s="286" t="s">
        <v>186</v>
      </c>
      <c r="C17" s="444">
        <v>0</v>
      </c>
      <c r="D17" s="141" t="s">
        <v>151</v>
      </c>
      <c r="E17" s="135" t="e">
        <f>InvulVloer19[[#This Row],[Prijs]]*Tariefsopbouw!$I$37+InvulVloer19[[#This Row],[Prijs]]</f>
        <v>#DIV/0!</v>
      </c>
      <c r="F17" s="135" t="e">
        <f>InvulVloer19[[#This Row],[2027]]*Tariefsopbouw!$K$37+InvulVloer19[[#This Row],[2027]]</f>
        <v>#DIV/0!</v>
      </c>
      <c r="G17" s="135" t="e">
        <f>InvulVloer19[[#This Row],[2028]]*Tariefsopbouw!$M$37+InvulVloer19[[#This Row],[2028]]</f>
        <v>#DIV/0!</v>
      </c>
      <c r="H17" s="135" t="e">
        <f>InvulVloer19[[#This Row],[2029]]*Tariefsopbouw!$O$37+InvulVloer19[[#This Row],[2029]]</f>
        <v>#DIV/0!</v>
      </c>
      <c r="I17" s="135" t="e">
        <f>InvulVloer19[[#This Row],[2030]]*Tariefsopbouw!$Q$37+InvulVloer19[[#This Row],[2030]]</f>
        <v>#DIV/0!</v>
      </c>
    </row>
    <row r="18" spans="1:13" ht="15" customHeight="1">
      <c r="A18" s="140">
        <v>10</v>
      </c>
      <c r="B18" s="286" t="s">
        <v>1969</v>
      </c>
      <c r="C18" s="444">
        <v>0</v>
      </c>
      <c r="D18" s="141" t="s">
        <v>151</v>
      </c>
      <c r="E18" s="282" t="e">
        <f>InvulVloer19[[#This Row],[Prijs]]*Tariefsopbouw!$I$37+InvulVloer19[[#This Row],[Prijs]]</f>
        <v>#DIV/0!</v>
      </c>
      <c r="F18" s="285" t="e">
        <f>InvulVloer19[[#This Row],[2027]]*Tariefsopbouw!$K$37+InvulVloer19[[#This Row],[2027]]</f>
        <v>#DIV/0!</v>
      </c>
      <c r="G18" s="282" t="e">
        <f>InvulVloer19[[#This Row],[2028]]*Tariefsopbouw!$M$37+InvulVloer19[[#This Row],[2028]]</f>
        <v>#DIV/0!</v>
      </c>
      <c r="H18" s="282" t="e">
        <f>InvulVloer19[[#This Row],[2029]]*Tariefsopbouw!$O$37+InvulVloer19[[#This Row],[2029]]</f>
        <v>#DIV/0!</v>
      </c>
      <c r="I18" s="282" t="e">
        <f>InvulVloer19[[#This Row],[2030]]*Tariefsopbouw!$Q$37+InvulVloer19[[#This Row],[2030]]</f>
        <v>#DIV/0!</v>
      </c>
    </row>
    <row r="19" spans="1:13" ht="15" customHeight="1">
      <c r="B19" s="31"/>
      <c r="E19" s="138"/>
      <c r="F19" s="139"/>
      <c r="G19" s="138"/>
      <c r="H19" s="138"/>
    </row>
    <row r="20" spans="1:13" s="73" customFormat="1" ht="26.25" customHeight="1">
      <c r="A20" s="211" t="s">
        <v>197</v>
      </c>
      <c r="B20" s="212" t="s">
        <v>135</v>
      </c>
      <c r="C20" s="213" t="s">
        <v>198</v>
      </c>
      <c r="D20" s="211" t="s">
        <v>227</v>
      </c>
      <c r="E20" s="211" t="s">
        <v>153</v>
      </c>
      <c r="F20" s="211" t="s">
        <v>154</v>
      </c>
      <c r="G20" s="211" t="s">
        <v>158</v>
      </c>
      <c r="H20" s="211" t="s">
        <v>137</v>
      </c>
      <c r="I20" s="211" t="s">
        <v>1263</v>
      </c>
    </row>
    <row r="21" spans="1:13" ht="15" customHeight="1">
      <c r="A21" s="140">
        <v>1</v>
      </c>
      <c r="B21" s="141" t="str">
        <f>VLOOKUP(OverzichtVloer20[[#This Row],[Code Locatie]],Locaties[],2,0)</f>
        <v>IKC Kameleon</v>
      </c>
      <c r="C21" s="140">
        <v>1</v>
      </c>
      <c r="D21" s="132" t="str">
        <f>IF(Vloeronderhoud!$C21&gt;0,VLOOKUP(Vloeronderhoud!$C21,$A$8:$B$18,2,FALSE),"")</f>
        <v>Sprayen/opblokken</v>
      </c>
      <c r="E21" s="143" t="s">
        <v>100</v>
      </c>
      <c r="F21" s="144">
        <f>SUMIFS('Ruimtestaat'!$N:$N,'Ruimtestaat'!L:L,Vloeronderhoud!E21,'Ruimtestaat'!A:A,Vloeronderhoud!A21)</f>
        <v>223</v>
      </c>
      <c r="G21" s="126">
        <v>1</v>
      </c>
      <c r="H21" s="145">
        <f>VLOOKUP(OverzichtVloer20[[#This Row],[Code Taak]],InvulVloer19[],3,3)*F21*G21</f>
        <v>0</v>
      </c>
      <c r="I21" s="146">
        <f>OverzichtVloer20[[#This Row],[Kosten/jaar excl. BTW]]*1.21</f>
        <v>0</v>
      </c>
      <c r="M21" s="133"/>
    </row>
    <row r="22" spans="1:13" ht="15" customHeight="1">
      <c r="A22" s="140">
        <v>1</v>
      </c>
      <c r="B22" s="141" t="str">
        <f>VLOOKUP(OverzichtVloer20[[#This Row],[Code Locatie]],Locaties[],2,0)</f>
        <v>IKC Kameleon</v>
      </c>
      <c r="C22" s="140">
        <v>2</v>
      </c>
      <c r="D22" s="132" t="str">
        <f>IF(Vloeronderhoud!$C22&gt;0,VLOOKUP(Vloeronderhoud!$C22,$A$8:$B$18,2,FALSE),"")</f>
        <v>Topstrippen en conserveren</v>
      </c>
      <c r="E22" s="143" t="s">
        <v>100</v>
      </c>
      <c r="F22" s="144">
        <f>SUMIFS('Ruimtestaat'!$N:$N,'Ruimtestaat'!L:L,Vloeronderhoud!E22,'Ruimtestaat'!A:A,Vloeronderhoud!A22)</f>
        <v>223</v>
      </c>
      <c r="G22" s="126">
        <v>1</v>
      </c>
      <c r="H22" s="145">
        <f>VLOOKUP(OverzichtVloer20[[#This Row],[Code Taak]],InvulVloer19[],3,3)*F22*G22</f>
        <v>0</v>
      </c>
      <c r="I22" s="146">
        <f>OverzichtVloer20[[#This Row],[Kosten/jaar excl. BTW]]*1.21</f>
        <v>0</v>
      </c>
      <c r="M22" s="133"/>
    </row>
    <row r="23" spans="1:13" ht="15" customHeight="1">
      <c r="A23" s="140">
        <v>1</v>
      </c>
      <c r="B23" s="141" t="str">
        <f>VLOOKUP(OverzichtVloer20[[#This Row],[Code Locatie]],Locaties[],2,0)</f>
        <v>IKC Kameleon</v>
      </c>
      <c r="C23" s="140">
        <v>3</v>
      </c>
      <c r="D23" s="132" t="str">
        <f>IF(Vloeronderhoud!$C23&gt;0,VLOOKUP(Vloeronderhoud!$C23,$A$8:$B$18,2,FALSE),"")</f>
        <v>Diepstrippen, sealen en conserveren</v>
      </c>
      <c r="E23" s="143" t="s">
        <v>100</v>
      </c>
      <c r="F23" s="144">
        <f>SUMIFS('Ruimtestaat'!$N:$N,'Ruimtestaat'!L:L,Vloeronderhoud!E23,'Ruimtestaat'!A:A,Vloeronderhoud!A23)</f>
        <v>223</v>
      </c>
      <c r="G23" s="126">
        <v>0.25</v>
      </c>
      <c r="H23" s="145">
        <f>VLOOKUP(OverzichtVloer20[[#This Row],[Code Taak]],InvulVloer19[],3,3)*F23*G23</f>
        <v>0</v>
      </c>
      <c r="I23" s="146">
        <f>OverzichtVloer20[[#This Row],[Kosten/jaar excl. BTW]]*1.21</f>
        <v>0</v>
      </c>
      <c r="M23" s="133"/>
    </row>
    <row r="24" spans="1:13" ht="14.25" customHeight="1">
      <c r="A24" s="140">
        <v>1</v>
      </c>
      <c r="B24" s="141" t="str">
        <f>VLOOKUP(OverzichtVloer20[[#This Row],[Code Locatie]],Locaties[],2,0)</f>
        <v>IKC Kameleon</v>
      </c>
      <c r="C24" s="140">
        <v>4</v>
      </c>
      <c r="D24" s="132" t="str">
        <f>IF(Vloeronderhoud!$C24&gt;0,VLOOKUP(Vloeronderhoud!$C24,$A$8:$B$18,2,FALSE),"")</f>
        <v>Tapijtreinigen, sproei-extractiemethode</v>
      </c>
      <c r="E24" s="143" t="s">
        <v>99</v>
      </c>
      <c r="F24" s="144">
        <f>SUMIFS('Ruimtestaat'!$N:$N,'Ruimtestaat'!L:L,Vloeronderhoud!E24,'Ruimtestaat'!A:A,Vloeronderhoud!A24)</f>
        <v>1532.05</v>
      </c>
      <c r="G24" s="126">
        <v>1</v>
      </c>
      <c r="H24" s="145">
        <f>VLOOKUP(OverzichtVloer20[[#This Row],[Code Taak]],InvulVloer19[],3,3)*F24*G24</f>
        <v>0</v>
      </c>
      <c r="I24" s="146">
        <f>OverzichtVloer20[[#This Row],[Kosten/jaar excl. BTW]]*1.21</f>
        <v>0</v>
      </c>
      <c r="M24" s="133"/>
    </row>
    <row r="25" spans="1:13" ht="14.25" customHeight="1">
      <c r="A25" s="140">
        <v>1</v>
      </c>
      <c r="B25" s="141" t="str">
        <f>VLOOKUP(OverzichtVloer20[[#This Row],[Code Locatie]],Locaties[],2,0)</f>
        <v>IKC Kameleon</v>
      </c>
      <c r="C25" s="140">
        <v>9</v>
      </c>
      <c r="D25" s="132" t="str">
        <f>IF(Vloeronderhoud!$C25&gt;0,VLOOKUP(Vloeronderhoud!$C25,$A$8:$B$18,2,FALSE),"")</f>
        <v>Machinaal schrobben en droogzuigen</v>
      </c>
      <c r="E25" s="143" t="s">
        <v>102</v>
      </c>
      <c r="F25" s="144">
        <f>SUMIFS('Ruimtestaat'!$N:$N,'Ruimtestaat'!L:L,Vloeronderhoud!E25,'Ruimtestaat'!A:A,Vloeronderhoud!A25)</f>
        <v>84</v>
      </c>
      <c r="G25" s="126">
        <v>1</v>
      </c>
      <c r="H25" s="145">
        <f>VLOOKUP(OverzichtVloer20[[#This Row],[Code Taak]],InvulVloer19[],3,3)*F25*G25</f>
        <v>0</v>
      </c>
      <c r="I25" s="146">
        <f>OverzichtVloer20[[#This Row],[Kosten/jaar excl. BTW]]*1.21</f>
        <v>0</v>
      </c>
      <c r="M25" s="133"/>
    </row>
    <row r="26" spans="1:13" ht="14.25" customHeight="1">
      <c r="A26" s="140">
        <v>2</v>
      </c>
      <c r="B26" s="141" t="str">
        <f>VLOOKUP(OverzichtVloer20[[#This Row],[Code Locatie]],Locaties[],2,0)</f>
        <v>IKC De Hoge Hoeve</v>
      </c>
      <c r="C26" s="140">
        <v>4</v>
      </c>
      <c r="D26" s="132" t="str">
        <f>IF(Vloeronderhoud!$C26&gt;0,VLOOKUP(Vloeronderhoud!$C26,$A$8:$B$18,2,FALSE),"")</f>
        <v>Tapijtreinigen, sproei-extractiemethode</v>
      </c>
      <c r="E26" s="143" t="s">
        <v>99</v>
      </c>
      <c r="F26" s="144">
        <f>SUMIFS('Ruimtestaat'!$N:$N,'Ruimtestaat'!L:L,Vloeronderhoud!E26,'Ruimtestaat'!A:A,Vloeronderhoud!A26)</f>
        <v>75</v>
      </c>
      <c r="G26" s="126">
        <v>1</v>
      </c>
      <c r="H26" s="145">
        <f>VLOOKUP(OverzichtVloer20[[#This Row],[Code Taak]],InvulVloer19[],3,3)*F26*G26</f>
        <v>0</v>
      </c>
      <c r="I26" s="146">
        <f>OverzichtVloer20[[#This Row],[Kosten/jaar excl. BTW]]*1.21</f>
        <v>0</v>
      </c>
      <c r="M26" s="133"/>
    </row>
    <row r="27" spans="1:13" ht="14.25" customHeight="1">
      <c r="A27" s="140">
        <v>2</v>
      </c>
      <c r="B27" s="141" t="str">
        <f>VLOOKUP(OverzichtVloer20[[#This Row],[Code Locatie]],Locaties[],2,0)</f>
        <v>IKC De Hoge Hoeve</v>
      </c>
      <c r="C27" s="140">
        <v>9</v>
      </c>
      <c r="D27" s="132" t="str">
        <f>IF(Vloeronderhoud!$C27&gt;0,VLOOKUP(Vloeronderhoud!$C27,$A$8:$B$18,2,FALSE),"")</f>
        <v>Machinaal schrobben en droogzuigen</v>
      </c>
      <c r="E27" s="143" t="s">
        <v>102</v>
      </c>
      <c r="F27" s="144">
        <f>SUMIFS('Ruimtestaat'!$N:$N,'Ruimtestaat'!L:L,Vloeronderhoud!E27,'Ruimtestaat'!A:A,Vloeronderhoud!A27)</f>
        <v>1336</v>
      </c>
      <c r="G27" s="126">
        <v>1</v>
      </c>
      <c r="H27" s="145">
        <f>VLOOKUP(OverzichtVloer20[[#This Row],[Code Taak]],InvulVloer19[],3,3)*F27*G27</f>
        <v>0</v>
      </c>
      <c r="I27" s="146">
        <f>OverzichtVloer20[[#This Row],[Kosten/jaar excl. BTW]]*1.21</f>
        <v>0</v>
      </c>
      <c r="M27" s="133"/>
    </row>
    <row r="28" spans="1:13" ht="14.25" customHeight="1">
      <c r="A28" s="140">
        <v>3</v>
      </c>
      <c r="B28" s="141" t="str">
        <f>VLOOKUP(OverzichtVloer20[[#This Row],[Code Locatie]],Locaties[],2,0)</f>
        <v>Sport IKC Het Startblok</v>
      </c>
      <c r="C28" s="140">
        <v>4</v>
      </c>
      <c r="D28" s="132" t="str">
        <f>IF(Vloeronderhoud!$C28&gt;0,VLOOKUP(Vloeronderhoud!$C28,$A$8:$B$18,2,FALSE),"")</f>
        <v>Tapijtreinigen, sproei-extractiemethode</v>
      </c>
      <c r="E28" s="143" t="s">
        <v>99</v>
      </c>
      <c r="F28" s="144">
        <f>SUMIFS('Ruimtestaat'!$N:$N,'Ruimtestaat'!L:L,Vloeronderhoud!E28,'Ruimtestaat'!A:A,Vloeronderhoud!A28)</f>
        <v>19.2</v>
      </c>
      <c r="G28" s="126">
        <v>1</v>
      </c>
      <c r="H28" s="145">
        <f>VLOOKUP(OverzichtVloer20[[#This Row],[Code Taak]],InvulVloer19[],3,3)*F28*G28</f>
        <v>0</v>
      </c>
      <c r="I28" s="146">
        <f>OverzichtVloer20[[#This Row],[Kosten/jaar excl. BTW]]*1.21</f>
        <v>0</v>
      </c>
      <c r="M28" s="133"/>
    </row>
    <row r="29" spans="1:13" ht="14.25" customHeight="1">
      <c r="A29" s="140">
        <v>3</v>
      </c>
      <c r="B29" s="141" t="str">
        <f>VLOOKUP(OverzichtVloer20[[#This Row],[Code Locatie]],Locaties[],2,0)</f>
        <v>Sport IKC Het Startblok</v>
      </c>
      <c r="C29" s="140">
        <v>9</v>
      </c>
      <c r="D29" s="132" t="str">
        <f>IF(Vloeronderhoud!$C29&gt;0,VLOOKUP(Vloeronderhoud!$C29,$A$8:$B$18,2,FALSE),"")</f>
        <v>Machinaal schrobben en droogzuigen</v>
      </c>
      <c r="E29" s="143" t="s">
        <v>102</v>
      </c>
      <c r="F29" s="144">
        <f>SUMIFS('Ruimtestaat'!$N:$N,'Ruimtestaat'!L:L,Vloeronderhoud!E29,'Ruimtestaat'!A:A,Vloeronderhoud!A29)</f>
        <v>1427.6000000000001</v>
      </c>
      <c r="G29" s="126">
        <v>1</v>
      </c>
      <c r="H29" s="145">
        <f>VLOOKUP(OverzichtVloer20[[#This Row],[Code Taak]],InvulVloer19[],3,3)*F29*G29</f>
        <v>0</v>
      </c>
      <c r="I29" s="146">
        <f>OverzichtVloer20[[#This Row],[Kosten/jaar excl. BTW]]*1.21</f>
        <v>0</v>
      </c>
      <c r="M29" s="133"/>
    </row>
    <row r="30" spans="1:13" ht="14.25" customHeight="1">
      <c r="A30" s="140">
        <v>4</v>
      </c>
      <c r="B30" s="141" t="str">
        <f>VLOOKUP(OverzichtVloer20[[#This Row],[Code Locatie]],Locaties[],2,0)</f>
        <v>IKC De Brug</v>
      </c>
      <c r="C30" s="140">
        <v>1</v>
      </c>
      <c r="D30" s="132" t="str">
        <f>IF(Vloeronderhoud!$C30&gt;0,VLOOKUP(Vloeronderhoud!$C30,$A$8:$B$18,2,FALSE),"")</f>
        <v>Sprayen/opblokken</v>
      </c>
      <c r="E30" s="143" t="s">
        <v>100</v>
      </c>
      <c r="F30" s="144">
        <f>SUMIFS('Ruimtestaat'!$N:$N,'Ruimtestaat'!L:L,Vloeronderhoud!E30,'Ruimtestaat'!A:A,Vloeronderhoud!A30)</f>
        <v>130.4</v>
      </c>
      <c r="G30" s="126">
        <v>1</v>
      </c>
      <c r="H30" s="145">
        <f>VLOOKUP(OverzichtVloer20[[#This Row],[Code Taak]],InvulVloer19[],3,3)*F30*G30</f>
        <v>0</v>
      </c>
      <c r="I30" s="146">
        <f>OverzichtVloer20[[#This Row],[Kosten/jaar excl. BTW]]*1.21</f>
        <v>0</v>
      </c>
      <c r="M30" s="133"/>
    </row>
    <row r="31" spans="1:13" ht="14.25" customHeight="1">
      <c r="A31" s="140">
        <v>4</v>
      </c>
      <c r="B31" s="141" t="str">
        <f>VLOOKUP(OverzichtVloer20[[#This Row],[Code Locatie]],Locaties[],2,0)</f>
        <v>IKC De Brug</v>
      </c>
      <c r="C31" s="140">
        <v>2</v>
      </c>
      <c r="D31" s="132" t="str">
        <f>IF(Vloeronderhoud!$C31&gt;0,VLOOKUP(Vloeronderhoud!$C31,$A$8:$B$18,2,FALSE),"")</f>
        <v>Topstrippen en conserveren</v>
      </c>
      <c r="E31" s="143" t="s">
        <v>100</v>
      </c>
      <c r="F31" s="144">
        <f>SUMIFS('Ruimtestaat'!$N:$N,'Ruimtestaat'!L:L,Vloeronderhoud!E31,'Ruimtestaat'!A:A,Vloeronderhoud!A31)</f>
        <v>130.4</v>
      </c>
      <c r="G31" s="126">
        <v>1</v>
      </c>
      <c r="H31" s="145">
        <f>VLOOKUP(OverzichtVloer20[[#This Row],[Code Taak]],InvulVloer19[],3,3)*F31*G31</f>
        <v>0</v>
      </c>
      <c r="I31" s="146">
        <f>OverzichtVloer20[[#This Row],[Kosten/jaar excl. BTW]]*1.21</f>
        <v>0</v>
      </c>
      <c r="M31" s="133"/>
    </row>
    <row r="32" spans="1:13" ht="14.25" customHeight="1">
      <c r="A32" s="140">
        <v>4</v>
      </c>
      <c r="B32" s="141" t="str">
        <f>VLOOKUP(OverzichtVloer20[[#This Row],[Code Locatie]],Locaties[],2,0)</f>
        <v>IKC De Brug</v>
      </c>
      <c r="C32" s="140">
        <v>3</v>
      </c>
      <c r="D32" s="132" t="str">
        <f>IF(Vloeronderhoud!$C32&gt;0,VLOOKUP(Vloeronderhoud!$C32,$A$8:$B$18,2,FALSE),"")</f>
        <v>Diepstrippen, sealen en conserveren</v>
      </c>
      <c r="E32" s="143" t="s">
        <v>100</v>
      </c>
      <c r="F32" s="144">
        <f>SUMIFS('Ruimtestaat'!$N:$N,'Ruimtestaat'!L:L,Vloeronderhoud!E32,'Ruimtestaat'!A:A,Vloeronderhoud!A32)</f>
        <v>130.4</v>
      </c>
      <c r="G32" s="126">
        <v>0.25</v>
      </c>
      <c r="H32" s="145">
        <f>VLOOKUP(OverzichtVloer20[[#This Row],[Code Taak]],InvulVloer19[],3,3)*F32*G32</f>
        <v>0</v>
      </c>
      <c r="I32" s="146">
        <f>OverzichtVloer20[[#This Row],[Kosten/jaar excl. BTW]]*1.21</f>
        <v>0</v>
      </c>
      <c r="M32" s="133"/>
    </row>
    <row r="33" spans="1:13" ht="14.25" customHeight="1">
      <c r="A33" s="140">
        <v>5</v>
      </c>
      <c r="B33" s="141" t="str">
        <f>VLOOKUP(OverzichtVloer20[[#This Row],[Code Locatie]],Locaties[],2,0)</f>
        <v>IKC Remigius</v>
      </c>
      <c r="C33" s="140">
        <v>9</v>
      </c>
      <c r="D33" s="132" t="str">
        <f>IF(Vloeronderhoud!$C33&gt;0,VLOOKUP(Vloeronderhoud!$C33,$A$8:$B$18,2,FALSE),"")</f>
        <v>Machinaal schrobben en droogzuigen</v>
      </c>
      <c r="E33" s="143" t="s">
        <v>101</v>
      </c>
      <c r="F33" s="144">
        <f>SUMIFS('Ruimtestaat'!$N:$N,'Ruimtestaat'!L:L,Vloeronderhoud!E33,'Ruimtestaat'!A:A,Vloeronderhoud!A33)</f>
        <v>49.600000000000009</v>
      </c>
      <c r="G33" s="126">
        <v>1</v>
      </c>
      <c r="H33" s="145">
        <f>VLOOKUP(OverzichtVloer20[[#This Row],[Code Taak]],InvulVloer19[],3,3)*F33*G33</f>
        <v>0</v>
      </c>
      <c r="I33" s="146">
        <f>OverzichtVloer20[[#This Row],[Kosten/jaar excl. BTW]]*1.21</f>
        <v>0</v>
      </c>
      <c r="M33" s="133"/>
    </row>
    <row r="34" spans="1:13" ht="14.25" customHeight="1">
      <c r="A34" s="140">
        <v>5</v>
      </c>
      <c r="B34" s="141" t="str">
        <f>VLOOKUP(OverzichtVloer20[[#This Row],[Code Locatie]],Locaties[],2,0)</f>
        <v>IKC Remigius</v>
      </c>
      <c r="C34" s="140">
        <v>9</v>
      </c>
      <c r="D34" s="132" t="str">
        <f>IF(Vloeronderhoud!$C34&gt;0,VLOOKUP(Vloeronderhoud!$C34,$A$8:$B$18,2,FALSE),"")</f>
        <v>Machinaal schrobben en droogzuigen</v>
      </c>
      <c r="E34" s="143" t="s">
        <v>102</v>
      </c>
      <c r="F34" s="144">
        <f>SUMIFS('Ruimtestaat'!$N:$N,'Ruimtestaat'!L:L,Vloeronderhoud!E34,'Ruimtestaat'!A:A,Vloeronderhoud!A34)</f>
        <v>2019.8000000000002</v>
      </c>
      <c r="G34" s="126">
        <v>1</v>
      </c>
      <c r="H34" s="145">
        <f>VLOOKUP(OverzichtVloer20[[#This Row],[Code Taak]],InvulVloer19[],3,3)*F34*G34</f>
        <v>0</v>
      </c>
      <c r="I34" s="146">
        <f>OverzichtVloer20[[#This Row],[Kosten/jaar excl. BTW]]*1.21</f>
        <v>0</v>
      </c>
      <c r="M34" s="133"/>
    </row>
    <row r="35" spans="1:13" ht="14.25" customHeight="1">
      <c r="A35" s="140">
        <v>6</v>
      </c>
      <c r="B35" s="141" t="str">
        <f>VLOOKUP(OverzichtVloer20[[#This Row],[Code Locatie]],Locaties[],2,0)</f>
        <v>IKC Joannes</v>
      </c>
      <c r="C35" s="140">
        <v>1</v>
      </c>
      <c r="D35" s="132" t="str">
        <f>IF(Vloeronderhoud!$C35&gt;0,VLOOKUP(Vloeronderhoud!$C35,$A$8:$B$18,2,FALSE),"")</f>
        <v>Sprayen/opblokken</v>
      </c>
      <c r="E35" s="143" t="s">
        <v>100</v>
      </c>
      <c r="F35" s="144">
        <f>SUMIFS('Ruimtestaat'!$N:$N,'Ruimtestaat'!L:L,Vloeronderhoud!E35,'Ruimtestaat'!A:A,Vloeronderhoud!A35)</f>
        <v>514.9</v>
      </c>
      <c r="G35" s="126">
        <v>1</v>
      </c>
      <c r="H35" s="145">
        <f>VLOOKUP(OverzichtVloer20[[#This Row],[Code Taak]],InvulVloer19[],3,3)*F35*G35</f>
        <v>0</v>
      </c>
      <c r="I35" s="146">
        <f>OverzichtVloer20[[#This Row],[Kosten/jaar excl. BTW]]*1.21</f>
        <v>0</v>
      </c>
      <c r="M35" s="133"/>
    </row>
    <row r="36" spans="1:13" ht="14.25" customHeight="1">
      <c r="A36" s="140">
        <v>6</v>
      </c>
      <c r="B36" s="141" t="str">
        <f>VLOOKUP(OverzichtVloer20[[#This Row],[Code Locatie]],Locaties[],2,0)</f>
        <v>IKC Joannes</v>
      </c>
      <c r="C36" s="140">
        <v>2</v>
      </c>
      <c r="D36" s="132" t="str">
        <f>IF(Vloeronderhoud!$C36&gt;0,VLOOKUP(Vloeronderhoud!$C36,$A$8:$B$18,2,FALSE),"")</f>
        <v>Topstrippen en conserveren</v>
      </c>
      <c r="E36" s="143" t="s">
        <v>100</v>
      </c>
      <c r="F36" s="144">
        <f>SUMIFS('Ruimtestaat'!$N:$N,'Ruimtestaat'!L:L,Vloeronderhoud!E36,'Ruimtestaat'!A:A,Vloeronderhoud!A36)</f>
        <v>514.9</v>
      </c>
      <c r="G36" s="126">
        <v>1</v>
      </c>
      <c r="H36" s="281">
        <f>VLOOKUP(OverzichtVloer20[[#This Row],[Code Taak]],InvulVloer19[],3,3)*F36*G36</f>
        <v>0</v>
      </c>
      <c r="I36" s="146">
        <f>OverzichtVloer20[[#This Row],[Kosten/jaar excl. BTW]]*1.21</f>
        <v>0</v>
      </c>
      <c r="M36" s="133"/>
    </row>
    <row r="37" spans="1:13" ht="14.25" customHeight="1">
      <c r="A37" s="140">
        <v>6</v>
      </c>
      <c r="B37" s="141" t="str">
        <f>VLOOKUP(OverzichtVloer20[[#This Row],[Code Locatie]],Locaties[],2,0)</f>
        <v>IKC Joannes</v>
      </c>
      <c r="C37" s="140">
        <v>3</v>
      </c>
      <c r="D37" s="132" t="str">
        <f>IF(Vloeronderhoud!$C37&gt;0,VLOOKUP(Vloeronderhoud!$C37,$A$8:$B$18,2,FALSE),"")</f>
        <v>Diepstrippen, sealen en conserveren</v>
      </c>
      <c r="E37" s="143" t="s">
        <v>100</v>
      </c>
      <c r="F37" s="144">
        <f>SUMIFS('Ruimtestaat'!$N:$N,'Ruimtestaat'!L:L,Vloeronderhoud!E37,'Ruimtestaat'!A:A,Vloeronderhoud!A37)</f>
        <v>514.9</v>
      </c>
      <c r="G37" s="126">
        <v>0.25</v>
      </c>
      <c r="H37" s="145">
        <f>VLOOKUP(OverzichtVloer20[[#This Row],[Code Taak]],InvulVloer19[],3,3)*F37*G37</f>
        <v>0</v>
      </c>
      <c r="I37" s="146">
        <f>OverzichtVloer20[[#This Row],[Kosten/jaar excl. BTW]]*1.21</f>
        <v>0</v>
      </c>
      <c r="M37" s="133"/>
    </row>
    <row r="38" spans="1:13" ht="14.25" customHeight="1">
      <c r="A38" s="140">
        <v>6</v>
      </c>
      <c r="B38" s="141" t="str">
        <f>VLOOKUP(OverzichtVloer20[[#This Row],[Code Locatie]],Locaties[],2,0)</f>
        <v>IKC Joannes</v>
      </c>
      <c r="C38" s="140">
        <v>4</v>
      </c>
      <c r="D38" s="132" t="str">
        <f>IF(Vloeronderhoud!$C38&gt;0,VLOOKUP(Vloeronderhoud!$C38,$A$8:$B$18,2,FALSE),"")</f>
        <v>Tapijtreinigen, sproei-extractiemethode</v>
      </c>
      <c r="E38" s="143" t="s">
        <v>99</v>
      </c>
      <c r="F38" s="144">
        <f>SUMIFS('Ruimtestaat'!$N:$N,'Ruimtestaat'!L:L,Vloeronderhoud!E38,'Ruimtestaat'!A:A,Vloeronderhoud!A38)</f>
        <v>671.19999999999993</v>
      </c>
      <c r="G38" s="126">
        <v>1</v>
      </c>
      <c r="H38" s="145">
        <f>VLOOKUP(OverzichtVloer20[[#This Row],[Code Taak]],InvulVloer19[],3,3)*F38*G38</f>
        <v>0</v>
      </c>
      <c r="I38" s="146">
        <f>OverzichtVloer20[[#This Row],[Kosten/jaar excl. BTW]]*1.21</f>
        <v>0</v>
      </c>
      <c r="M38" s="133"/>
    </row>
    <row r="39" spans="1:13" ht="14.25" customHeight="1">
      <c r="A39" s="140">
        <v>6</v>
      </c>
      <c r="B39" s="141" t="str">
        <f>VLOOKUP(OverzichtVloer20[[#This Row],[Code Locatie]],Locaties[],2,0)</f>
        <v>IKC Joannes</v>
      </c>
      <c r="C39" s="140">
        <v>9</v>
      </c>
      <c r="D39" s="132" t="str">
        <f>IF(Vloeronderhoud!$C39&gt;0,VLOOKUP(Vloeronderhoud!$C39,$A$8:$B$18,2,FALSE),"")</f>
        <v>Machinaal schrobben en droogzuigen</v>
      </c>
      <c r="E39" s="143" t="s">
        <v>101</v>
      </c>
      <c r="F39" s="144">
        <f>SUMIFS('Ruimtestaat'!$N:$N,'Ruimtestaat'!L:L,Vloeronderhoud!E39,'Ruimtestaat'!A:A,Vloeronderhoud!A39)</f>
        <v>77.099999999999994</v>
      </c>
      <c r="G39" s="126">
        <v>1</v>
      </c>
      <c r="H39" s="145">
        <f>VLOOKUP(OverzichtVloer20[[#This Row],[Code Taak]],InvulVloer19[],3,3)*F39*G39</f>
        <v>0</v>
      </c>
      <c r="I39" s="146">
        <f>OverzichtVloer20[[#This Row],[Kosten/jaar excl. BTW]]*1.21</f>
        <v>0</v>
      </c>
      <c r="M39" s="133"/>
    </row>
    <row r="40" spans="1:13" ht="14.25" customHeight="1">
      <c r="A40" s="140">
        <v>6</v>
      </c>
      <c r="B40" s="141" t="str">
        <f>VLOOKUP(OverzichtVloer20[[#This Row],[Code Locatie]],Locaties[],2,0)</f>
        <v>IKC Joannes</v>
      </c>
      <c r="C40" s="140">
        <v>9</v>
      </c>
      <c r="D40" s="132" t="str">
        <f>IF(Vloeronderhoud!$C40&gt;0,VLOOKUP(Vloeronderhoud!$C40,$A$8:$B$18,2,FALSE),"")</f>
        <v>Machinaal schrobben en droogzuigen</v>
      </c>
      <c r="E40" s="143" t="s">
        <v>102</v>
      </c>
      <c r="F40" s="144">
        <f>SUMIFS('Ruimtestaat'!$N:$N,'Ruimtestaat'!L:L,Vloeronderhoud!E40,'Ruimtestaat'!A:A,Vloeronderhoud!A40)</f>
        <v>284.39999999999998</v>
      </c>
      <c r="G40" s="126">
        <v>1</v>
      </c>
      <c r="H40" s="145">
        <f>VLOOKUP(OverzichtVloer20[[#This Row],[Code Taak]],InvulVloer19[],3,3)*F40*G40</f>
        <v>0</v>
      </c>
      <c r="I40" s="146">
        <f>OverzichtVloer20[[#This Row],[Kosten/jaar excl. BTW]]*1.21</f>
        <v>0</v>
      </c>
      <c r="M40" s="133"/>
    </row>
    <row r="41" spans="1:13" ht="14.25" customHeight="1">
      <c r="A41" s="140">
        <v>7</v>
      </c>
      <c r="B41" s="141" t="str">
        <f>VLOOKUP(OverzichtVloer20[[#This Row],[Code Locatie]],Locaties[],2,0)</f>
        <v>Montessori IKC De Groene Ring</v>
      </c>
      <c r="C41" s="140">
        <v>1</v>
      </c>
      <c r="D41" s="132" t="str">
        <f>IF(Vloeronderhoud!$C41&gt;0,VLOOKUP(Vloeronderhoud!$C41,$A$8:$B$18,2,FALSE),"")</f>
        <v>Sprayen/opblokken</v>
      </c>
      <c r="E41" s="143" t="s">
        <v>100</v>
      </c>
      <c r="F41" s="144">
        <f>SUMIFS('Ruimtestaat'!$N:$N,'Ruimtestaat'!L:L,Vloeronderhoud!E41,'Ruimtestaat'!A:A,Vloeronderhoud!A41)</f>
        <v>991.3</v>
      </c>
      <c r="G41" s="126">
        <v>1</v>
      </c>
      <c r="H41" s="145">
        <f>VLOOKUP(OverzichtVloer20[[#This Row],[Code Taak]],InvulVloer19[],3,3)*F41*G41</f>
        <v>0</v>
      </c>
      <c r="I41" s="146">
        <f>OverzichtVloer20[[#This Row],[Kosten/jaar excl. BTW]]*1.21</f>
        <v>0</v>
      </c>
      <c r="M41" s="133"/>
    </row>
    <row r="42" spans="1:13" ht="14.25" customHeight="1">
      <c r="A42" s="140">
        <v>7</v>
      </c>
      <c r="B42" s="141" t="str">
        <f>VLOOKUP(OverzichtVloer20[[#This Row],[Code Locatie]],Locaties[],2,0)</f>
        <v>Montessori IKC De Groene Ring</v>
      </c>
      <c r="C42" s="140">
        <v>2</v>
      </c>
      <c r="D42" s="132" t="str">
        <f>IF(Vloeronderhoud!$C42&gt;0,VLOOKUP(Vloeronderhoud!$C42,$A$8:$B$18,2,FALSE),"")</f>
        <v>Topstrippen en conserveren</v>
      </c>
      <c r="E42" s="143" t="s">
        <v>100</v>
      </c>
      <c r="F42" s="144">
        <f>SUMIFS('Ruimtestaat'!$N:$N,'Ruimtestaat'!L:L,Vloeronderhoud!E42,'Ruimtestaat'!A:A,Vloeronderhoud!A42)</f>
        <v>991.3</v>
      </c>
      <c r="G42" s="126">
        <v>1</v>
      </c>
      <c r="H42" s="145">
        <f>VLOOKUP(OverzichtVloer20[[#This Row],[Code Taak]],InvulVloer19[],3,3)*F42*G42</f>
        <v>0</v>
      </c>
      <c r="I42" s="146">
        <f>OverzichtVloer20[[#This Row],[Kosten/jaar excl. BTW]]*1.21</f>
        <v>0</v>
      </c>
      <c r="M42" s="133"/>
    </row>
    <row r="43" spans="1:13" ht="14.25" customHeight="1">
      <c r="A43" s="140">
        <v>7</v>
      </c>
      <c r="B43" s="141" t="str">
        <f>VLOOKUP(OverzichtVloer20[[#This Row],[Code Locatie]],Locaties[],2,0)</f>
        <v>Montessori IKC De Groene Ring</v>
      </c>
      <c r="C43" s="140">
        <v>3</v>
      </c>
      <c r="D43" s="132" t="str">
        <f>IF(Vloeronderhoud!$C43&gt;0,VLOOKUP(Vloeronderhoud!$C43,$A$8:$B$18,2,FALSE),"")</f>
        <v>Diepstrippen, sealen en conserveren</v>
      </c>
      <c r="E43" s="143" t="s">
        <v>100</v>
      </c>
      <c r="F43" s="144">
        <f>SUMIFS('Ruimtestaat'!$N:$N,'Ruimtestaat'!L:L,Vloeronderhoud!E43,'Ruimtestaat'!A:A,Vloeronderhoud!A43)</f>
        <v>991.3</v>
      </c>
      <c r="G43" s="126">
        <v>0.25</v>
      </c>
      <c r="H43" s="145">
        <f>VLOOKUP(OverzichtVloer20[[#This Row],[Code Taak]],InvulVloer19[],3,3)*F43*G43</f>
        <v>0</v>
      </c>
      <c r="I43" s="146">
        <f>OverzichtVloer20[[#This Row],[Kosten/jaar excl. BTW]]*1.21</f>
        <v>0</v>
      </c>
      <c r="M43" s="133"/>
    </row>
    <row r="44" spans="1:13" ht="14.25" customHeight="1">
      <c r="A44" s="140">
        <v>7</v>
      </c>
      <c r="B44" s="141" t="str">
        <f>VLOOKUP(OverzichtVloer20[[#This Row],[Code Locatie]],Locaties[],2,0)</f>
        <v>Montessori IKC De Groene Ring</v>
      </c>
      <c r="C44" s="140">
        <v>7</v>
      </c>
      <c r="D44" s="132" t="str">
        <f>IF(Vloeronderhoud!$C44&gt;0,VLOOKUP(Vloeronderhoud!$C44,$A$8:$B$18,2,FALSE),"")</f>
        <v>Olieen houten vloeren</v>
      </c>
      <c r="E44" s="143" t="s">
        <v>1312</v>
      </c>
      <c r="F44" s="144">
        <f>SUMIFS('Ruimtestaat'!$N:$N,'Ruimtestaat'!L:L,Vloeronderhoud!E44,'Ruimtestaat'!A:A,Vloeronderhoud!A44)</f>
        <v>137</v>
      </c>
      <c r="G44" s="126">
        <v>1</v>
      </c>
      <c r="H44" s="145">
        <f>VLOOKUP(OverzichtVloer20[[#This Row],[Code Taak]],InvulVloer19[],3,3)*F44*G44</f>
        <v>0</v>
      </c>
      <c r="I44" s="146">
        <f>OverzichtVloer20[[#This Row],[Kosten/jaar excl. BTW]]*1.21</f>
        <v>0</v>
      </c>
      <c r="M44" s="133"/>
    </row>
    <row r="45" spans="1:13" ht="14.25" customHeight="1">
      <c r="A45" s="140">
        <v>7</v>
      </c>
      <c r="B45" s="141" t="str">
        <f>VLOOKUP(OverzichtVloer20[[#This Row],[Code Locatie]],Locaties[],2,0)</f>
        <v>Montessori IKC De Groene Ring</v>
      </c>
      <c r="C45" s="140">
        <v>9</v>
      </c>
      <c r="D45" s="132" t="str">
        <f>IF(Vloeronderhoud!$C45&gt;0,VLOOKUP(Vloeronderhoud!$C45,$A$8:$B$18,2,FALSE),"")</f>
        <v>Machinaal schrobben en droogzuigen</v>
      </c>
      <c r="E45" s="143" t="s">
        <v>101</v>
      </c>
      <c r="F45" s="144">
        <f>SUMIFS('Ruimtestaat'!$N:$N,'Ruimtestaat'!L:L,Vloeronderhoud!E45,'Ruimtestaat'!A:A,Vloeronderhoud!A45)</f>
        <v>33.799999999999997</v>
      </c>
      <c r="G45" s="126">
        <v>1</v>
      </c>
      <c r="H45" s="145">
        <f>VLOOKUP(OverzichtVloer20[[#This Row],[Code Taak]],InvulVloer19[],3,3)*F45*G45</f>
        <v>0</v>
      </c>
      <c r="I45" s="146">
        <f>OverzichtVloer20[[#This Row],[Kosten/jaar excl. BTW]]*1.21</f>
        <v>0</v>
      </c>
      <c r="M45" s="133"/>
    </row>
    <row r="46" spans="1:13" ht="14.25" customHeight="1">
      <c r="A46" s="147"/>
      <c r="B46" s="148" t="s">
        <v>32</v>
      </c>
      <c r="C46" s="147"/>
      <c r="D46" s="149"/>
      <c r="E46" s="147"/>
      <c r="F46" s="150"/>
      <c r="G46" s="147"/>
      <c r="H46" s="151">
        <f>SUBTOTAL(109,OverzichtVloer20[Kosten/jaar excl. BTW])</f>
        <v>0</v>
      </c>
      <c r="I46" s="151">
        <f>SUBTOTAL(109,OverzichtVloer20[Kosten/jaar incl BTW])</f>
        <v>0</v>
      </c>
      <c r="M46" s="133"/>
    </row>
    <row r="47" spans="1:13" ht="14.25" customHeight="1">
      <c r="M47" s="133"/>
    </row>
    <row r="48" spans="1:13" ht="14.25" customHeight="1">
      <c r="M48" s="133"/>
    </row>
    <row r="49" spans="13:13" ht="14.25" customHeight="1">
      <c r="M49" s="133"/>
    </row>
    <row r="50" spans="13:13" ht="14.25" customHeight="1">
      <c r="M50" s="133"/>
    </row>
    <row r="51" spans="13:13" ht="14.25" customHeight="1">
      <c r="M51" s="133"/>
    </row>
    <row r="52" spans="13:13" ht="14.25" customHeight="1">
      <c r="M52" s="133"/>
    </row>
    <row r="53" spans="13:13" ht="14.25" customHeight="1">
      <c r="M53" s="133"/>
    </row>
    <row r="54" spans="13:13" ht="14.25" customHeight="1">
      <c r="M54" s="133"/>
    </row>
    <row r="55" spans="13:13" ht="14.25" customHeight="1">
      <c r="M55" s="133"/>
    </row>
  </sheetData>
  <sheetProtection algorithmName="SHA-512" hashValue="ybe7oDSAc5ikMpSDNyLGQSwKAoouS1kkZe+IPwUhoOyqo1tvgNyf6egyRR1hmNEOJB1RquimvULsNbjnIxMOzw==" saltValue="WEPxzfjzMfZbYTXQ8cbmxw==" spinCount="100000" sheet="1" objects="1" scenarios="1" autoFilter="0"/>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15"/>
  <sheetViews>
    <sheetView showGridLines="0" view="pageBreakPreview" topLeftCell="A8" zoomScaleNormal="100" zoomScaleSheetLayoutView="100" workbookViewId="0">
      <selection activeCell="E25" activeCellId="14" sqref="C9:C19 C25:C26 C30:C31 C35:C36 C39:C40 C45:C46 C50:C51 C55:C56 E55:E56 E50:E51 E45:E46 E39:E40 E35:E36 E30:E31 E25:E26"/>
    </sheetView>
  </sheetViews>
  <sheetFormatPr defaultColWidth="9.140625" defaultRowHeight="15" customHeight="1"/>
  <cols>
    <col min="1" max="1" width="11.5703125" style="31" customWidth="1"/>
    <col min="2" max="2" width="47.42578125" style="28" bestFit="1" customWidth="1"/>
    <col min="3" max="3" width="12.5703125" style="28" customWidth="1"/>
    <col min="4" max="4" width="52.140625" style="31" bestFit="1" customWidth="1"/>
    <col min="5" max="5" width="19" style="28" customWidth="1"/>
    <col min="6" max="6" width="17.7109375" style="28" bestFit="1" customWidth="1"/>
    <col min="7" max="7" width="18.85546875" style="28" customWidth="1"/>
    <col min="8" max="8" width="17.5703125" style="28" customWidth="1"/>
    <col min="9" max="9" width="26" style="28" customWidth="1"/>
    <col min="10" max="16384" width="9.140625" style="28"/>
  </cols>
  <sheetData>
    <row r="1" spans="1:9" s="25" customFormat="1" ht="26.25" customHeight="1">
      <c r="A1" s="354" t="s">
        <v>39</v>
      </c>
      <c r="B1" s="354"/>
      <c r="C1" s="354"/>
      <c r="D1" s="354"/>
      <c r="E1" s="354"/>
      <c r="F1" s="354"/>
      <c r="G1" s="354"/>
      <c r="H1" s="354"/>
    </row>
    <row r="2" spans="1:9" s="25" customFormat="1" ht="15" customHeight="1">
      <c r="A2" s="334" t="s">
        <v>200</v>
      </c>
      <c r="B2" s="352"/>
      <c r="C2" s="352"/>
      <c r="D2" s="352"/>
      <c r="E2" s="352"/>
      <c r="F2" s="352"/>
      <c r="G2" s="352"/>
      <c r="H2" s="353"/>
    </row>
    <row r="3" spans="1:9" ht="15" customHeight="1">
      <c r="B3" s="31"/>
      <c r="D3" s="123"/>
      <c r="E3" s="124"/>
    </row>
    <row r="4" spans="1:9" ht="15" customHeight="1">
      <c r="A4" s="28" t="s">
        <v>168</v>
      </c>
      <c r="B4" s="31"/>
      <c r="D4" s="123"/>
      <c r="E4" s="123"/>
    </row>
    <row r="5" spans="1:9" ht="15" customHeight="1">
      <c r="A5" s="28" t="s">
        <v>222</v>
      </c>
      <c r="B5" s="31"/>
      <c r="D5" s="28"/>
    </row>
    <row r="6" spans="1:9" ht="15" customHeight="1">
      <c r="A6" s="28" t="s">
        <v>185</v>
      </c>
      <c r="B6" s="129"/>
      <c r="C6" s="129"/>
      <c r="D6" s="132"/>
      <c r="E6" s="132"/>
      <c r="F6" s="130"/>
      <c r="G6" s="130"/>
    </row>
    <row r="7" spans="1:9" ht="15" customHeight="1">
      <c r="A7" s="28"/>
      <c r="B7" s="129"/>
      <c r="C7" s="129"/>
      <c r="D7" s="132"/>
      <c r="E7" s="351" t="s">
        <v>244</v>
      </c>
      <c r="F7" s="351"/>
      <c r="G7" s="351"/>
      <c r="H7" s="351"/>
      <c r="I7" s="351"/>
    </row>
    <row r="8" spans="1:9" s="29" customFormat="1" ht="26.25" customHeight="1">
      <c r="A8" s="274" t="s">
        <v>199</v>
      </c>
      <c r="B8" s="275" t="s">
        <v>136</v>
      </c>
      <c r="C8" s="276" t="s">
        <v>167</v>
      </c>
      <c r="D8" s="274" t="s">
        <v>141</v>
      </c>
      <c r="E8" s="274" t="s">
        <v>1245</v>
      </c>
      <c r="F8" s="274" t="s">
        <v>1303</v>
      </c>
      <c r="G8" s="274" t="s">
        <v>1579</v>
      </c>
      <c r="H8" s="274" t="s">
        <v>1614</v>
      </c>
      <c r="I8" s="274" t="s">
        <v>1613</v>
      </c>
    </row>
    <row r="9" spans="1:9" ht="15" customHeight="1">
      <c r="A9" s="140">
        <v>1</v>
      </c>
      <c r="B9" s="152" t="s">
        <v>214</v>
      </c>
      <c r="C9" s="444">
        <v>0</v>
      </c>
      <c r="D9" s="141" t="s">
        <v>139</v>
      </c>
      <c r="E9" s="135" t="e">
        <f>(InvulGlas[[#This Row],[Prijs excl. BTW]]*Tariefsopbouw!$I$37)+InvulGlas[[#This Row],[Prijs excl. BTW]]</f>
        <v>#DIV/0!</v>
      </c>
      <c r="F9" s="135" t="e">
        <f>E9*Tariefsopbouw!$K$37+Glasbewassing!E9</f>
        <v>#DIV/0!</v>
      </c>
      <c r="G9" s="135" t="e">
        <f>F9*Tariefsopbouw!$M$37+Glasbewassing!F9</f>
        <v>#DIV/0!</v>
      </c>
      <c r="H9" s="135" t="e">
        <f>G9*Tariefsopbouw!$O$37+Glasbewassing!G9</f>
        <v>#DIV/0!</v>
      </c>
      <c r="I9" s="135" t="e">
        <f>H9*Tariefsopbouw!$Q$37+Glasbewassing!H9</f>
        <v>#DIV/0!</v>
      </c>
    </row>
    <row r="10" spans="1:9" ht="15" customHeight="1">
      <c r="A10" s="140">
        <v>2</v>
      </c>
      <c r="B10" s="152" t="s">
        <v>138</v>
      </c>
      <c r="C10" s="444">
        <v>0</v>
      </c>
      <c r="D10" s="141" t="s">
        <v>139</v>
      </c>
      <c r="E10" s="135" t="e">
        <f>(InvulGlas[[#This Row],[Prijs excl. BTW]]*Tariefsopbouw!$I$37)+InvulGlas[[#This Row],[Prijs excl. BTW]]</f>
        <v>#DIV/0!</v>
      </c>
      <c r="F10" s="135" t="e">
        <f>E10*Tariefsopbouw!$K$37+Glasbewassing!E10</f>
        <v>#DIV/0!</v>
      </c>
      <c r="G10" s="135" t="e">
        <f>F10*Tariefsopbouw!$M$37+Glasbewassing!F10</f>
        <v>#DIV/0!</v>
      </c>
      <c r="H10" s="135" t="e">
        <f>G10*Tariefsopbouw!$O$37+Glasbewassing!G10</f>
        <v>#DIV/0!</v>
      </c>
      <c r="I10" s="135" t="e">
        <f>H10*Tariefsopbouw!$Q$37+Glasbewassing!H10</f>
        <v>#DIV/0!</v>
      </c>
    </row>
    <row r="11" spans="1:9" ht="15" customHeight="1">
      <c r="A11" s="140">
        <v>3</v>
      </c>
      <c r="B11" s="152" t="s">
        <v>140</v>
      </c>
      <c r="C11" s="444">
        <v>0</v>
      </c>
      <c r="D11" s="141" t="s">
        <v>139</v>
      </c>
      <c r="E11" s="135" t="e">
        <f>(InvulGlas[[#This Row],[Prijs excl. BTW]]*Tariefsopbouw!$I$37)+InvulGlas[[#This Row],[Prijs excl. BTW]]</f>
        <v>#DIV/0!</v>
      </c>
      <c r="F11" s="135" t="e">
        <f>E11*Tariefsopbouw!$K$37+Glasbewassing!E11</f>
        <v>#DIV/0!</v>
      </c>
      <c r="G11" s="135" t="e">
        <f>F11*Tariefsopbouw!$M$37+Glasbewassing!F11</f>
        <v>#DIV/0!</v>
      </c>
      <c r="H11" s="135" t="e">
        <f>G11*Tariefsopbouw!$O$37+Glasbewassing!G11</f>
        <v>#DIV/0!</v>
      </c>
      <c r="I11" s="135" t="e">
        <f>H11*Tariefsopbouw!$Q$37+Glasbewassing!H11</f>
        <v>#DIV/0!</v>
      </c>
    </row>
    <row r="12" spans="1:9" ht="15" customHeight="1">
      <c r="A12" s="140">
        <v>4</v>
      </c>
      <c r="B12" s="152" t="s">
        <v>1267</v>
      </c>
      <c r="C12" s="444">
        <v>0</v>
      </c>
      <c r="D12" s="141" t="s">
        <v>139</v>
      </c>
      <c r="E12" s="135" t="e">
        <f>(InvulGlas[[#This Row],[Prijs excl. BTW]]*Tariefsopbouw!$I$37)+InvulGlas[[#This Row],[Prijs excl. BTW]]</f>
        <v>#DIV/0!</v>
      </c>
      <c r="F12" s="135" t="e">
        <f>E12*Tariefsopbouw!$K$37+Glasbewassing!E12</f>
        <v>#DIV/0!</v>
      </c>
      <c r="G12" s="135" t="e">
        <f>F12*Tariefsopbouw!$M$37+Glasbewassing!F12</f>
        <v>#DIV/0!</v>
      </c>
      <c r="H12" s="135" t="e">
        <f>G12*Tariefsopbouw!$O$37+Glasbewassing!G12</f>
        <v>#DIV/0!</v>
      </c>
      <c r="I12" s="135" t="e">
        <f>H12*Tariefsopbouw!$Q$37+Glasbewassing!H12</f>
        <v>#DIV/0!</v>
      </c>
    </row>
    <row r="13" spans="1:9" ht="15" customHeight="1">
      <c r="A13" s="140">
        <v>5</v>
      </c>
      <c r="B13" s="152" t="s">
        <v>213</v>
      </c>
      <c r="C13" s="444">
        <v>0</v>
      </c>
      <c r="D13" s="141" t="s">
        <v>139</v>
      </c>
      <c r="E13" s="135" t="e">
        <f>(InvulGlas[[#This Row],[Prijs excl. BTW]]*Tariefsopbouw!$I$37)+InvulGlas[[#This Row],[Prijs excl. BTW]]</f>
        <v>#DIV/0!</v>
      </c>
      <c r="F13" s="135" t="e">
        <f>E13*Tariefsopbouw!$K$37+Glasbewassing!E13</f>
        <v>#DIV/0!</v>
      </c>
      <c r="G13" s="135" t="e">
        <f>F13*Tariefsopbouw!$M$37+Glasbewassing!F13</f>
        <v>#DIV/0!</v>
      </c>
      <c r="H13" s="135" t="e">
        <f>G13*Tariefsopbouw!$O$37+Glasbewassing!G13</f>
        <v>#DIV/0!</v>
      </c>
      <c r="I13" s="135" t="e">
        <f>H13*Tariefsopbouw!$Q$37+Glasbewassing!H13</f>
        <v>#DIV/0!</v>
      </c>
    </row>
    <row r="14" spans="1:9" ht="15" customHeight="1">
      <c r="A14" s="140">
        <v>6</v>
      </c>
      <c r="B14" s="152" t="s">
        <v>1266</v>
      </c>
      <c r="C14" s="444">
        <v>0</v>
      </c>
      <c r="D14" s="141" t="s">
        <v>139</v>
      </c>
      <c r="E14" s="135" t="e">
        <f>(InvulGlas[[#This Row],[Prijs excl. BTW]]*Tariefsopbouw!$I$37)+InvulGlas[[#This Row],[Prijs excl. BTW]]</f>
        <v>#DIV/0!</v>
      </c>
      <c r="F14" s="135" t="e">
        <f>E14*Tariefsopbouw!$K$37+Glasbewassing!E14</f>
        <v>#DIV/0!</v>
      </c>
      <c r="G14" s="135" t="e">
        <f>F14*Tariefsopbouw!$M$37+Glasbewassing!F14</f>
        <v>#DIV/0!</v>
      </c>
      <c r="H14" s="135" t="e">
        <f>G14*Tariefsopbouw!$O$37+Glasbewassing!G14</f>
        <v>#DIV/0!</v>
      </c>
      <c r="I14" s="135" t="e">
        <f>H14*Tariefsopbouw!$Q$37+Glasbewassing!H14</f>
        <v>#DIV/0!</v>
      </c>
    </row>
    <row r="15" spans="1:9" ht="15" customHeight="1">
      <c r="A15" s="140">
        <v>7</v>
      </c>
      <c r="B15" s="152" t="s">
        <v>1268</v>
      </c>
      <c r="C15" s="444">
        <v>0</v>
      </c>
      <c r="D15" s="141" t="s">
        <v>139</v>
      </c>
      <c r="E15" s="135" t="e">
        <f>(InvulGlas[[#This Row],[Prijs excl. BTW]]*Tariefsopbouw!$I$37)+InvulGlas[[#This Row],[Prijs excl. BTW]]</f>
        <v>#DIV/0!</v>
      </c>
      <c r="F15" s="135" t="e">
        <f>E15*Tariefsopbouw!$K$37+Glasbewassing!E15</f>
        <v>#DIV/0!</v>
      </c>
      <c r="G15" s="135" t="e">
        <f>F15*Tariefsopbouw!$M$37+Glasbewassing!F15</f>
        <v>#DIV/0!</v>
      </c>
      <c r="H15" s="135" t="e">
        <f>G15*Tariefsopbouw!$O$37+Glasbewassing!G15</f>
        <v>#DIV/0!</v>
      </c>
      <c r="I15" s="135" t="e">
        <f>H15*Tariefsopbouw!$Q$37+Glasbewassing!H15</f>
        <v>#DIV/0!</v>
      </c>
    </row>
    <row r="16" spans="1:9" ht="15" customHeight="1">
      <c r="A16" s="140" t="s">
        <v>147</v>
      </c>
      <c r="B16" s="152" t="s">
        <v>143</v>
      </c>
      <c r="C16" s="444">
        <v>0</v>
      </c>
      <c r="D16" s="141" t="s">
        <v>1584</v>
      </c>
      <c r="E16" s="135" t="e">
        <f>(InvulGlas[[#This Row],[Prijs excl. BTW]]*Tariefsopbouw!$I$37)+InvulGlas[[#This Row],[Prijs excl. BTW]]</f>
        <v>#DIV/0!</v>
      </c>
      <c r="F16" s="135" t="e">
        <f>E16*Tariefsopbouw!$K$37+Glasbewassing!E16</f>
        <v>#DIV/0!</v>
      </c>
      <c r="G16" s="135" t="e">
        <f>F16*Tariefsopbouw!$M$37+Glasbewassing!F16</f>
        <v>#DIV/0!</v>
      </c>
      <c r="H16" s="135" t="e">
        <f>G16*Tariefsopbouw!$O$37+Glasbewassing!G16</f>
        <v>#DIV/0!</v>
      </c>
      <c r="I16" s="135" t="e">
        <f>H16*Tariefsopbouw!$Q$37+Glasbewassing!H16</f>
        <v>#DIV/0!</v>
      </c>
    </row>
    <row r="17" spans="1:9" ht="15" customHeight="1">
      <c r="A17" s="140" t="s">
        <v>148</v>
      </c>
      <c r="B17" s="152" t="s">
        <v>144</v>
      </c>
      <c r="C17" s="444">
        <v>0</v>
      </c>
      <c r="D17" s="141" t="s">
        <v>1584</v>
      </c>
      <c r="E17" s="135" t="e">
        <f>(InvulGlas[[#This Row],[Prijs excl. BTW]]*Tariefsopbouw!$I$37)+InvulGlas[[#This Row],[Prijs excl. BTW]]</f>
        <v>#DIV/0!</v>
      </c>
      <c r="F17" s="135" t="e">
        <f>E17*Tariefsopbouw!$K$37+Glasbewassing!E17</f>
        <v>#DIV/0!</v>
      </c>
      <c r="G17" s="135" t="e">
        <f>F17*Tariefsopbouw!$M$37+Glasbewassing!F17</f>
        <v>#DIV/0!</v>
      </c>
      <c r="H17" s="135" t="e">
        <f>G17*Tariefsopbouw!$O$37+Glasbewassing!G17</f>
        <v>#DIV/0!</v>
      </c>
      <c r="I17" s="135" t="e">
        <f>H17*Tariefsopbouw!$Q$37+Glasbewassing!H17</f>
        <v>#DIV/0!</v>
      </c>
    </row>
    <row r="18" spans="1:9" ht="15" customHeight="1">
      <c r="A18" s="140" t="s">
        <v>149</v>
      </c>
      <c r="B18" s="152" t="s">
        <v>145</v>
      </c>
      <c r="C18" s="444">
        <v>0</v>
      </c>
      <c r="D18" s="141" t="s">
        <v>1584</v>
      </c>
      <c r="E18" s="135" t="e">
        <f>(InvulGlas[[#This Row],[Prijs excl. BTW]]*Tariefsopbouw!$I$37)+InvulGlas[[#This Row],[Prijs excl. BTW]]</f>
        <v>#DIV/0!</v>
      </c>
      <c r="F18" s="135" t="e">
        <f>E18*Tariefsopbouw!$K$37+Glasbewassing!E18</f>
        <v>#DIV/0!</v>
      </c>
      <c r="G18" s="135" t="e">
        <f>F18*Tariefsopbouw!$M$37+Glasbewassing!F18</f>
        <v>#DIV/0!</v>
      </c>
      <c r="H18" s="135" t="e">
        <f>G18*Tariefsopbouw!$O$37+Glasbewassing!G18</f>
        <v>#DIV/0!</v>
      </c>
      <c r="I18" s="135" t="e">
        <f>H18*Tariefsopbouw!$Q$37+Glasbewassing!H18</f>
        <v>#DIV/0!</v>
      </c>
    </row>
    <row r="19" spans="1:9" ht="15" customHeight="1">
      <c r="A19" s="140" t="s">
        <v>228</v>
      </c>
      <c r="B19" s="152" t="s">
        <v>229</v>
      </c>
      <c r="C19" s="444">
        <v>0</v>
      </c>
      <c r="D19" s="141" t="s">
        <v>1584</v>
      </c>
      <c r="E19" s="135" t="e">
        <f>(InvulGlas[[#This Row],[Prijs excl. BTW]]*Tariefsopbouw!$I$37)+InvulGlas[[#This Row],[Prijs excl. BTW]]</f>
        <v>#DIV/0!</v>
      </c>
      <c r="F19" s="135" t="e">
        <f>E19*Tariefsopbouw!$K$37+Glasbewassing!E19</f>
        <v>#DIV/0!</v>
      </c>
      <c r="G19" s="135" t="e">
        <f>F19*Tariefsopbouw!$M$37+Glasbewassing!F19</f>
        <v>#DIV/0!</v>
      </c>
      <c r="H19" s="135" t="e">
        <f>G19*Tariefsopbouw!$O$37+Glasbewassing!G19</f>
        <v>#DIV/0!</v>
      </c>
      <c r="I19" s="135" t="e">
        <f>H19*Tariefsopbouw!$Q$37+Glasbewassing!H19</f>
        <v>#DIV/0!</v>
      </c>
    </row>
    <row r="20" spans="1:9" ht="15" customHeight="1">
      <c r="C20" s="126"/>
      <c r="D20" s="126"/>
    </row>
    <row r="21" spans="1:9" s="153" customFormat="1" ht="26.25" customHeight="1">
      <c r="A21" s="274" t="s">
        <v>197</v>
      </c>
      <c r="B21" s="275" t="s">
        <v>135</v>
      </c>
      <c r="C21" s="276" t="s">
        <v>199</v>
      </c>
      <c r="D21" s="274" t="s">
        <v>136</v>
      </c>
      <c r="E21" s="274" t="s">
        <v>146</v>
      </c>
      <c r="F21" s="274" t="s">
        <v>117</v>
      </c>
      <c r="G21" s="274" t="s">
        <v>137</v>
      </c>
      <c r="H21" s="274" t="s">
        <v>1260</v>
      </c>
      <c r="I21" s="274" t="s">
        <v>2000</v>
      </c>
    </row>
    <row r="22" spans="1:9" ht="15" customHeight="1">
      <c r="A22" s="140">
        <v>1</v>
      </c>
      <c r="B22" s="113" t="str">
        <f>VLOOKUP(OverzichtGlas[[#This Row],[Code Locatie]],Totalisatie!$A$7:$B$13,2,FALSE)</f>
        <v>IKC Kameleon</v>
      </c>
      <c r="C22" s="140">
        <v>1</v>
      </c>
      <c r="D22" s="142" t="str">
        <f>IF(Glasbewassing!$C22&gt;0,VLOOKUP(Glasbewassing!$C22,$A$8:$B$19,2,FALSE),"Hier vult u de inzet van eventuele hoogwerkers in")</f>
        <v>Gevelglas binnenzijde</v>
      </c>
      <c r="E22" s="31">
        <v>380.01</v>
      </c>
      <c r="F22" s="143">
        <v>2</v>
      </c>
      <c r="G22" s="145">
        <f>IF(C22&gt;0,VLOOKUP(OverzichtGlas[[#This Row],[Code taak]],InvulGlas[],3,0)*E22*F22,0)</f>
        <v>0</v>
      </c>
      <c r="H22" s="145">
        <f>OverzichtGlas[[#This Row],[Kosten/jaar excl. BTW]]*1.21</f>
        <v>0</v>
      </c>
      <c r="I22" s="140"/>
    </row>
    <row r="23" spans="1:9" ht="15" customHeight="1">
      <c r="A23" s="140">
        <v>1</v>
      </c>
      <c r="B23" s="113" t="str">
        <f>VLOOKUP(OverzichtGlas[[#This Row],[Code Locatie]],Totalisatie!$A$7:$B$13,2,FALSE)</f>
        <v>IKC Kameleon</v>
      </c>
      <c r="C23" s="140">
        <v>2</v>
      </c>
      <c r="D23" s="142" t="str">
        <f>IF(Glasbewassing!$C23&gt;0,VLOOKUP(Glasbewassing!$C23,$A$8:$B$19,2,FALSE),"Hier vult u de inzet van eventuele hoogwerkers in")</f>
        <v>Gevelglas buitenzijde</v>
      </c>
      <c r="E23" s="31">
        <v>380.01</v>
      </c>
      <c r="F23" s="143">
        <v>2</v>
      </c>
      <c r="G23" s="145">
        <f>IF(C23&gt;0,VLOOKUP(OverzichtGlas[[#This Row],[Code taak]],InvulGlas[],3,0)*E23*F23,0)</f>
        <v>0</v>
      </c>
      <c r="H23" s="145">
        <f>OverzichtGlas[[#This Row],[Kosten/jaar excl. BTW]]*1.21</f>
        <v>0</v>
      </c>
      <c r="I23" s="140"/>
    </row>
    <row r="24" spans="1:9" ht="15" customHeight="1">
      <c r="A24" s="140">
        <v>1</v>
      </c>
      <c r="B24" s="113" t="str">
        <f>VLOOKUP(OverzichtGlas[[#This Row],[Code Locatie]],Totalisatie!$A$7:$B$13,2,FALSE)</f>
        <v>IKC Kameleon</v>
      </c>
      <c r="C24" s="140">
        <v>3</v>
      </c>
      <c r="D24" s="142" t="str">
        <f>IF(Glasbewassing!$C24&gt;0,VLOOKUP(Glasbewassing!$C24,$A$8:$B$19,2,FALSE),"Hier vult u de inzet van eventuele hoogwerkers in")</f>
        <v>Separatieglas (enkel gemeten, dubbel te wassen)</v>
      </c>
      <c r="E24" s="31">
        <v>0</v>
      </c>
      <c r="F24" s="143">
        <v>2</v>
      </c>
      <c r="G24" s="145">
        <f>IF(C24&gt;0,VLOOKUP(OverzichtGlas[[#This Row],[Code taak]],InvulGlas[],3,0)*E24*F24,0)</f>
        <v>0</v>
      </c>
      <c r="H24" s="145">
        <f>OverzichtGlas[[#This Row],[Kosten/jaar excl. BTW]]*1.21</f>
        <v>0</v>
      </c>
      <c r="I24" s="140" t="s">
        <v>1970</v>
      </c>
    </row>
    <row r="25" spans="1:9" ht="15" customHeight="1">
      <c r="A25" s="140">
        <v>1</v>
      </c>
      <c r="B25" s="113" t="str">
        <f>VLOOKUP(OverzichtGlas[[#This Row],[Code Locatie]],Totalisatie!$A$7:$B$13,2,FALSE)</f>
        <v>IKC Kameleon</v>
      </c>
      <c r="C25" s="445"/>
      <c r="D25" s="132" t="str">
        <f>IF(Glasbewassing!$C25&gt;0,VLOOKUP(Glasbewassing!$C25,$A$8:$B$19,2,FALSE),"Hier vult u de inzet van eventuele hoogwerkers in")</f>
        <v>Hier vult u de inzet van eventuele hoogwerkers in</v>
      </c>
      <c r="E25" s="446"/>
      <c r="F25" s="143">
        <v>2</v>
      </c>
      <c r="G25" s="145">
        <f>IF(C25&gt;0,VLOOKUP(OverzichtGlas[[#This Row],[Code taak]],InvulGlas[],3,0)*E25*F25,0)</f>
        <v>0</v>
      </c>
      <c r="H25" s="145">
        <f>OverzichtGlas[[#This Row],[Kosten/jaar excl. BTW]]*1.21</f>
        <v>0</v>
      </c>
      <c r="I25" s="140"/>
    </row>
    <row r="26" spans="1:9" ht="15" customHeight="1">
      <c r="A26" s="140">
        <v>1</v>
      </c>
      <c r="B26" s="113" t="str">
        <f>VLOOKUP(OverzichtGlas[[#This Row],[Code Locatie]],Totalisatie!$A$7:$B$13,2,FALSE)</f>
        <v>IKC Kameleon</v>
      </c>
      <c r="C26" s="445"/>
      <c r="D26" s="132" t="str">
        <f>IF(Glasbewassing!$C26&gt;0,VLOOKUP(Glasbewassing!$C26,$A$8:$B$19,2,FALSE),"Hier vult u de inzet van eventuele hoogwerkers in")</f>
        <v>Hier vult u de inzet van eventuele hoogwerkers in</v>
      </c>
      <c r="E26" s="446"/>
      <c r="F26" s="143">
        <v>2</v>
      </c>
      <c r="G26" s="145">
        <f>IF(C26&gt;0,VLOOKUP(OverzichtGlas[[#This Row],[Code taak]],InvulGlas[],3,0)*E26*F26,0)</f>
        <v>0</v>
      </c>
      <c r="H26" s="145">
        <f>OverzichtGlas[[#This Row],[Kosten/jaar excl. BTW]]*1.21</f>
        <v>0</v>
      </c>
      <c r="I26" s="140"/>
    </row>
    <row r="27" spans="1:9" ht="15" customHeight="1">
      <c r="A27" s="140">
        <v>2</v>
      </c>
      <c r="B27" s="113" t="str">
        <f>VLOOKUP(OverzichtGlas[[#This Row],[Code Locatie]],Totalisatie!$A$7:$B$13,2,FALSE)</f>
        <v>IKC De Hoge Hoeve</v>
      </c>
      <c r="C27" s="140">
        <v>1</v>
      </c>
      <c r="D27" s="132" t="str">
        <f>IF(Glasbewassing!$C27&gt;0,VLOOKUP(Glasbewassing!$C27,$A$8:$B$19,2,FALSE),"Hier vult u de inzet van eventuele hoogwerkers in")</f>
        <v>Gevelglas binnenzijde</v>
      </c>
      <c r="E27" s="143">
        <v>400</v>
      </c>
      <c r="F27" s="143">
        <v>2</v>
      </c>
      <c r="G27" s="145">
        <f>IF(C27&gt;0,VLOOKUP(OverzichtGlas[[#This Row],[Code taak]],InvulGlas[],3,0)*E27*F27,0)</f>
        <v>0</v>
      </c>
      <c r="H27" s="145">
        <f>OverzichtGlas[[#This Row],[Kosten/jaar excl. BTW]]*1.21</f>
        <v>0</v>
      </c>
      <c r="I27" s="140" t="s">
        <v>1972</v>
      </c>
    </row>
    <row r="28" spans="1:9" ht="15" customHeight="1">
      <c r="A28" s="140">
        <v>2</v>
      </c>
      <c r="B28" s="113" t="str">
        <f>VLOOKUP(OverzichtGlas[[#This Row],[Code Locatie]],Totalisatie!$A$7:$B$13,2,FALSE)</f>
        <v>IKC De Hoge Hoeve</v>
      </c>
      <c r="C28" s="140">
        <v>2</v>
      </c>
      <c r="D28" s="132" t="str">
        <f>IF(Glasbewassing!$C28&gt;0,VLOOKUP(Glasbewassing!$C28,$A$8:$B$19,2,FALSE),"Hier vult u de inzet van eventuele hoogwerkers in")</f>
        <v>Gevelglas buitenzijde</v>
      </c>
      <c r="E28" s="143">
        <v>400</v>
      </c>
      <c r="F28" s="143">
        <v>2</v>
      </c>
      <c r="G28" s="145">
        <f>IF(C28&gt;0,VLOOKUP(OverzichtGlas[[#This Row],[Code taak]],InvulGlas[],3,0)*E28*F28,0)</f>
        <v>0</v>
      </c>
      <c r="H28" s="145">
        <f>OverzichtGlas[[#This Row],[Kosten/jaar excl. BTW]]*1.21</f>
        <v>0</v>
      </c>
      <c r="I28" s="140" t="s">
        <v>1972</v>
      </c>
    </row>
    <row r="29" spans="1:9" ht="15" customHeight="1">
      <c r="A29" s="140">
        <v>2</v>
      </c>
      <c r="B29" s="113" t="str">
        <f>VLOOKUP(OverzichtGlas[[#This Row],[Code Locatie]],Totalisatie!$A$7:$B$13,2,FALSE)</f>
        <v>IKC De Hoge Hoeve</v>
      </c>
      <c r="C29" s="140">
        <v>3</v>
      </c>
      <c r="D29" s="132" t="str">
        <f>IF(Glasbewassing!$C29&gt;0,VLOOKUP(Glasbewassing!$C29,$A$8:$B$19,2,FALSE),"Hier vult u de inzet van eventuele hoogwerkers in")</f>
        <v>Separatieglas (enkel gemeten, dubbel te wassen)</v>
      </c>
      <c r="E29" s="143">
        <v>150</v>
      </c>
      <c r="F29" s="143">
        <v>2</v>
      </c>
      <c r="G29" s="145">
        <f>IF(C29&gt;0,VLOOKUP(OverzichtGlas[[#This Row],[Code taak]],InvulGlas[],3,0)*E29*F29,0)</f>
        <v>0</v>
      </c>
      <c r="H29" s="145">
        <f>OverzichtGlas[[#This Row],[Kosten/jaar excl. BTW]]*1.21</f>
        <v>0</v>
      </c>
      <c r="I29" s="140" t="s">
        <v>1972</v>
      </c>
    </row>
    <row r="30" spans="1:9" ht="15" customHeight="1">
      <c r="A30" s="140">
        <v>2</v>
      </c>
      <c r="B30" s="113" t="str">
        <f>VLOOKUP(OverzichtGlas[[#This Row],[Code Locatie]],Totalisatie!$A$7:$B$13,2,FALSE)</f>
        <v>IKC De Hoge Hoeve</v>
      </c>
      <c r="C30" s="445"/>
      <c r="D30" s="132" t="str">
        <f>IF(Glasbewassing!$C30&gt;0,VLOOKUP(Glasbewassing!$C30,$A$8:$B$19,2,FALSE),"Hier vult u de inzet van eventuele hoogwerkers in")</f>
        <v>Hier vult u de inzet van eventuele hoogwerkers in</v>
      </c>
      <c r="E30" s="446"/>
      <c r="F30" s="143">
        <v>2</v>
      </c>
      <c r="G30" s="145">
        <f>IF(C30&gt;0,VLOOKUP(OverzichtGlas[[#This Row],[Code taak]],InvulGlas[],3,0)*E30*F30,0)</f>
        <v>0</v>
      </c>
      <c r="H30" s="145">
        <f>OverzichtGlas[[#This Row],[Kosten/jaar excl. BTW]]*1.21</f>
        <v>0</v>
      </c>
      <c r="I30" s="140"/>
    </row>
    <row r="31" spans="1:9" ht="15" customHeight="1">
      <c r="A31" s="140">
        <v>2</v>
      </c>
      <c r="B31" s="113" t="str">
        <f>VLOOKUP(OverzichtGlas[[#This Row],[Code Locatie]],Totalisatie!$A$7:$B$13,2,FALSE)</f>
        <v>IKC De Hoge Hoeve</v>
      </c>
      <c r="C31" s="445"/>
      <c r="D31" s="132" t="str">
        <f>IF(Glasbewassing!$C31&gt;0,VLOOKUP(Glasbewassing!$C31,$A$8:$B$19,2,FALSE),"Hier vult u de inzet van eventuele hoogwerkers in")</f>
        <v>Hier vult u de inzet van eventuele hoogwerkers in</v>
      </c>
      <c r="E31" s="446"/>
      <c r="F31" s="143">
        <v>2</v>
      </c>
      <c r="G31" s="145">
        <f>IF(C31&gt;0,VLOOKUP(OverzichtGlas[[#This Row],[Code taak]],InvulGlas[],3,0)*E31*F31,0)</f>
        <v>0</v>
      </c>
      <c r="H31" s="145">
        <f>OverzichtGlas[[#This Row],[Kosten/jaar excl. BTW]]*1.21</f>
        <v>0</v>
      </c>
      <c r="I31" s="140"/>
    </row>
    <row r="32" spans="1:9" ht="15" customHeight="1">
      <c r="A32" s="140">
        <v>3</v>
      </c>
      <c r="B32" s="113" t="str">
        <f>VLOOKUP(OverzichtGlas[[#This Row],[Code Locatie]],Totalisatie!$A$7:$B$13,2,FALSE)</f>
        <v>Sport IKC Het Startblok</v>
      </c>
      <c r="C32" s="140">
        <v>1</v>
      </c>
      <c r="D32" s="132" t="str">
        <f>IF(Glasbewassing!$C32&gt;0,VLOOKUP(Glasbewassing!$C32,$A$8:$B$19,2,FALSE),"Hier vult u de inzet van eventuele hoogwerkers in")</f>
        <v>Gevelglas binnenzijde</v>
      </c>
      <c r="E32" s="143">
        <v>400</v>
      </c>
      <c r="F32" s="143">
        <v>2</v>
      </c>
      <c r="G32" s="145">
        <f>IF(C32&gt;0,VLOOKUP(OverzichtGlas[[#This Row],[Code taak]],InvulGlas[],3,0)*E32*F32,0)</f>
        <v>0</v>
      </c>
      <c r="H32" s="145">
        <f>OverzichtGlas[[#This Row],[Kosten/jaar excl. BTW]]*1.21</f>
        <v>0</v>
      </c>
      <c r="I32" s="140" t="s">
        <v>1972</v>
      </c>
    </row>
    <row r="33" spans="1:9" ht="15" customHeight="1">
      <c r="A33" s="140">
        <v>3</v>
      </c>
      <c r="B33" s="113" t="str">
        <f>VLOOKUP(OverzichtGlas[[#This Row],[Code Locatie]],Totalisatie!$A$7:$B$13,2,FALSE)</f>
        <v>Sport IKC Het Startblok</v>
      </c>
      <c r="C33" s="140">
        <v>2</v>
      </c>
      <c r="D33" s="132" t="str">
        <f>IF(Glasbewassing!$C33&gt;0,VLOOKUP(Glasbewassing!$C33,$A$8:$B$19,2,FALSE),"Hier vult u de inzet van eventuele hoogwerkers in")</f>
        <v>Gevelglas buitenzijde</v>
      </c>
      <c r="E33" s="143">
        <v>400</v>
      </c>
      <c r="F33" s="143">
        <v>2</v>
      </c>
      <c r="G33" s="145">
        <f>IF(C33&gt;0,VLOOKUP(OverzichtGlas[[#This Row],[Code taak]],InvulGlas[],3,0)*E33*F33,0)</f>
        <v>0</v>
      </c>
      <c r="H33" s="145">
        <f>OverzichtGlas[[#This Row],[Kosten/jaar excl. BTW]]*1.21</f>
        <v>0</v>
      </c>
      <c r="I33" s="140" t="s">
        <v>1972</v>
      </c>
    </row>
    <row r="34" spans="1:9" ht="15" customHeight="1">
      <c r="A34" s="140">
        <v>3</v>
      </c>
      <c r="B34" s="113" t="str">
        <f>VLOOKUP(OverzichtGlas[[#This Row],[Code Locatie]],Totalisatie!$A$7:$B$13,2,FALSE)</f>
        <v>Sport IKC Het Startblok</v>
      </c>
      <c r="C34" s="140">
        <v>3</v>
      </c>
      <c r="D34" s="132" t="str">
        <f>IF(Glasbewassing!$C34&gt;0,VLOOKUP(Glasbewassing!$C34,$A$8:$B$19,2,FALSE),"Hier vult u de inzet van eventuele hoogwerkers in")</f>
        <v>Separatieglas (enkel gemeten, dubbel te wassen)</v>
      </c>
      <c r="E34" s="143">
        <v>150</v>
      </c>
      <c r="F34" s="143">
        <v>2</v>
      </c>
      <c r="G34" s="145">
        <f>IF(C34&gt;0,VLOOKUP(OverzichtGlas[[#This Row],[Code taak]],InvulGlas[],3,0)*E34*F34,0)</f>
        <v>0</v>
      </c>
      <c r="H34" s="145">
        <f>OverzichtGlas[[#This Row],[Kosten/jaar excl. BTW]]*1.21</f>
        <v>0</v>
      </c>
      <c r="I34" s="140" t="s">
        <v>1972</v>
      </c>
    </row>
    <row r="35" spans="1:9" ht="15" customHeight="1">
      <c r="A35" s="140">
        <v>3</v>
      </c>
      <c r="B35" s="113" t="str">
        <f>VLOOKUP(OverzichtGlas[[#This Row],[Code Locatie]],Totalisatie!$A$7:$B$13,2,FALSE)</f>
        <v>Sport IKC Het Startblok</v>
      </c>
      <c r="C35" s="445"/>
      <c r="D35" s="132" t="str">
        <f>IF(Glasbewassing!$C35&gt;0,VLOOKUP(Glasbewassing!$C35,$A$8:$B$19,2,FALSE),"Hier vult u de inzet van eventuele hoogwerkers in")</f>
        <v>Hier vult u de inzet van eventuele hoogwerkers in</v>
      </c>
      <c r="E35" s="446"/>
      <c r="F35" s="143">
        <v>2</v>
      </c>
      <c r="G35" s="145">
        <f>IF(C35&gt;0,VLOOKUP(OverzichtGlas[[#This Row],[Code taak]],InvulGlas[],3,0)*E35*F35,0)</f>
        <v>0</v>
      </c>
      <c r="H35" s="145">
        <f>OverzichtGlas[[#This Row],[Kosten/jaar excl. BTW]]*1.21</f>
        <v>0</v>
      </c>
      <c r="I35" s="140"/>
    </row>
    <row r="36" spans="1:9" ht="15" customHeight="1">
      <c r="A36" s="140">
        <v>3</v>
      </c>
      <c r="B36" s="113" t="str">
        <f>VLOOKUP(OverzichtGlas[[#This Row],[Code Locatie]],Totalisatie!$A$7:$B$13,2,FALSE)</f>
        <v>Sport IKC Het Startblok</v>
      </c>
      <c r="C36" s="445"/>
      <c r="D36" s="132" t="str">
        <f>IF(Glasbewassing!$C36&gt;0,VLOOKUP(Glasbewassing!$C36,$A$8:$B$19,2,FALSE),"Hier vult u de inzet van eventuele hoogwerkers in")</f>
        <v>Hier vult u de inzet van eventuele hoogwerkers in</v>
      </c>
      <c r="E36" s="446"/>
      <c r="F36" s="143">
        <v>2</v>
      </c>
      <c r="G36" s="145">
        <f>IF(C36&gt;0,VLOOKUP(OverzichtGlas[[#This Row],[Code taak]],InvulGlas[],3,0)*E36*F36,0)</f>
        <v>0</v>
      </c>
      <c r="H36" s="145">
        <f>OverzichtGlas[[#This Row],[Kosten/jaar excl. BTW]]*1.21</f>
        <v>0</v>
      </c>
      <c r="I36" s="140"/>
    </row>
    <row r="37" spans="1:9" ht="15" customHeight="1">
      <c r="A37" s="140">
        <v>4</v>
      </c>
      <c r="B37" s="113" t="str">
        <f>VLOOKUP(OverzichtGlas[[#This Row],[Code Locatie]],Totalisatie!$A$7:$B$13,2,FALSE)</f>
        <v>IKC De Brug</v>
      </c>
      <c r="C37" s="140">
        <v>1</v>
      </c>
      <c r="D37" s="132" t="str">
        <f>IF(Glasbewassing!$C37&gt;0,VLOOKUP(Glasbewassing!$C37,$A$8:$B$19,2,FALSE),"Hier vult u de inzet van eventuele hoogwerkers in")</f>
        <v>Gevelglas binnenzijde</v>
      </c>
      <c r="E37" s="143">
        <v>9.9</v>
      </c>
      <c r="F37" s="143">
        <v>2</v>
      </c>
      <c r="G37" s="145">
        <f>IF(C37&gt;0,VLOOKUP(OverzichtGlas[[#This Row],[Code taak]],InvulGlas[],3,0)*E37*F37,0)</f>
        <v>0</v>
      </c>
      <c r="H37" s="145">
        <f>OverzichtGlas[[#This Row],[Kosten/jaar excl. BTW]]*1.21</f>
        <v>0</v>
      </c>
      <c r="I37" s="140" t="s">
        <v>1805</v>
      </c>
    </row>
    <row r="38" spans="1:9" ht="15" customHeight="1">
      <c r="A38" s="140">
        <v>4</v>
      </c>
      <c r="B38" s="113" t="str">
        <f>VLOOKUP(OverzichtGlas[[#This Row],[Code Locatie]],Totalisatie!$A$7:$B$13,2,FALSE)</f>
        <v>IKC De Brug</v>
      </c>
      <c r="C38" s="140">
        <v>2</v>
      </c>
      <c r="D38" s="132" t="str">
        <f>IF(Glasbewassing!$C38&gt;0,VLOOKUP(Glasbewassing!$C38,$A$8:$B$19,2,FALSE),"Hier vult u de inzet van eventuele hoogwerkers in")</f>
        <v>Gevelglas buitenzijde</v>
      </c>
      <c r="E38" s="143">
        <v>9.9</v>
      </c>
      <c r="F38" s="143">
        <v>2</v>
      </c>
      <c r="G38" s="145">
        <f>IF(C38&gt;0,VLOOKUP(OverzichtGlas[[#This Row],[Code taak]],InvulGlas[],3,0)*E38*F38,0)</f>
        <v>0</v>
      </c>
      <c r="H38" s="145">
        <f>OverzichtGlas[[#This Row],[Kosten/jaar excl. BTW]]*1.21</f>
        <v>0</v>
      </c>
      <c r="I38" s="140" t="s">
        <v>1805</v>
      </c>
    </row>
    <row r="39" spans="1:9" ht="15" customHeight="1">
      <c r="A39" s="140">
        <v>4</v>
      </c>
      <c r="B39" s="113" t="str">
        <f>VLOOKUP(OverzichtGlas[[#This Row],[Code Locatie]],Totalisatie!$A$7:$B$13,2,FALSE)</f>
        <v>IKC De Brug</v>
      </c>
      <c r="C39" s="445"/>
      <c r="D39" s="132" t="str">
        <f>IF(Glasbewassing!$C39&gt;0,VLOOKUP(Glasbewassing!$C39,$A$8:$B$19,2,FALSE),"Hier vult u de inzet van eventuele hoogwerkers in")</f>
        <v>Hier vult u de inzet van eventuele hoogwerkers in</v>
      </c>
      <c r="E39" s="446"/>
      <c r="F39" s="143">
        <v>2</v>
      </c>
      <c r="G39" s="145">
        <f>IF(C39&gt;0,VLOOKUP(OverzichtGlas[[#This Row],[Code taak]],InvulGlas[],3,0)*E39*F39,0)</f>
        <v>0</v>
      </c>
      <c r="H39" s="145">
        <f>OverzichtGlas[[#This Row],[Kosten/jaar excl. BTW]]*1.21</f>
        <v>0</v>
      </c>
      <c r="I39" s="140"/>
    </row>
    <row r="40" spans="1:9" ht="15" customHeight="1">
      <c r="A40" s="140">
        <v>4</v>
      </c>
      <c r="B40" s="113" t="str">
        <f>VLOOKUP(OverzichtGlas[[#This Row],[Code Locatie]],Totalisatie!$A$7:$B$13,2,FALSE)</f>
        <v>IKC De Brug</v>
      </c>
      <c r="C40" s="445"/>
      <c r="D40" s="132" t="str">
        <f>IF(Glasbewassing!$C40&gt;0,VLOOKUP(Glasbewassing!$C40,$A$8:$B$19,2,FALSE),"Hier vult u de inzet van eventuele hoogwerkers in")</f>
        <v>Hier vult u de inzet van eventuele hoogwerkers in</v>
      </c>
      <c r="E40" s="446"/>
      <c r="F40" s="143">
        <v>2</v>
      </c>
      <c r="G40" s="145">
        <f>IF(C40&gt;0,VLOOKUP(OverzichtGlas[[#This Row],[Code taak]],InvulGlas[],3,0)*E40*F40,0)</f>
        <v>0</v>
      </c>
      <c r="H40" s="145">
        <f>OverzichtGlas[[#This Row],[Kosten/jaar excl. BTW]]*1.21</f>
        <v>0</v>
      </c>
      <c r="I40" s="140"/>
    </row>
    <row r="41" spans="1:9" ht="15" customHeight="1">
      <c r="A41" s="140">
        <v>5</v>
      </c>
      <c r="B41" s="113" t="str">
        <f>VLOOKUP(OverzichtGlas[[#This Row],[Code Locatie]],Totalisatie!$A$7:$B$13,2,FALSE)</f>
        <v>IKC Remigius</v>
      </c>
      <c r="C41" s="140">
        <v>1</v>
      </c>
      <c r="D41" s="132" t="str">
        <f>IF(Glasbewassing!$C41&gt;0,VLOOKUP(Glasbewassing!$C41,$A$8:$B$19,2,FALSE),"Hier vult u de inzet van eventuele hoogwerkers in")</f>
        <v>Gevelglas binnenzijde</v>
      </c>
      <c r="E41" s="143">
        <v>487.65</v>
      </c>
      <c r="F41" s="143">
        <v>2</v>
      </c>
      <c r="G41" s="145">
        <f>IF(C41&gt;0,VLOOKUP(OverzichtGlas[[#This Row],[Code taak]],InvulGlas[],3,0)*E41*F41,0)</f>
        <v>0</v>
      </c>
      <c r="H41" s="145">
        <f>OverzichtGlas[[#This Row],[Kosten/jaar excl. BTW]]*1.21</f>
        <v>0</v>
      </c>
      <c r="I41" s="140"/>
    </row>
    <row r="42" spans="1:9" ht="15" customHeight="1">
      <c r="A42" s="140">
        <v>5</v>
      </c>
      <c r="B42" s="113" t="str">
        <f>VLOOKUP(OverzichtGlas[[#This Row],[Code Locatie]],Totalisatie!$A$7:$B$13,2,FALSE)</f>
        <v>IKC Remigius</v>
      </c>
      <c r="C42" s="140">
        <v>2</v>
      </c>
      <c r="D42" s="132" t="str">
        <f>IF(Glasbewassing!$C42&gt;0,VLOOKUP(Glasbewassing!$C42,$A$8:$B$19,2,FALSE),"Hier vult u de inzet van eventuele hoogwerkers in")</f>
        <v>Gevelglas buitenzijde</v>
      </c>
      <c r="E42" s="143">
        <v>487.65</v>
      </c>
      <c r="F42" s="143">
        <v>2</v>
      </c>
      <c r="G42" s="145">
        <f>IF(C42&gt;0,VLOOKUP(OverzichtGlas[[#This Row],[Code taak]],InvulGlas[],3,0)*E42*F42,0)</f>
        <v>0</v>
      </c>
      <c r="H42" s="145">
        <f>OverzichtGlas[[#This Row],[Kosten/jaar excl. BTW]]*1.21</f>
        <v>0</v>
      </c>
      <c r="I42" s="140"/>
    </row>
    <row r="43" spans="1:9" ht="15" customHeight="1">
      <c r="A43" s="140">
        <v>5</v>
      </c>
      <c r="B43" s="113" t="str">
        <f>VLOOKUP(OverzichtGlas[[#This Row],[Code Locatie]],Totalisatie!$A$7:$B$13,2,FALSE)</f>
        <v>IKC Remigius</v>
      </c>
      <c r="C43" s="140">
        <v>3</v>
      </c>
      <c r="D43" s="132" t="str">
        <f>IF(Glasbewassing!$C43&gt;0,VLOOKUP(Glasbewassing!$C43,$A$8:$B$19,2,FALSE),"Hier vult u de inzet van eventuele hoogwerkers in")</f>
        <v>Separatieglas (enkel gemeten, dubbel te wassen)</v>
      </c>
      <c r="E43" s="143">
        <v>164.25</v>
      </c>
      <c r="F43" s="143">
        <v>2</v>
      </c>
      <c r="G43" s="145">
        <f>IF(C43&gt;0,VLOOKUP(OverzichtGlas[[#This Row],[Code taak]],InvulGlas[],3,0)*E43*F43,0)</f>
        <v>0</v>
      </c>
      <c r="H43" s="145">
        <f>OverzichtGlas[[#This Row],[Kosten/jaar excl. BTW]]*1.21</f>
        <v>0</v>
      </c>
      <c r="I43" s="140"/>
    </row>
    <row r="44" spans="1:9" ht="15" customHeight="1">
      <c r="A44" s="140">
        <v>5</v>
      </c>
      <c r="B44" s="113" t="str">
        <f>VLOOKUP(OverzichtGlas[[#This Row],[Code Locatie]],Totalisatie!$A$7:$B$13,2,FALSE)</f>
        <v>IKC Remigius</v>
      </c>
      <c r="C44" s="140">
        <v>4</v>
      </c>
      <c r="D44" s="132" t="str">
        <f>IF(Glasbewassing!$C44&gt;0,VLOOKUP(Glasbewassing!$C44,$A$8:$B$19,2,FALSE),"Hier vult u de inzet van eventuele hoogwerkers in")</f>
        <v>Beplating wassen</v>
      </c>
      <c r="E44" s="143">
        <v>7.25</v>
      </c>
      <c r="F44" s="143">
        <v>2</v>
      </c>
      <c r="G44" s="145">
        <f>IF(C44&gt;0,VLOOKUP(OverzichtGlas[[#This Row],[Code taak]],InvulGlas[],3,0)*E44*F44,0)</f>
        <v>0</v>
      </c>
      <c r="H44" s="145">
        <f>OverzichtGlas[[#This Row],[Kosten/jaar excl. BTW]]*1.21</f>
        <v>0</v>
      </c>
      <c r="I44" s="140"/>
    </row>
    <row r="45" spans="1:9" ht="15" customHeight="1">
      <c r="A45" s="140">
        <v>5</v>
      </c>
      <c r="B45" s="113" t="str">
        <f>VLOOKUP(OverzichtGlas[[#This Row],[Code Locatie]],Totalisatie!$A$7:$B$13,2,FALSE)</f>
        <v>IKC Remigius</v>
      </c>
      <c r="C45" s="445"/>
      <c r="D45" s="132" t="str">
        <f>IF(Glasbewassing!$C45&gt;0,VLOOKUP(Glasbewassing!$C45,$A$8:$B$19,2,FALSE),"Hier vult u de inzet van eventuele hoogwerkers in")</f>
        <v>Hier vult u de inzet van eventuele hoogwerkers in</v>
      </c>
      <c r="E45" s="446"/>
      <c r="F45" s="143">
        <v>2</v>
      </c>
      <c r="G45" s="145">
        <f>IF(C45&gt;0,VLOOKUP(OverzichtGlas[[#This Row],[Code taak]],InvulGlas[],3,0)*E45*F45,0)</f>
        <v>0</v>
      </c>
      <c r="H45" s="145">
        <f>OverzichtGlas[[#This Row],[Kosten/jaar excl. BTW]]*1.21</f>
        <v>0</v>
      </c>
      <c r="I45" s="140"/>
    </row>
    <row r="46" spans="1:9" ht="15" customHeight="1">
      <c r="A46" s="140">
        <v>5</v>
      </c>
      <c r="B46" s="113" t="str">
        <f>VLOOKUP(OverzichtGlas[[#This Row],[Code Locatie]],Totalisatie!$A$7:$B$13,2,FALSE)</f>
        <v>IKC Remigius</v>
      </c>
      <c r="C46" s="445"/>
      <c r="D46" s="132" t="str">
        <f>IF(Glasbewassing!$C46&gt;0,VLOOKUP(Glasbewassing!$C46,$A$8:$B$19,2,FALSE),"Hier vult u de inzet van eventuele hoogwerkers in")</f>
        <v>Hier vult u de inzet van eventuele hoogwerkers in</v>
      </c>
      <c r="E46" s="446"/>
      <c r="F46" s="143">
        <v>2</v>
      </c>
      <c r="G46" s="145">
        <f>IF(C46&gt;0,VLOOKUP(OverzichtGlas[[#This Row],[Code taak]],InvulGlas[],3,0)*E46*F46,0)</f>
        <v>0</v>
      </c>
      <c r="H46" s="145">
        <f>OverzichtGlas[[#This Row],[Kosten/jaar excl. BTW]]*1.21</f>
        <v>0</v>
      </c>
      <c r="I46" s="140"/>
    </row>
    <row r="47" spans="1:9" ht="15" customHeight="1">
      <c r="A47" s="140">
        <v>6</v>
      </c>
      <c r="B47" s="113" t="str">
        <f>VLOOKUP(OverzichtGlas[[#This Row],[Code Locatie]],Totalisatie!$A$7:$B$13,2,FALSE)</f>
        <v>IKC Joannes</v>
      </c>
      <c r="C47" s="140">
        <v>1</v>
      </c>
      <c r="D47" s="132" t="str">
        <f>IF(Glasbewassing!$C47&gt;0,VLOOKUP(Glasbewassing!$C47,$A$8:$B$19,2,FALSE),"Hier vult u de inzet van eventuele hoogwerkers in")</f>
        <v>Gevelglas binnenzijde</v>
      </c>
      <c r="E47" s="143">
        <v>400</v>
      </c>
      <c r="F47" s="143">
        <v>2</v>
      </c>
      <c r="G47" s="145">
        <f>IF(C47&gt;0,VLOOKUP(OverzichtGlas[[#This Row],[Code taak]],InvulGlas[],3,0)*E47*F47,0)</f>
        <v>0</v>
      </c>
      <c r="H47" s="145">
        <f>OverzichtGlas[[#This Row],[Kosten/jaar excl. BTW]]*1.21</f>
        <v>0</v>
      </c>
      <c r="I47" s="140" t="s">
        <v>1972</v>
      </c>
    </row>
    <row r="48" spans="1:9" ht="15" customHeight="1">
      <c r="A48" s="140">
        <v>6</v>
      </c>
      <c r="B48" s="113" t="str">
        <f>VLOOKUP(OverzichtGlas[[#This Row],[Code Locatie]],Totalisatie!$A$7:$B$13,2,FALSE)</f>
        <v>IKC Joannes</v>
      </c>
      <c r="C48" s="140">
        <v>2</v>
      </c>
      <c r="D48" s="132" t="str">
        <f>IF(Glasbewassing!$C48&gt;0,VLOOKUP(Glasbewassing!$C48,$A$8:$B$19,2,FALSE),"Hier vult u de inzet van eventuele hoogwerkers in")</f>
        <v>Gevelglas buitenzijde</v>
      </c>
      <c r="E48" s="143">
        <v>400</v>
      </c>
      <c r="F48" s="143">
        <v>2</v>
      </c>
      <c r="G48" s="145">
        <f>IF(C48&gt;0,VLOOKUP(OverzichtGlas[[#This Row],[Code taak]],InvulGlas[],3,0)*E48*F48,0)</f>
        <v>0</v>
      </c>
      <c r="H48" s="145">
        <f>OverzichtGlas[[#This Row],[Kosten/jaar excl. BTW]]*1.21</f>
        <v>0</v>
      </c>
      <c r="I48" s="140" t="s">
        <v>1972</v>
      </c>
    </row>
    <row r="49" spans="1:9" ht="15" customHeight="1">
      <c r="A49" s="140">
        <v>6</v>
      </c>
      <c r="B49" s="113" t="str">
        <f>VLOOKUP(OverzichtGlas[[#This Row],[Code Locatie]],Totalisatie!$A$7:$B$13,2,FALSE)</f>
        <v>IKC Joannes</v>
      </c>
      <c r="C49" s="140">
        <v>3</v>
      </c>
      <c r="D49" s="132" t="str">
        <f>IF(Glasbewassing!$C49&gt;0,VLOOKUP(Glasbewassing!$C49,$A$8:$B$19,2,FALSE),"Hier vult u de inzet van eventuele hoogwerkers in")</f>
        <v>Separatieglas (enkel gemeten, dubbel te wassen)</v>
      </c>
      <c r="E49" s="143">
        <v>150</v>
      </c>
      <c r="F49" s="143">
        <v>2</v>
      </c>
      <c r="G49" s="145">
        <f>IF(C49&gt;0,VLOOKUP(OverzichtGlas[[#This Row],[Code taak]],InvulGlas[],3,0)*E49*F49,0)</f>
        <v>0</v>
      </c>
      <c r="H49" s="145">
        <f>OverzichtGlas[[#This Row],[Kosten/jaar excl. BTW]]*1.21</f>
        <v>0</v>
      </c>
      <c r="I49" s="140" t="s">
        <v>1972</v>
      </c>
    </row>
    <row r="50" spans="1:9" ht="15" customHeight="1">
      <c r="A50" s="140">
        <v>6</v>
      </c>
      <c r="B50" s="141" t="str">
        <f>VLOOKUP(OverzichtGlas[[#This Row],[Code Locatie]],Totalisatie!$A$7:$B$13,2,FALSE)</f>
        <v>IKC Joannes</v>
      </c>
      <c r="C50" s="445"/>
      <c r="D50" s="142" t="str">
        <f>IF(Glasbewassing!$C50&gt;0,VLOOKUP(Glasbewassing!$C50,$A$8:$B$19,2,FALSE),"Hier vult u de inzet van eventuele hoogwerkers in")</f>
        <v>Hier vult u de inzet van eventuele hoogwerkers in</v>
      </c>
      <c r="E50" s="446"/>
      <c r="F50" s="143">
        <v>2</v>
      </c>
      <c r="G50" s="145">
        <f>IF(C50&gt;0,VLOOKUP(OverzichtGlas[[#This Row],[Code taak]],InvulGlas[],3,0)*E50*F50,0)</f>
        <v>0</v>
      </c>
      <c r="H50" s="145">
        <f>OverzichtGlas[[#This Row],[Kosten/jaar excl. BTW]]*1.21</f>
        <v>0</v>
      </c>
      <c r="I50" s="140"/>
    </row>
    <row r="51" spans="1:9" ht="15" customHeight="1">
      <c r="A51" s="140">
        <v>6</v>
      </c>
      <c r="B51" s="141" t="str">
        <f>VLOOKUP(OverzichtGlas[[#This Row],[Code Locatie]],Totalisatie!$A$7:$B$13,2,FALSE)</f>
        <v>IKC Joannes</v>
      </c>
      <c r="C51" s="445"/>
      <c r="D51" s="142" t="str">
        <f>IF(Glasbewassing!$C51&gt;0,VLOOKUP(Glasbewassing!$C51,$A$8:$B$19,2,FALSE),"Hier vult u de inzet van eventuele hoogwerkers in")</f>
        <v>Hier vult u de inzet van eventuele hoogwerkers in</v>
      </c>
      <c r="E51" s="446"/>
      <c r="F51" s="143">
        <v>2</v>
      </c>
      <c r="G51" s="145">
        <f>IF(C51&gt;0,VLOOKUP(OverzichtGlas[[#This Row],[Code taak]],InvulGlas[],3,0)*E51*F51,0)</f>
        <v>0</v>
      </c>
      <c r="H51" s="145">
        <f>OverzichtGlas[[#This Row],[Kosten/jaar excl. BTW]]*1.21</f>
        <v>0</v>
      </c>
      <c r="I51" s="140"/>
    </row>
    <row r="52" spans="1:9" ht="15" customHeight="1">
      <c r="A52" s="140">
        <v>7</v>
      </c>
      <c r="B52" s="141" t="str">
        <f>VLOOKUP(OverzichtGlas[[#This Row],[Code Locatie]],Totalisatie!$A$7:$B$13,2,FALSE)</f>
        <v>Montessori IKC De Groene Ring</v>
      </c>
      <c r="C52" s="140">
        <v>1</v>
      </c>
      <c r="D52" s="142" t="str">
        <f>IF(Glasbewassing!$C52&gt;0,VLOOKUP(Glasbewassing!$C52,$A$8:$B$19,2,FALSE),"Hier vult u de inzet van eventuele hoogwerkers in")</f>
        <v>Gevelglas binnenzijde</v>
      </c>
      <c r="E52" s="143">
        <v>272.22000000000003</v>
      </c>
      <c r="F52" s="143">
        <v>2</v>
      </c>
      <c r="G52" s="145">
        <f>IF(C52&gt;0,VLOOKUP(OverzichtGlas[[#This Row],[Code taak]],InvulGlas[],3,0)*E52*F52,0)</f>
        <v>0</v>
      </c>
      <c r="H52" s="145">
        <f>OverzichtGlas[[#This Row],[Kosten/jaar excl. BTW]]*1.21</f>
        <v>0</v>
      </c>
      <c r="I52" s="140"/>
    </row>
    <row r="53" spans="1:9" ht="15" customHeight="1">
      <c r="A53" s="140">
        <v>7</v>
      </c>
      <c r="B53" s="141" t="str">
        <f>VLOOKUP(OverzichtGlas[[#This Row],[Code Locatie]],Totalisatie!$A$7:$B$13,2,FALSE)</f>
        <v>Montessori IKC De Groene Ring</v>
      </c>
      <c r="C53" s="140">
        <v>2</v>
      </c>
      <c r="D53" s="142" t="str">
        <f>IF(Glasbewassing!$C53&gt;0,VLOOKUP(Glasbewassing!$C53,$A$8:$B$19,2,FALSE),"Hier vult u de inzet van eventuele hoogwerkers in")</f>
        <v>Gevelglas buitenzijde</v>
      </c>
      <c r="E53" s="143">
        <v>272.22000000000003</v>
      </c>
      <c r="F53" s="143">
        <v>2</v>
      </c>
      <c r="G53" s="145">
        <f>IF(C53&gt;0,VLOOKUP(OverzichtGlas[[#This Row],[Code taak]],InvulGlas[],3,0)*E53*F53,0)</f>
        <v>0</v>
      </c>
      <c r="H53" s="145">
        <f>OverzichtGlas[[#This Row],[Kosten/jaar excl. BTW]]*1.21</f>
        <v>0</v>
      </c>
      <c r="I53" s="140"/>
    </row>
    <row r="54" spans="1:9" ht="15" customHeight="1">
      <c r="A54" s="140">
        <v>7</v>
      </c>
      <c r="B54" s="141" t="str">
        <f>VLOOKUP(OverzichtGlas[[#This Row],[Code Locatie]],Totalisatie!$A$7:$B$13,2,FALSE)</f>
        <v>Montessori IKC De Groene Ring</v>
      </c>
      <c r="C54" s="140">
        <v>3</v>
      </c>
      <c r="D54" s="142" t="str">
        <f>IF(Glasbewassing!$C54&gt;0,VLOOKUP(Glasbewassing!$C54,$A$8:$B$19,2,FALSE),"Hier vult u de inzet van eventuele hoogwerkers in")</f>
        <v>Separatieglas (enkel gemeten, dubbel te wassen)</v>
      </c>
      <c r="E54" s="143">
        <v>75</v>
      </c>
      <c r="F54" s="143">
        <v>2</v>
      </c>
      <c r="G54" s="145">
        <f>IF(C54&gt;0,VLOOKUP(OverzichtGlas[[#This Row],[Code taak]],InvulGlas[],3,0)*E54*F54,0)</f>
        <v>0</v>
      </c>
      <c r="H54" s="145">
        <f>OverzichtGlas[[#This Row],[Kosten/jaar excl. BTW]]*1.21</f>
        <v>0</v>
      </c>
      <c r="I54" s="140" t="s">
        <v>1972</v>
      </c>
    </row>
    <row r="55" spans="1:9" ht="15" customHeight="1">
      <c r="A55" s="140">
        <v>7</v>
      </c>
      <c r="B55" s="141" t="str">
        <f>VLOOKUP(OverzichtGlas[[#This Row],[Code Locatie]],Totalisatie!$A$7:$B$13,2,FALSE)</f>
        <v>Montessori IKC De Groene Ring</v>
      </c>
      <c r="C55" s="445"/>
      <c r="D55" s="142" t="str">
        <f>IF(Glasbewassing!$C55&gt;0,VLOOKUP(Glasbewassing!$C55,$A$8:$B$19,2,FALSE),"Hier vult u de inzet van eventuele hoogwerkers in")</f>
        <v>Hier vult u de inzet van eventuele hoogwerkers in</v>
      </c>
      <c r="E55" s="446"/>
      <c r="F55" s="143">
        <v>2</v>
      </c>
      <c r="G55" s="145">
        <f>IF(C55&gt;0,VLOOKUP(OverzichtGlas[[#This Row],[Code taak]],InvulGlas[],3,0)*E55*F55,0)</f>
        <v>0</v>
      </c>
      <c r="H55" s="145">
        <f>OverzichtGlas[[#This Row],[Kosten/jaar excl. BTW]]*1.21</f>
        <v>0</v>
      </c>
      <c r="I55" s="140"/>
    </row>
    <row r="56" spans="1:9" ht="15" customHeight="1">
      <c r="A56" s="140">
        <v>7</v>
      </c>
      <c r="B56" s="141" t="str">
        <f>VLOOKUP(OverzichtGlas[[#This Row],[Code Locatie]],Totalisatie!$A$7:$B$13,2,FALSE)</f>
        <v>Montessori IKC De Groene Ring</v>
      </c>
      <c r="C56" s="445"/>
      <c r="D56" s="142" t="str">
        <f>IF(Glasbewassing!$C56&gt;0,VLOOKUP(Glasbewassing!$C56,$A$8:$B$19,2,FALSE),"Hier vult u de inzet van eventuele hoogwerkers in")</f>
        <v>Hier vult u de inzet van eventuele hoogwerkers in</v>
      </c>
      <c r="E56" s="446"/>
      <c r="F56" s="143">
        <v>2</v>
      </c>
      <c r="G56" s="145">
        <f>IF(C56&gt;0,VLOOKUP(OverzichtGlas[[#This Row],[Code taak]],InvulGlas[],3,0)*E56*F56,0)</f>
        <v>0</v>
      </c>
      <c r="H56" s="145">
        <f>OverzichtGlas[[#This Row],[Kosten/jaar excl. BTW]]*1.21</f>
        <v>0</v>
      </c>
      <c r="I56" s="140"/>
    </row>
    <row r="57" spans="1:9" ht="15" customHeight="1">
      <c r="A57" s="154" t="s">
        <v>32</v>
      </c>
      <c r="B57" s="155"/>
      <c r="C57" s="154"/>
      <c r="D57" s="156"/>
      <c r="E57" s="154"/>
      <c r="F57" s="154"/>
      <c r="G57" s="157">
        <f>SUBTOTAL(109,OverzichtGlas[Kosten/jaar excl. BTW])</f>
        <v>0</v>
      </c>
      <c r="H57" s="157">
        <f>SUBTOTAL(109,OverzichtGlas[Kosten/jaar incl. BTW])</f>
        <v>0</v>
      </c>
      <c r="I57" s="154"/>
    </row>
    <row r="58" spans="1:9" ht="15" customHeight="1">
      <c r="C58" s="31"/>
      <c r="D58" s="28"/>
    </row>
    <row r="59" spans="1:9" ht="15" customHeight="1">
      <c r="C59" s="31"/>
      <c r="D59" s="28"/>
    </row>
    <row r="60" spans="1:9" ht="15" customHeight="1">
      <c r="C60" s="31"/>
      <c r="D60" s="28"/>
    </row>
    <row r="61" spans="1:9" ht="15" customHeight="1">
      <c r="C61" s="31"/>
      <c r="D61" s="28"/>
    </row>
    <row r="62" spans="1:9" ht="15" customHeight="1">
      <c r="C62" s="31"/>
      <c r="D62" s="28"/>
    </row>
    <row r="63" spans="1:9" ht="15" customHeight="1">
      <c r="C63" s="31"/>
      <c r="D63" s="28"/>
    </row>
    <row r="64" spans="1:9" ht="15" customHeight="1">
      <c r="C64" s="31"/>
      <c r="D64" s="28"/>
    </row>
    <row r="65" spans="3:4" ht="15" customHeight="1">
      <c r="C65" s="31"/>
      <c r="D65" s="28"/>
    </row>
    <row r="66" spans="3:4" ht="15" customHeight="1">
      <c r="C66" s="31"/>
      <c r="D66" s="28"/>
    </row>
    <row r="67" spans="3:4" ht="15" customHeight="1">
      <c r="C67" s="31"/>
      <c r="D67" s="28"/>
    </row>
    <row r="68" spans="3:4" ht="15" customHeight="1">
      <c r="C68" s="31"/>
      <c r="D68" s="28"/>
    </row>
    <row r="69" spans="3:4" ht="15" customHeight="1">
      <c r="C69" s="31"/>
      <c r="D69" s="28"/>
    </row>
    <row r="70" spans="3:4" ht="15" customHeight="1">
      <c r="C70" s="31"/>
      <c r="D70" s="28"/>
    </row>
    <row r="71" spans="3:4" ht="15" customHeight="1">
      <c r="C71" s="31"/>
      <c r="D71" s="28"/>
    </row>
    <row r="72" spans="3:4" ht="15" customHeight="1">
      <c r="C72" s="31"/>
      <c r="D72" s="28"/>
    </row>
    <row r="73" spans="3:4" ht="15" customHeight="1">
      <c r="C73" s="31"/>
      <c r="D73" s="28"/>
    </row>
    <row r="74" spans="3:4" ht="15" customHeight="1">
      <c r="C74" s="31"/>
      <c r="D74" s="28"/>
    </row>
    <row r="75" spans="3:4" ht="15" customHeight="1">
      <c r="C75" s="31"/>
      <c r="D75" s="28"/>
    </row>
    <row r="76" spans="3:4" ht="15" customHeight="1">
      <c r="C76" s="31"/>
      <c r="D76" s="28"/>
    </row>
    <row r="77" spans="3:4" ht="15" customHeight="1">
      <c r="C77" s="31"/>
      <c r="D77" s="28"/>
    </row>
    <row r="78" spans="3:4" ht="15" customHeight="1">
      <c r="C78" s="31"/>
      <c r="D78" s="28"/>
    </row>
    <row r="79" spans="3:4" ht="15" customHeight="1">
      <c r="C79" s="31"/>
      <c r="D79" s="28"/>
    </row>
    <row r="80" spans="3:4" ht="15" customHeight="1">
      <c r="C80" s="31"/>
      <c r="D80" s="28"/>
    </row>
    <row r="81" spans="3:4" ht="15" customHeight="1">
      <c r="C81" s="31"/>
      <c r="D81" s="28"/>
    </row>
    <row r="82" spans="3:4" ht="15" customHeight="1">
      <c r="C82" s="31"/>
      <c r="D82" s="28"/>
    </row>
    <row r="83" spans="3:4" ht="15" customHeight="1">
      <c r="C83" s="31"/>
      <c r="D83" s="28"/>
    </row>
    <row r="84" spans="3:4" ht="15" customHeight="1">
      <c r="C84" s="31"/>
      <c r="D84" s="28"/>
    </row>
    <row r="85" spans="3:4" ht="15" customHeight="1">
      <c r="C85" s="31"/>
      <c r="D85" s="28"/>
    </row>
    <row r="86" spans="3:4" ht="15" customHeight="1">
      <c r="C86" s="31"/>
      <c r="D86" s="28"/>
    </row>
    <row r="87" spans="3:4" ht="15" customHeight="1">
      <c r="C87" s="31"/>
      <c r="D87" s="28"/>
    </row>
    <row r="88" spans="3:4" ht="15" customHeight="1">
      <c r="C88" s="31"/>
      <c r="D88" s="28"/>
    </row>
    <row r="89" spans="3:4" ht="15" customHeight="1">
      <c r="C89" s="31"/>
      <c r="D89" s="28"/>
    </row>
    <row r="90" spans="3:4" ht="15" customHeight="1">
      <c r="C90" s="31"/>
      <c r="D90" s="28"/>
    </row>
    <row r="91" spans="3:4" ht="15" customHeight="1">
      <c r="C91" s="31"/>
      <c r="D91" s="28"/>
    </row>
    <row r="92" spans="3:4" ht="15" customHeight="1">
      <c r="C92" s="31"/>
      <c r="D92" s="28"/>
    </row>
    <row r="93" spans="3:4" ht="15" customHeight="1">
      <c r="C93" s="31"/>
      <c r="D93" s="28"/>
    </row>
    <row r="94" spans="3:4" ht="15" customHeight="1">
      <c r="C94" s="31"/>
      <c r="D94" s="28"/>
    </row>
    <row r="95" spans="3:4" ht="15" customHeight="1">
      <c r="C95" s="31"/>
      <c r="D95" s="28"/>
    </row>
    <row r="96" spans="3:4" ht="15" customHeight="1">
      <c r="C96" s="31"/>
      <c r="D96" s="28"/>
    </row>
    <row r="97" spans="3:4" ht="15" customHeight="1">
      <c r="C97" s="31"/>
      <c r="D97" s="28"/>
    </row>
    <row r="98" spans="3:4" ht="15" customHeight="1">
      <c r="C98" s="31"/>
      <c r="D98" s="28"/>
    </row>
    <row r="99" spans="3:4" ht="15" customHeight="1">
      <c r="C99" s="31"/>
      <c r="D99" s="28"/>
    </row>
    <row r="100" spans="3:4" ht="15" customHeight="1">
      <c r="C100" s="31"/>
      <c r="D100" s="28"/>
    </row>
    <row r="101" spans="3:4" ht="15" customHeight="1">
      <c r="C101" s="31"/>
      <c r="D101" s="28"/>
    </row>
    <row r="102" spans="3:4" ht="15" customHeight="1">
      <c r="C102" s="31"/>
      <c r="D102" s="28"/>
    </row>
    <row r="103" spans="3:4" ht="15" customHeight="1">
      <c r="C103" s="31"/>
      <c r="D103" s="28"/>
    </row>
    <row r="104" spans="3:4" ht="15" customHeight="1">
      <c r="C104" s="31"/>
      <c r="D104" s="28"/>
    </row>
    <row r="105" spans="3:4" ht="15" customHeight="1">
      <c r="C105" s="31"/>
      <c r="D105" s="28"/>
    </row>
    <row r="106" spans="3:4" ht="15" customHeight="1">
      <c r="C106" s="31"/>
      <c r="D106" s="28"/>
    </row>
    <row r="107" spans="3:4" ht="15" customHeight="1">
      <c r="C107" s="31"/>
      <c r="D107" s="28"/>
    </row>
    <row r="108" spans="3:4" ht="15" customHeight="1">
      <c r="C108" s="31"/>
      <c r="D108" s="28"/>
    </row>
    <row r="109" spans="3:4" ht="15" customHeight="1">
      <c r="C109" s="31"/>
      <c r="D109" s="28"/>
    </row>
    <row r="110" spans="3:4" ht="15" customHeight="1">
      <c r="C110" s="31"/>
      <c r="D110" s="28"/>
    </row>
    <row r="111" spans="3:4" ht="15" customHeight="1">
      <c r="C111" s="31"/>
      <c r="D111" s="28"/>
    </row>
    <row r="112" spans="3:4" ht="15" customHeight="1">
      <c r="C112" s="31"/>
      <c r="D112" s="28"/>
    </row>
    <row r="113" spans="3:4" ht="15" customHeight="1">
      <c r="C113" s="31"/>
      <c r="D113" s="28"/>
    </row>
    <row r="114" spans="3:4" ht="15" customHeight="1">
      <c r="C114" s="31"/>
      <c r="D114" s="28"/>
    </row>
    <row r="115" spans="3:4" ht="15" customHeight="1">
      <c r="C115" s="31"/>
      <c r="D115" s="28"/>
    </row>
  </sheetData>
  <sheetProtection algorithmName="SHA-512" hashValue="RLmYCxNJZSZuyGbM3NX2CmBOxlKp5gyK6OAr6V008k9GBeboG8VUJKmjonfQzxESOqHeCByy9qXVfz+C6E3wsw==" saltValue="J/2eoVn/hYVL7nJmmbqVBQ==" spinCount="100000" sheet="1" objects="1" scenarios="1"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39"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B96113-8B63-4B93-80EA-8972430CF2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29</vt:i4>
      </vt:variant>
    </vt:vector>
  </HeadingPairs>
  <TitlesOfParts>
    <vt:vector size="41"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Totalisatie</vt:lpstr>
      <vt:lpstr>Regie en afroep</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Joy Wijnberg | Inkada Inkoop &amp; Advies</cp:lastModifiedBy>
  <cp:lastPrinted>2021-12-20T08:38:13Z</cp:lastPrinted>
  <dcterms:created xsi:type="dcterms:W3CDTF">1999-03-23T11:24:21Z</dcterms:created>
  <dcterms:modified xsi:type="dcterms:W3CDTF">2026-02-16T10:05:12Z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