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uconsult.sharepoint.com/sites/AanbestedingconcessieNoord-WestNoord-Holland/Gedeelde documenten/3. Nota's van Inlichtingen/NvI - 1/NvI 1b (2-4)/"/>
    </mc:Choice>
  </mc:AlternateContent>
  <xr:revisionPtr revIDLastSave="706" documentId="8_{E691A53E-9CA8-4EC9-80C7-CDC035865C67}" xr6:coauthVersionLast="47" xr6:coauthVersionMax="47" xr10:uidLastSave="{BE2468B9-0F8A-438D-848A-5A9DF6F10008}"/>
  <bookViews>
    <workbookView xWindow="-108" yWindow="-108" windowWidth="23256" windowHeight="12456" activeTab="1" xr2:uid="{00000000-000D-0000-FFFF-FFFF00000000}"/>
  </bookViews>
  <sheets>
    <sheet name="Scores en gewichten" sheetId="3" r:id="rId1"/>
    <sheet name="Voorbeeldberekening" sheetId="1" r:id="rId2"/>
  </sheets>
  <definedNames>
    <definedName name="_xlnm._FilterDatabase" localSheetId="1" hidden="1">Voorbeeldberekening!$C$67:$C$67</definedName>
    <definedName name="_Ref302563521" localSheetId="0">'Scores en gewichten'!#REF!</definedName>
    <definedName name="_xlnm.Print_Area" localSheetId="1">Voorbeeldberekening!$A$1:$V$104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1" l="1"/>
  <c r="D45" i="1"/>
  <c r="F41" i="1"/>
  <c r="E41" i="1"/>
  <c r="D41" i="1"/>
  <c r="D42" i="1"/>
  <c r="C41" i="1"/>
  <c r="C42" i="1"/>
  <c r="C32" i="1"/>
  <c r="C33" i="1"/>
  <c r="C31" i="1"/>
  <c r="G10" i="3"/>
  <c r="R58" i="1"/>
  <c r="C57" i="1"/>
  <c r="C58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D60" i="1"/>
  <c r="E59" i="1"/>
  <c r="E63" i="1" s="1"/>
  <c r="F59" i="1"/>
  <c r="F63" i="1" s="1"/>
  <c r="G59" i="1"/>
  <c r="G63" i="1" s="1"/>
  <c r="H59" i="1"/>
  <c r="H63" i="1" s="1"/>
  <c r="I59" i="1"/>
  <c r="I63" i="1" s="1"/>
  <c r="J59" i="1"/>
  <c r="J63" i="1" s="1"/>
  <c r="K59" i="1"/>
  <c r="K63" i="1" s="1"/>
  <c r="L59" i="1"/>
  <c r="L63" i="1" s="1"/>
  <c r="M59" i="1"/>
  <c r="M63" i="1" s="1"/>
  <c r="N59" i="1"/>
  <c r="N63" i="1" s="1"/>
  <c r="O59" i="1"/>
  <c r="O63" i="1" s="1"/>
  <c r="P59" i="1"/>
  <c r="P63" i="1" s="1"/>
  <c r="Q59" i="1"/>
  <c r="Q63" i="1" s="1"/>
  <c r="D59" i="1"/>
  <c r="D63" i="1" s="1"/>
  <c r="R55" i="1"/>
  <c r="R56" i="1"/>
  <c r="R57" i="1"/>
  <c r="R54" i="1"/>
  <c r="L61" i="1" l="1"/>
  <c r="M61" i="1"/>
  <c r="K61" i="1"/>
  <c r="J61" i="1"/>
  <c r="I61" i="1"/>
  <c r="H61" i="1"/>
  <c r="O61" i="1"/>
  <c r="G61" i="1"/>
  <c r="P61" i="1"/>
  <c r="N61" i="1"/>
  <c r="F61" i="1"/>
  <c r="Q61" i="1"/>
  <c r="E61" i="1"/>
  <c r="D61" i="1"/>
  <c r="D69" i="1"/>
  <c r="D71" i="1" s="1"/>
  <c r="C55" i="1"/>
  <c r="C56" i="1"/>
  <c r="C54" i="1"/>
  <c r="C53" i="1"/>
  <c r="R61" i="1" l="1"/>
  <c r="D65" i="1" s="1"/>
  <c r="D73" i="1" s="1"/>
  <c r="E10" i="1" s="1"/>
  <c r="D7" i="1" l="1"/>
  <c r="D8" i="1"/>
  <c r="D11" i="3"/>
  <c r="F17" i="1" l="1"/>
  <c r="C10" i="1"/>
  <c r="B10" i="1"/>
  <c r="D10" i="1"/>
  <c r="D6" i="1"/>
  <c r="F10" i="1" l="1"/>
  <c r="E6" i="1"/>
  <c r="F6" i="1" s="1"/>
  <c r="F34" i="1" l="1"/>
  <c r="D25" i="1"/>
  <c r="D24" i="1"/>
  <c r="C25" i="1"/>
  <c r="C24" i="1"/>
  <c r="C28" i="1"/>
  <c r="C37" i="1" s="1"/>
  <c r="F42" i="1"/>
  <c r="C40" i="1"/>
  <c r="C30" i="1"/>
  <c r="C39" i="1" s="1"/>
  <c r="C29" i="1"/>
  <c r="C38" i="1" s="1"/>
  <c r="D38" i="1" s="1"/>
  <c r="F19" i="1"/>
  <c r="E9" i="1" s="1"/>
  <c r="F18" i="1"/>
  <c r="E8" i="1" s="1"/>
  <c r="F8" i="1" s="1"/>
  <c r="D9" i="1"/>
  <c r="C9" i="1"/>
  <c r="C19" i="1" s="1"/>
  <c r="B9" i="1"/>
  <c r="B19" i="1" s="1"/>
  <c r="C8" i="1"/>
  <c r="C18" i="1" s="1"/>
  <c r="B8" i="1"/>
  <c r="B18" i="1" s="1"/>
  <c r="C7" i="1"/>
  <c r="B7" i="1"/>
  <c r="C6" i="1"/>
  <c r="C17" i="1" s="1"/>
  <c r="B6" i="1"/>
  <c r="B17" i="1" s="1"/>
  <c r="E38" i="1" l="1"/>
  <c r="F9" i="1"/>
  <c r="D11" i="1"/>
  <c r="E39" i="1"/>
  <c r="D39" i="1"/>
  <c r="F39" i="1"/>
  <c r="F38" i="1"/>
  <c r="F40" i="1"/>
  <c r="E40" i="1"/>
  <c r="D40" i="1"/>
  <c r="E42" i="1"/>
  <c r="BF1" i="1" l="1"/>
  <c r="BE1" i="1"/>
  <c r="AY1" i="1"/>
  <c r="BB1" i="1"/>
  <c r="BC1" i="1"/>
  <c r="BD1" i="1"/>
  <c r="BA1" i="1"/>
  <c r="AZ1" i="1"/>
  <c r="BH1" i="1"/>
  <c r="BG1" i="1"/>
  <c r="E7" i="1" l="1"/>
  <c r="F7" i="1" s="1"/>
  <c r="F11" i="1" l="1"/>
</calcChain>
</file>

<file path=xl/sharedStrings.xml><?xml version="1.0" encoding="utf-8"?>
<sst xmlns="http://schemas.openxmlformats.org/spreadsheetml/2006/main" count="105" uniqueCount="77">
  <si>
    <t>Nr.</t>
  </si>
  <si>
    <t>Gunningscriterium</t>
  </si>
  <si>
    <t>G1</t>
  </si>
  <si>
    <t>G2</t>
  </si>
  <si>
    <t>G3</t>
  </si>
  <si>
    <t>G4</t>
  </si>
  <si>
    <t>Ruim voldoende</t>
  </si>
  <si>
    <t>Totaal</t>
  </si>
  <si>
    <t>Score</t>
  </si>
  <si>
    <t>Ontwikkelplan</t>
  </si>
  <si>
    <t>Voorbeeldberekening Gunningsmodel</t>
  </si>
  <si>
    <t>Materieelplan</t>
  </si>
  <si>
    <t>Gewicht</t>
  </si>
  <si>
    <t>Gunningsmodel: Scores en gewichten</t>
  </si>
  <si>
    <t>Gewichten Gunningscriteria</t>
  </si>
  <si>
    <t>Omschrijving</t>
  </si>
  <si>
    <t>Goed</t>
  </si>
  <si>
    <t>Type vervoer en type Materieel</t>
  </si>
  <si>
    <t>Moment</t>
  </si>
  <si>
    <t>Tijdens de Spits</t>
  </si>
  <si>
    <t>Buiten de Spits</t>
  </si>
  <si>
    <t>Tijdens de nacht</t>
  </si>
  <si>
    <t>Aantal Gewogen Dienstregelinguren dat tot maximale score leidt</t>
  </si>
  <si>
    <t>Gewogen score</t>
  </si>
  <si>
    <t>Ongewogen score</t>
  </si>
  <si>
    <t>Beoordeling kwalitatieve Gunningscriteria</t>
  </si>
  <si>
    <t xml:space="preserve">Totaal </t>
  </si>
  <si>
    <t>Minimumaantal te bieden Gewogen Dienstregelinguren</t>
  </si>
  <si>
    <t>Exploitatieplan</t>
  </si>
  <si>
    <t>G5</t>
  </si>
  <si>
    <t>Matig</t>
  </si>
  <si>
    <t>Zero-Emissie</t>
  </si>
  <si>
    <t>Aantal Gewogen Dienstregelinguren (G2)</t>
  </si>
  <si>
    <t>Zeer goed</t>
  </si>
  <si>
    <t>Redelijk</t>
  </si>
  <si>
    <t>Minimaal</t>
  </si>
  <si>
    <t>Oordeel</t>
  </si>
  <si>
    <t>Aantal aangeboden ongewogen Dienstregelinguren in het Dienstregelingjaar 2030</t>
  </si>
  <si>
    <t>Beoordeling Aanbod Gewogen Dienstregelinguren (G2)</t>
  </si>
  <si>
    <t>Aanbod Gewogen Dienstregelinguren</t>
  </si>
  <si>
    <t>Type  Materieel</t>
  </si>
  <si>
    <t>Beoordeling</t>
  </si>
  <si>
    <t>Heel aannemelijk</t>
  </si>
  <si>
    <t>Aannemelijk</t>
  </si>
  <si>
    <t>Beperkt aannemelijk</t>
  </si>
  <si>
    <t>Onvoldoende aannemelijk</t>
  </si>
  <si>
    <t>Uitsluiting</t>
  </si>
  <si>
    <t>Zero-Emissie (G5)</t>
  </si>
  <si>
    <t>Scores Gunningscriteria G1, G3 en G4</t>
  </si>
  <si>
    <t>Transitiepad ZE (deelscore 1)</t>
  </si>
  <si>
    <t>Implementatieplan ZE (deelscore 2)</t>
  </si>
  <si>
    <t>Zero-Emissiebus rijdend op Hernieuwbare Energie</t>
  </si>
  <si>
    <t>Bus rijdend op fossiele brandstoffen</t>
  </si>
  <si>
    <t>Deelscore 1 Transitiepad ZE</t>
  </si>
  <si>
    <t>Deelscore 2 Implementatie ZE</t>
  </si>
  <si>
    <t>Deelscore Transitiepad ZE</t>
  </si>
  <si>
    <t>Score G5</t>
  </si>
  <si>
    <r>
      <t>Berekende aantal Gewogen Dienstregelinguren in het Dienstregelingjaar</t>
    </r>
    <r>
      <rPr>
        <b/>
        <sz val="11"/>
        <color rgb="FFFFFF00"/>
        <rFont val="Calibri"/>
        <family val="2"/>
        <scheme val="minor"/>
      </rPr>
      <t xml:space="preserve"> </t>
    </r>
    <r>
      <rPr>
        <b/>
        <sz val="11"/>
        <color theme="0"/>
        <rFont val="Calibri"/>
        <family val="2"/>
        <scheme val="minor"/>
      </rPr>
      <t>2030</t>
    </r>
  </si>
  <si>
    <t>Deelscore Implementatie Zero-Emissie</t>
  </si>
  <si>
    <t>Tabel 5 Gunningscriteria</t>
  </si>
  <si>
    <t>Tabel 6 Toekenning ongewogen scores kwalitatieve Gunningscriteria</t>
  </si>
  <si>
    <t>Score G2</t>
  </si>
  <si>
    <t>Jaar</t>
  </si>
  <si>
    <t>Weging Jaren</t>
  </si>
  <si>
    <t>Totaal aantal DRKM</t>
  </si>
  <si>
    <t>Gewogen aantal ZE DRKM</t>
  </si>
  <si>
    <t>Percentage Gewogen ZE DRKM</t>
  </si>
  <si>
    <t>Voldoet aan minimum ZE DRKM?</t>
  </si>
  <si>
    <t>Zero-Emissiebus rijdend op grijze netsroom</t>
  </si>
  <si>
    <t>Zero-Emissiebus rijdend op elektriciteit opgewekt met een aggregaat die werkt op bio-brandstoffen (o.a.Bio-CNG)</t>
  </si>
  <si>
    <t>Zero-Emissiebus rijdend op elektriciteit opgewekt met een aggregaat die werkt op fossiele brandstoffen (minimaal Stage 5 norm)</t>
  </si>
  <si>
    <t>Vraagafhankelijk vervoer uitgevoerd met een Auto</t>
  </si>
  <si>
    <t>Vast Vervoer uitgevoerd met een Grote of Gelede Bus*</t>
  </si>
  <si>
    <t>Vast Vervoer uitgevoerd met een Standaardbus*</t>
  </si>
  <si>
    <t>Vast Vervoer uitgevoerd met een Kleine Bus*</t>
  </si>
  <si>
    <t>Vast Vervoer uitgevoerd met een Auto*</t>
  </si>
  <si>
    <t>*Voor zover de Dienstregelinguren meetellen bij de Gewogen Dienstregelinguren zoals aangegeven in paragraaf 7.4.1 ("Weging dienstregelinguren") van de Inschrijvingsleidraad.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</si>
</sst>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 * #,##0_ ;_ * \-#,##0_ ;_ * &quot;-&quot;??_ ;_ @_ "/>
    <numFmt numFmtId="166" formatCode="_(* #,##0_);_(* \(#,##0\);_(* &quot;-&quot;??_);_(@_)"/>
    <numFmt numFmtId="167" formatCode="_ * #,##0.00_ ;_ * \-#,##0.00_ ;_ * &quot;-&quot;?_ ;_ @_ "/>
    <numFmt numFmtId="168" formatCode="0.0%"/>
    <numFmt numFmtId="169" formatCode="0.0"/>
    <numFmt numFmtId="170" formatCode="_ [$€-2]\ * #,##0_ ;_ [$€-2]\ * \-#,##0_ ;_ [$€-2]\ * &quot;-&quot;??_ ;_ @_ "/>
    <numFmt numFmtId="171" formatCode="_ [$€-2]\ * #,##0.00_ ;_ [$€-2]\ * \-#,##0.00_ ;_ [$€-2]\ * &quot;-&quot;??_ ;_ @_ "/>
    <numFmt numFmtId="172" formatCode="_ * #,##0.0_ ;_ * \-#,##0.0_ ;_ * &quot;-&quot;?_ ;_ @_ "/>
  </numFmts>
  <fonts count="29" x14ac:knownFonts="1">
    <font>
      <sz val="8"/>
      <color theme="1"/>
      <name val="Verdana"/>
      <family val="2"/>
    </font>
    <font>
      <sz val="10"/>
      <color theme="1"/>
      <name val="Arial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rgb="FFFF0000"/>
      <name val="Verdana"/>
      <family val="2"/>
    </font>
    <font>
      <i/>
      <sz val="8"/>
      <color theme="1"/>
      <name val="Verdana"/>
      <family val="2"/>
    </font>
    <font>
      <sz val="10"/>
      <color theme="1"/>
      <name val="Trebuchet MS"/>
      <family val="2"/>
    </font>
    <font>
      <b/>
      <sz val="11"/>
      <color theme="0"/>
      <name val="Calibri"/>
      <family val="2"/>
      <scheme val="minor"/>
    </font>
    <font>
      <sz val="9.5"/>
      <color theme="1"/>
      <name val="Arial"/>
      <family val="2"/>
    </font>
    <font>
      <b/>
      <sz val="9.5"/>
      <color theme="1"/>
      <name val="Arial"/>
      <family val="2"/>
    </font>
    <font>
      <b/>
      <sz val="9.5"/>
      <color rgb="FFFFFFFF"/>
      <name val="Arial"/>
      <family val="2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8"/>
      <color theme="0"/>
      <name val="Verdana"/>
      <family val="2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Verdana"/>
      <family val="2"/>
    </font>
    <font>
      <sz val="10"/>
      <color theme="1"/>
      <name val="Verdana"/>
      <family val="2"/>
    </font>
    <font>
      <b/>
      <sz val="11"/>
      <color rgb="FFFFFF00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.5"/>
      <color theme="0"/>
      <name val="Arial"/>
      <family val="2"/>
    </font>
    <font>
      <b/>
      <i/>
      <sz val="10"/>
      <color theme="1"/>
      <name val="Calibri"/>
      <family val="2"/>
      <scheme val="minor"/>
    </font>
    <font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00000"/>
      </left>
      <right style="thin">
        <color rgb="FFB00000"/>
      </right>
      <top style="thin">
        <color rgb="FFB00000"/>
      </top>
      <bottom style="thin">
        <color rgb="FFB00000"/>
      </bottom>
      <diagonal/>
    </border>
    <border>
      <left style="thin">
        <color rgb="FFB00000"/>
      </left>
      <right style="thin">
        <color rgb="FFB00000"/>
      </right>
      <top/>
      <bottom style="thin">
        <color rgb="FFB00000"/>
      </bottom>
      <diagonal/>
    </border>
    <border>
      <left style="thin">
        <color rgb="FFB00000"/>
      </left>
      <right style="thin">
        <color rgb="FFB00000"/>
      </right>
      <top style="thin">
        <color rgb="FFB00000"/>
      </top>
      <bottom style="thin">
        <color indexed="64"/>
      </bottom>
      <diagonal/>
    </border>
    <border>
      <left style="thin">
        <color rgb="FFB00000"/>
      </left>
      <right/>
      <top style="thin">
        <color rgb="FFB00000"/>
      </top>
      <bottom style="thin">
        <color indexed="64"/>
      </bottom>
      <diagonal/>
    </border>
    <border>
      <left/>
      <right style="thin">
        <color rgb="FFB00000"/>
      </right>
      <top style="thin">
        <color rgb="FFB00000"/>
      </top>
      <bottom style="thin">
        <color indexed="64"/>
      </bottom>
      <diagonal/>
    </border>
    <border>
      <left style="thin">
        <color rgb="FFB00000"/>
      </left>
      <right/>
      <top style="thin">
        <color rgb="FFB00000"/>
      </top>
      <bottom style="thin">
        <color rgb="FFB00000"/>
      </bottom>
      <diagonal/>
    </border>
    <border>
      <left/>
      <right style="thin">
        <color rgb="FFB00000"/>
      </right>
      <top style="thin">
        <color rgb="FFB00000"/>
      </top>
      <bottom style="thin">
        <color rgb="FFB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rgb="FFB0000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B00000"/>
      </bottom>
      <diagonal/>
    </border>
    <border>
      <left style="thin">
        <color indexed="64"/>
      </left>
      <right/>
      <top style="thin">
        <color indexed="64"/>
      </top>
      <bottom style="thin">
        <color rgb="FFB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B00000"/>
      </bottom>
      <diagonal/>
    </border>
    <border>
      <left/>
      <right/>
      <top style="thin">
        <color indexed="64"/>
      </top>
      <bottom style="thin">
        <color rgb="FFB00000"/>
      </bottom>
      <diagonal/>
    </border>
    <border>
      <left style="thin">
        <color rgb="FFB00000"/>
      </left>
      <right style="thin">
        <color rgb="FFB00000"/>
      </right>
      <top style="thin">
        <color indexed="64"/>
      </top>
      <bottom style="thin">
        <color rgb="FFB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B00000"/>
      </left>
      <right style="thin">
        <color rgb="FFB00000"/>
      </right>
      <top style="thin">
        <color rgb="FFB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/>
    <xf numFmtId="9" fontId="0" fillId="0" borderId="0" xfId="0" applyNumberFormat="1"/>
    <xf numFmtId="0" fontId="0" fillId="0" borderId="0" xfId="0" applyAlignment="1">
      <alignment horizontal="center"/>
    </xf>
    <xf numFmtId="166" fontId="0" fillId="0" borderId="0" xfId="1" applyNumberFormat="1" applyFont="1" applyBorder="1"/>
    <xf numFmtId="167" fontId="0" fillId="0" borderId="0" xfId="0" applyNumberFormat="1"/>
    <xf numFmtId="166" fontId="0" fillId="0" borderId="0" xfId="1" applyNumberFormat="1" applyFont="1" applyAlignment="1">
      <alignment horizontal="center" vertical="center"/>
    </xf>
    <xf numFmtId="168" fontId="0" fillId="0" borderId="0" xfId="2" applyNumberFormat="1" applyFont="1" applyFill="1" applyBorder="1"/>
    <xf numFmtId="2" fontId="0" fillId="0" borderId="0" xfId="0" applyNumberFormat="1"/>
    <xf numFmtId="0" fontId="6" fillId="0" borderId="0" xfId="0" applyFont="1" applyAlignment="1">
      <alignment horizontal="center"/>
    </xf>
    <xf numFmtId="168" fontId="3" fillId="0" borderId="0" xfId="0" applyNumberFormat="1" applyFont="1"/>
    <xf numFmtId="2" fontId="3" fillId="0" borderId="0" xfId="0" applyNumberFormat="1" applyFont="1"/>
    <xf numFmtId="14" fontId="7" fillId="0" borderId="0" xfId="0" applyNumberFormat="1" applyFont="1"/>
    <xf numFmtId="0" fontId="7" fillId="0" borderId="0" xfId="0" applyFont="1"/>
    <xf numFmtId="166" fontId="0" fillId="0" borderId="0" xfId="0" applyNumberFormat="1"/>
    <xf numFmtId="166" fontId="0" fillId="0" borderId="0" xfId="1" applyNumberFormat="1" applyFont="1"/>
    <xf numFmtId="170" fontId="0" fillId="0" borderId="0" xfId="0" applyNumberFormat="1"/>
    <xf numFmtId="171" fontId="0" fillId="0" borderId="0" xfId="0" applyNumberFormat="1"/>
    <xf numFmtId="172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0" fillId="0" borderId="15" xfId="0" applyFont="1" applyBorder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9" fontId="10" fillId="0" borderId="15" xfId="0" applyNumberFormat="1" applyFont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6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top"/>
    </xf>
    <xf numFmtId="0" fontId="19" fillId="0" borderId="0" xfId="0" applyFont="1"/>
    <xf numFmtId="0" fontId="18" fillId="0" borderId="4" xfId="0" applyFont="1" applyBorder="1" applyAlignment="1">
      <alignment horizontal="center"/>
    </xf>
    <xf numFmtId="0" fontId="18" fillId="0" borderId="8" xfId="0" applyFont="1" applyBorder="1"/>
    <xf numFmtId="0" fontId="18" fillId="0" borderId="9" xfId="0" applyFont="1" applyBorder="1" applyAlignment="1">
      <alignment horizontal="center"/>
    </xf>
    <xf numFmtId="0" fontId="19" fillId="0" borderId="7" xfId="0" applyFont="1" applyBorder="1"/>
    <xf numFmtId="0" fontId="18" fillId="0" borderId="9" xfId="0" applyFont="1" applyBorder="1"/>
    <xf numFmtId="0" fontId="18" fillId="0" borderId="6" xfId="0" applyFont="1" applyBorder="1"/>
    <xf numFmtId="0" fontId="20" fillId="0" borderId="11" xfId="0" applyFont="1" applyBorder="1"/>
    <xf numFmtId="0" fontId="20" fillId="0" borderId="12" xfId="0" applyFont="1" applyBorder="1"/>
    <xf numFmtId="0" fontId="20" fillId="0" borderId="12" xfId="0" applyFont="1" applyBorder="1" applyAlignment="1">
      <alignment horizontal="center"/>
    </xf>
    <xf numFmtId="0" fontId="20" fillId="0" borderId="5" xfId="0" applyFont="1" applyBorder="1"/>
    <xf numFmtId="0" fontId="20" fillId="0" borderId="0" xfId="0" applyFont="1"/>
    <xf numFmtId="0" fontId="17" fillId="0" borderId="5" xfId="0" applyFont="1" applyBorder="1"/>
    <xf numFmtId="0" fontId="17" fillId="0" borderId="0" xfId="0" applyFont="1"/>
    <xf numFmtId="0" fontId="17" fillId="0" borderId="7" xfId="0" applyFont="1" applyBorder="1"/>
    <xf numFmtId="0" fontId="20" fillId="0" borderId="8" xfId="0" applyFont="1" applyBorder="1"/>
    <xf numFmtId="2" fontId="20" fillId="0" borderId="0" xfId="1" applyNumberFormat="1" applyFont="1" applyBorder="1" applyAlignment="1">
      <alignment horizontal="center" vertical="center"/>
    </xf>
    <xf numFmtId="0" fontId="17" fillId="0" borderId="2" xfId="0" applyFont="1" applyBorder="1"/>
    <xf numFmtId="0" fontId="17" fillId="0" borderId="3" xfId="0" applyFont="1" applyBorder="1"/>
    <xf numFmtId="0" fontId="17" fillId="0" borderId="8" xfId="0" applyFont="1" applyBorder="1"/>
    <xf numFmtId="166" fontId="17" fillId="0" borderId="0" xfId="1" applyNumberFormat="1" applyFont="1" applyBorder="1" applyAlignment="1">
      <alignment horizontal="center"/>
    </xf>
    <xf numFmtId="0" fontId="20" fillId="0" borderId="12" xfId="0" applyFont="1" applyBorder="1" applyAlignment="1">
      <alignment horizontal="right"/>
    </xf>
    <xf numFmtId="168" fontId="20" fillId="0" borderId="8" xfId="2" applyNumberFormat="1" applyFont="1" applyFill="1" applyBorder="1" applyAlignment="1">
      <alignment horizontal="right" vertical="center"/>
    </xf>
    <xf numFmtId="169" fontId="20" fillId="0" borderId="8" xfId="0" applyNumberFormat="1" applyFont="1" applyBorder="1" applyAlignment="1">
      <alignment horizontal="right" vertical="center"/>
    </xf>
    <xf numFmtId="2" fontId="17" fillId="0" borderId="0" xfId="1" applyNumberFormat="1" applyFont="1" applyBorder="1" applyAlignment="1">
      <alignment horizontal="right" vertical="center"/>
    </xf>
    <xf numFmtId="0" fontId="18" fillId="0" borderId="13" xfId="0" applyFont="1" applyBorder="1"/>
    <xf numFmtId="168" fontId="17" fillId="0" borderId="0" xfId="2" applyNumberFormat="1" applyFont="1" applyFill="1" applyAlignment="1">
      <alignment horizontal="right" vertical="center"/>
    </xf>
    <xf numFmtId="0" fontId="17" fillId="0" borderId="3" xfId="0" applyFont="1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horizontal="right"/>
    </xf>
    <xf numFmtId="9" fontId="20" fillId="0" borderId="5" xfId="0" applyNumberFormat="1" applyFont="1" applyBorder="1"/>
    <xf numFmtId="0" fontId="17" fillId="0" borderId="0" xfId="0" applyFont="1" applyAlignment="1">
      <alignment wrapText="1"/>
    </xf>
    <xf numFmtId="0" fontId="20" fillId="0" borderId="1" xfId="0" applyFont="1" applyBorder="1"/>
    <xf numFmtId="0" fontId="20" fillId="0" borderId="1" xfId="0" applyFont="1" applyBorder="1" applyAlignment="1">
      <alignment horizontal="right"/>
    </xf>
    <xf numFmtId="165" fontId="17" fillId="2" borderId="0" xfId="1" applyNumberFormat="1" applyFont="1" applyFill="1" applyBorder="1"/>
    <xf numFmtId="166" fontId="20" fillId="0" borderId="3" xfId="1" applyNumberFormat="1" applyFont="1" applyFill="1" applyBorder="1"/>
    <xf numFmtId="165" fontId="20" fillId="0" borderId="0" xfId="1" applyNumberFormat="1" applyFont="1" applyFill="1" applyBorder="1"/>
    <xf numFmtId="9" fontId="20" fillId="0" borderId="0" xfId="2" applyFont="1" applyFill="1" applyBorder="1"/>
    <xf numFmtId="165" fontId="20" fillId="0" borderId="0" xfId="1" applyNumberFormat="1" applyFont="1" applyBorder="1"/>
    <xf numFmtId="0" fontId="18" fillId="0" borderId="6" xfId="0" applyFont="1" applyBorder="1" applyAlignment="1">
      <alignment horizontal="center"/>
    </xf>
    <xf numFmtId="166" fontId="17" fillId="0" borderId="14" xfId="1" applyNumberFormat="1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9" fontId="20" fillId="0" borderId="0" xfId="0" applyNumberFormat="1" applyFont="1"/>
    <xf numFmtId="2" fontId="17" fillId="0" borderId="0" xfId="0" applyNumberFormat="1" applyFont="1" applyAlignment="1">
      <alignment horizontal="right" vertical="center"/>
    </xf>
    <xf numFmtId="0" fontId="10" fillId="0" borderId="16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9" fontId="11" fillId="0" borderId="16" xfId="0" applyNumberFormat="1" applyFont="1" applyBorder="1" applyAlignment="1">
      <alignment horizontal="right" vertical="center" wrapText="1"/>
    </xf>
    <xf numFmtId="10" fontId="10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3" fontId="1" fillId="0" borderId="0" xfId="0" applyNumberFormat="1" applyFont="1"/>
    <xf numFmtId="9" fontId="10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2" fontId="17" fillId="0" borderId="0" xfId="1" applyNumberFormat="1" applyFont="1" applyFill="1" applyAlignment="1">
      <alignment horizontal="right" vertical="center"/>
    </xf>
    <xf numFmtId="2" fontId="20" fillId="0" borderId="8" xfId="1" applyNumberFormat="1" applyFont="1" applyBorder="1" applyAlignment="1">
      <alignment horizontal="right" vertical="center"/>
    </xf>
    <xf numFmtId="168" fontId="10" fillId="0" borderId="15" xfId="0" applyNumberFormat="1" applyFont="1" applyBorder="1" applyAlignment="1">
      <alignment horizontal="right" vertical="center" wrapText="1"/>
    </xf>
    <xf numFmtId="0" fontId="22" fillId="0" borderId="0" xfId="0" applyFont="1" applyAlignment="1">
      <alignment horizontal="center"/>
    </xf>
    <xf numFmtId="0" fontId="22" fillId="0" borderId="0" xfId="0" applyFont="1"/>
    <xf numFmtId="0" fontId="18" fillId="0" borderId="2" xfId="0" applyFont="1" applyBorder="1"/>
    <xf numFmtId="0" fontId="18" fillId="0" borderId="3" xfId="0" applyFont="1" applyBorder="1"/>
    <xf numFmtId="0" fontId="0" fillId="0" borderId="3" xfId="0" applyBorder="1"/>
    <xf numFmtId="0" fontId="24" fillId="0" borderId="5" xfId="0" applyFont="1" applyBorder="1"/>
    <xf numFmtId="0" fontId="17" fillId="2" borderId="14" xfId="0" applyFont="1" applyFill="1" applyBorder="1" applyAlignment="1">
      <alignment horizontal="right"/>
    </xf>
    <xf numFmtId="0" fontId="25" fillId="3" borderId="1" xfId="0" applyFont="1" applyFill="1" applyBorder="1"/>
    <xf numFmtId="0" fontId="0" fillId="0" borderId="7" xfId="0" applyBorder="1"/>
    <xf numFmtId="0" fontId="0" fillId="0" borderId="8" xfId="0" applyBorder="1"/>
    <xf numFmtId="0" fontId="17" fillId="2" borderId="0" xfId="0" applyFont="1" applyFill="1" applyAlignment="1">
      <alignment horizontal="center"/>
    </xf>
    <xf numFmtId="0" fontId="17" fillId="2" borderId="8" xfId="0" applyFont="1" applyFill="1" applyBorder="1" applyAlignment="1">
      <alignment horizontal="center"/>
    </xf>
    <xf numFmtId="166" fontId="17" fillId="0" borderId="8" xfId="1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0" fillId="0" borderId="22" xfId="0" applyFont="1" applyBorder="1" applyAlignment="1">
      <alignment vertical="center" wrapText="1"/>
    </xf>
    <xf numFmtId="9" fontId="10" fillId="0" borderId="22" xfId="0" applyNumberFormat="1" applyFont="1" applyBorder="1" applyAlignment="1">
      <alignment horizontal="right" vertical="center" wrapText="1"/>
    </xf>
    <xf numFmtId="9" fontId="20" fillId="0" borderId="0" xfId="2" applyFont="1" applyBorder="1"/>
    <xf numFmtId="2" fontId="17" fillId="0" borderId="8" xfId="0" applyNumberFormat="1" applyFont="1" applyBorder="1"/>
    <xf numFmtId="0" fontId="10" fillId="0" borderId="22" xfId="0" applyFont="1" applyBorder="1" applyAlignment="1">
      <alignment vertical="center"/>
    </xf>
    <xf numFmtId="0" fontId="16" fillId="4" borderId="0" xfId="0" applyFont="1" applyFill="1"/>
    <xf numFmtId="0" fontId="15" fillId="4" borderId="0" xfId="0" applyFont="1" applyFill="1"/>
    <xf numFmtId="0" fontId="0" fillId="0" borderId="1" xfId="0" applyBorder="1"/>
    <xf numFmtId="0" fontId="7" fillId="0" borderId="1" xfId="0" applyFont="1" applyBorder="1"/>
    <xf numFmtId="0" fontId="0" fillId="0" borderId="23" xfId="0" applyBorder="1"/>
    <xf numFmtId="0" fontId="0" fillId="0" borderId="25" xfId="0" applyBorder="1"/>
    <xf numFmtId="0" fontId="12" fillId="4" borderId="26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vertical="center" wrapText="1"/>
    </xf>
    <xf numFmtId="0" fontId="12" fillId="4" borderId="22" xfId="0" applyFont="1" applyFill="1" applyBorder="1" applyAlignment="1">
      <alignment vertical="center" wrapText="1"/>
    </xf>
    <xf numFmtId="0" fontId="12" fillId="4" borderId="28" xfId="0" applyFont="1" applyFill="1" applyBorder="1" applyAlignment="1">
      <alignment vertical="center" wrapText="1"/>
    </xf>
    <xf numFmtId="0" fontId="12" fillId="4" borderId="29" xfId="0" applyFont="1" applyFill="1" applyBorder="1" applyAlignment="1">
      <alignment vertical="center" wrapText="1"/>
    </xf>
    <xf numFmtId="0" fontId="12" fillId="4" borderId="29" xfId="0" applyFont="1" applyFill="1" applyBorder="1" applyAlignment="1">
      <alignment horizontal="right" vertical="center" wrapText="1"/>
    </xf>
    <xf numFmtId="0" fontId="0" fillId="0" borderId="30" xfId="0" applyBorder="1"/>
    <xf numFmtId="0" fontId="12" fillId="4" borderId="31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vertical="center" wrapText="1"/>
    </xf>
    <xf numFmtId="9" fontId="10" fillId="0" borderId="33" xfId="0" applyNumberFormat="1" applyFont="1" applyBorder="1" applyAlignment="1">
      <alignment horizontal="right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9" xfId="0" applyBorder="1"/>
    <xf numFmtId="0" fontId="20" fillId="0" borderId="6" xfId="0" applyFont="1" applyBorder="1" applyAlignment="1">
      <alignment wrapText="1"/>
    </xf>
    <xf numFmtId="0" fontId="10" fillId="0" borderId="35" xfId="0" applyFont="1" applyBorder="1" applyAlignment="1">
      <alignment vertical="center" wrapText="1"/>
    </xf>
    <xf numFmtId="9" fontId="10" fillId="0" borderId="35" xfId="0" applyNumberFormat="1" applyFont="1" applyBorder="1" applyAlignment="1">
      <alignment horizontal="right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0" fillId="0" borderId="22" xfId="0" applyFont="1" applyBorder="1"/>
    <xf numFmtId="0" fontId="26" fillId="4" borderId="22" xfId="0" applyFont="1" applyFill="1" applyBorder="1"/>
    <xf numFmtId="0" fontId="0" fillId="0" borderId="36" xfId="0" applyBorder="1"/>
    <xf numFmtId="0" fontId="0" fillId="4" borderId="37" xfId="0" applyFill="1" applyBorder="1"/>
    <xf numFmtId="0" fontId="20" fillId="0" borderId="38" xfId="0" applyFont="1" applyBorder="1" applyAlignment="1">
      <alignment horizontal="right"/>
    </xf>
    <xf numFmtId="0" fontId="25" fillId="0" borderId="39" xfId="0" applyFont="1" applyBorder="1"/>
    <xf numFmtId="0" fontId="20" fillId="0" borderId="37" xfId="0" applyFont="1" applyBorder="1" applyAlignment="1">
      <alignment wrapText="1"/>
    </xf>
    <xf numFmtId="0" fontId="17" fillId="0" borderId="37" xfId="0" applyFont="1" applyBorder="1" applyAlignment="1">
      <alignment horizontal="right"/>
    </xf>
    <xf numFmtId="0" fontId="20" fillId="0" borderId="14" xfId="0" applyFont="1" applyBorder="1"/>
    <xf numFmtId="0" fontId="27" fillId="0" borderId="40" xfId="0" applyFont="1" applyBorder="1" applyAlignment="1">
      <alignment wrapText="1"/>
    </xf>
    <xf numFmtId="2" fontId="20" fillId="4" borderId="0" xfId="0" applyNumberFormat="1" applyFont="1" applyFill="1" applyAlignment="1">
      <alignment wrapText="1"/>
    </xf>
    <xf numFmtId="9" fontId="10" fillId="0" borderId="22" xfId="0" applyNumberFormat="1" applyFont="1" applyBorder="1"/>
    <xf numFmtId="0" fontId="17" fillId="2" borderId="0" xfId="0" applyFont="1" applyFill="1"/>
    <xf numFmtId="0" fontId="17" fillId="2" borderId="0" xfId="0" applyFont="1" applyFill="1" applyAlignment="1">
      <alignment horizontal="right"/>
    </xf>
    <xf numFmtId="0" fontId="9" fillId="4" borderId="0" xfId="0" applyFont="1" applyFill="1"/>
    <xf numFmtId="0" fontId="0" fillId="4" borderId="0" xfId="0" applyFill="1"/>
    <xf numFmtId="0" fontId="20" fillId="0" borderId="0" xfId="0" applyFont="1" applyAlignment="1">
      <alignment wrapText="1"/>
    </xf>
    <xf numFmtId="0" fontId="25" fillId="0" borderId="0" xfId="0" applyFont="1"/>
    <xf numFmtId="0" fontId="20" fillId="0" borderId="0" xfId="0" applyFont="1" applyAlignment="1">
      <alignment horizontal="right"/>
    </xf>
    <xf numFmtId="0" fontId="20" fillId="4" borderId="0" xfId="0" applyFont="1" applyFill="1" applyAlignment="1">
      <alignment horizontal="right" vertical="justify"/>
    </xf>
    <xf numFmtId="0" fontId="9" fillId="0" borderId="0" xfId="0" applyFont="1"/>
    <xf numFmtId="10" fontId="17" fillId="0" borderId="0" xfId="0" applyNumberFormat="1" applyFont="1" applyAlignment="1">
      <alignment horizontal="right" wrapText="1"/>
    </xf>
    <xf numFmtId="10" fontId="17" fillId="0" borderId="0" xfId="0" applyNumberFormat="1" applyFont="1" applyAlignment="1">
      <alignment horizontal="justify" wrapText="1"/>
    </xf>
    <xf numFmtId="2" fontId="17" fillId="0" borderId="0" xfId="0" applyNumberFormat="1" applyFont="1"/>
    <xf numFmtId="0" fontId="20" fillId="0" borderId="41" xfId="0" applyFont="1" applyBorder="1"/>
    <xf numFmtId="0" fontId="28" fillId="0" borderId="0" xfId="0" applyFont="1" applyAlignment="1">
      <alignment vertical="center" wrapText="1"/>
    </xf>
    <xf numFmtId="3" fontId="10" fillId="0" borderId="22" xfId="0" applyNumberFormat="1" applyFont="1" applyBorder="1"/>
    <xf numFmtId="0" fontId="1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0" fillId="0" borderId="18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2" fillId="4" borderId="32" xfId="0" applyFont="1" applyFill="1" applyBorder="1" applyAlignment="1">
      <alignment vertical="center" wrapText="1"/>
    </xf>
    <xf numFmtId="0" fontId="12" fillId="4" borderId="24" xfId="0" applyFont="1" applyFill="1" applyBorder="1" applyAlignment="1">
      <alignment vertical="center" wrapText="1"/>
    </xf>
  </cellXfs>
  <cellStyles count="11">
    <cellStyle name="Komma" xfId="1" builtinId="3"/>
    <cellStyle name="Komma 2" xfId="7" xr:uid="{E73D14CE-05C9-4162-B3D2-6C4B9D1A72F4}"/>
    <cellStyle name="Komma 3" xfId="10" xr:uid="{4AC249C4-47F4-4CC7-9FE8-1B04A25C7D60}"/>
    <cellStyle name="Procent" xfId="2" builtinId="5"/>
    <cellStyle name="Procent 2" xfId="8" xr:uid="{17BB85A4-21D6-4928-891F-732C2D2ADE41}"/>
    <cellStyle name="Standaard" xfId="0" builtinId="0"/>
    <cellStyle name="Standaard 2" xfId="5" xr:uid="{00000000-0005-0000-0000-000003000000}"/>
    <cellStyle name="Standaard 3" xfId="3" xr:uid="{00000000-0005-0000-0000-000004000000}"/>
    <cellStyle name="Standaard 3 2" xfId="4" xr:uid="{00000000-0005-0000-0000-000005000000}"/>
    <cellStyle name="Standaard 4" xfId="6" xr:uid="{06D74A91-F2E3-42C2-A1C4-8E72FD7C02B0}"/>
    <cellStyle name="Standaard 5" xfId="9" xr:uid="{3ABFBD11-AB96-403D-94E0-8C7791F9E3D7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D7575"/>
      <color rgb="FFB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3B263-11CD-48D6-A7A9-B2203B79BBE4}">
  <dimension ref="A1:O64"/>
  <sheetViews>
    <sheetView zoomScale="90" zoomScaleNormal="90" workbookViewId="0">
      <selection activeCell="A28" sqref="A28"/>
    </sheetView>
  </sheetViews>
  <sheetFormatPr defaultRowHeight="10.199999999999999" x14ac:dyDescent="0.2"/>
  <cols>
    <col min="1" max="1" width="2.25" customWidth="1"/>
    <col min="2" max="2" width="20" customWidth="1"/>
    <col min="3" max="3" width="55.125" customWidth="1"/>
    <col min="4" max="4" width="16.375" customWidth="1"/>
    <col min="5" max="5" width="11.125" customWidth="1"/>
    <col min="6" max="6" width="112.5" customWidth="1"/>
    <col min="7" max="8" width="14.125" customWidth="1"/>
    <col min="9" max="9" width="15.625" bestFit="1" customWidth="1"/>
    <col min="10" max="10" width="14.625" bestFit="1" customWidth="1"/>
    <col min="11" max="11" width="14.125" customWidth="1"/>
    <col min="12" max="12" width="9.625" bestFit="1" customWidth="1"/>
    <col min="13" max="14" width="16.125" bestFit="1" customWidth="1"/>
    <col min="15" max="15" width="14.125" bestFit="1" customWidth="1"/>
    <col min="16" max="16" width="13.75" bestFit="1" customWidth="1"/>
    <col min="17" max="17" width="14.125" bestFit="1" customWidth="1"/>
    <col min="18" max="18" width="12" bestFit="1" customWidth="1"/>
    <col min="19" max="19" width="15.625" customWidth="1"/>
    <col min="20" max="25" width="11.25" customWidth="1"/>
    <col min="28" max="28" width="11.625" bestFit="1" customWidth="1"/>
    <col min="29" max="29" width="13" bestFit="1" customWidth="1"/>
  </cols>
  <sheetData>
    <row r="1" spans="2:11" ht="21" x14ac:dyDescent="0.4">
      <c r="B1" s="20" t="s">
        <v>13</v>
      </c>
    </row>
    <row r="3" spans="2:11" ht="18" x14ac:dyDescent="0.35">
      <c r="B3" s="157" t="s">
        <v>14</v>
      </c>
      <c r="C3" s="157"/>
      <c r="D3" s="157"/>
      <c r="F3" s="105" t="s">
        <v>32</v>
      </c>
      <c r="G3" s="106"/>
      <c r="K3" s="25"/>
    </row>
    <row r="4" spans="2:11" x14ac:dyDescent="0.2">
      <c r="B4" s="107"/>
    </row>
    <row r="5" spans="2:11" ht="13.5" customHeight="1" x14ac:dyDescent="0.2">
      <c r="B5" s="114" t="s">
        <v>0</v>
      </c>
      <c r="C5" s="115" t="s">
        <v>1</v>
      </c>
      <c r="D5" s="116" t="s">
        <v>12</v>
      </c>
      <c r="E5" s="117"/>
      <c r="F5" s="119" t="s">
        <v>17</v>
      </c>
      <c r="G5" s="120" t="s">
        <v>12</v>
      </c>
      <c r="H5" s="110"/>
      <c r="I5" s="112" t="s">
        <v>18</v>
      </c>
      <c r="J5" s="123" t="s">
        <v>12</v>
      </c>
      <c r="K5" s="110"/>
    </row>
    <row r="6" spans="2:11" ht="15" customHeight="1" x14ac:dyDescent="0.2">
      <c r="B6" s="21" t="s">
        <v>2</v>
      </c>
      <c r="C6" s="21" t="s">
        <v>9</v>
      </c>
      <c r="D6" s="85">
        <v>0.17499999999999999</v>
      </c>
      <c r="F6" s="127" t="s">
        <v>72</v>
      </c>
      <c r="G6" s="128">
        <v>1.1000000000000001</v>
      </c>
      <c r="I6" s="121" t="s">
        <v>19</v>
      </c>
      <c r="J6" s="122">
        <v>1.1499999999999999</v>
      </c>
    </row>
    <row r="7" spans="2:11" ht="14.55" customHeight="1" x14ac:dyDescent="0.2">
      <c r="B7" s="21" t="s">
        <v>3</v>
      </c>
      <c r="C7" s="21" t="s">
        <v>39</v>
      </c>
      <c r="D7" s="85">
        <v>0.31</v>
      </c>
      <c r="F7" s="100" t="s">
        <v>73</v>
      </c>
      <c r="G7" s="101">
        <v>1</v>
      </c>
      <c r="I7" s="21" t="s">
        <v>20</v>
      </c>
      <c r="J7" s="23">
        <v>1</v>
      </c>
    </row>
    <row r="8" spans="2:11" ht="12" x14ac:dyDescent="0.2">
      <c r="B8" s="21" t="s">
        <v>4</v>
      </c>
      <c r="C8" s="21" t="s">
        <v>28</v>
      </c>
      <c r="D8" s="85">
        <v>0.39</v>
      </c>
      <c r="F8" s="100" t="s">
        <v>74</v>
      </c>
      <c r="G8" s="101">
        <v>0.9</v>
      </c>
      <c r="I8" s="21" t="s">
        <v>21</v>
      </c>
      <c r="J8" s="23">
        <v>0</v>
      </c>
    </row>
    <row r="9" spans="2:11" ht="12" x14ac:dyDescent="0.2">
      <c r="B9" s="21" t="s">
        <v>5</v>
      </c>
      <c r="C9" s="21" t="s">
        <v>11</v>
      </c>
      <c r="D9" s="85">
        <v>0.05</v>
      </c>
      <c r="F9" s="100" t="s">
        <v>75</v>
      </c>
      <c r="G9" s="101">
        <v>0.6</v>
      </c>
      <c r="I9" s="24"/>
      <c r="J9" s="80"/>
    </row>
    <row r="10" spans="2:11" ht="12" x14ac:dyDescent="0.2">
      <c r="B10" s="21" t="s">
        <v>29</v>
      </c>
      <c r="C10" s="21" t="s">
        <v>31</v>
      </c>
      <c r="D10" s="85">
        <v>7.4999999999999997E-2</v>
      </c>
      <c r="F10" s="100" t="s">
        <v>71</v>
      </c>
      <c r="G10" s="101">
        <f>0.6*0.3</f>
        <v>0.18</v>
      </c>
      <c r="I10" s="24"/>
      <c r="J10" s="80"/>
    </row>
    <row r="11" spans="2:11" ht="12.6" x14ac:dyDescent="0.2">
      <c r="B11" s="73"/>
      <c r="C11" s="74" t="s">
        <v>7</v>
      </c>
      <c r="D11" s="75">
        <f>SUM(D6,D7,D8,D9,D10)</f>
        <v>1</v>
      </c>
      <c r="F11" s="24"/>
      <c r="G11" s="80"/>
    </row>
    <row r="12" spans="2:11" ht="12" x14ac:dyDescent="0.2">
      <c r="B12" s="19" t="s">
        <v>59</v>
      </c>
      <c r="F12" s="100" t="s">
        <v>27</v>
      </c>
      <c r="G12" s="156">
        <v>600000</v>
      </c>
      <c r="I12" s="24"/>
    </row>
    <row r="13" spans="2:11" ht="13.5" customHeight="1" x14ac:dyDescent="0.2">
      <c r="F13" s="100" t="s">
        <v>22</v>
      </c>
      <c r="G13" s="156">
        <v>725000</v>
      </c>
      <c r="I13" s="24"/>
    </row>
    <row r="14" spans="2:11" ht="13.5" customHeight="1" x14ac:dyDescent="0.2">
      <c r="B14" s="24"/>
      <c r="C14" s="24"/>
      <c r="D14" s="76"/>
      <c r="F14" s="24"/>
      <c r="G14" s="80"/>
    </row>
    <row r="15" spans="2:11" ht="20.399999999999999" x14ac:dyDescent="0.2">
      <c r="B15" s="24"/>
      <c r="C15" s="24"/>
      <c r="D15" s="77"/>
      <c r="F15" s="155" t="s">
        <v>76</v>
      </c>
    </row>
    <row r="16" spans="2:11" ht="12.6" x14ac:dyDescent="0.2">
      <c r="B16" s="78"/>
      <c r="C16" s="78"/>
      <c r="D16" s="77"/>
    </row>
    <row r="17" spans="1:10" ht="12" customHeight="1" x14ac:dyDescent="0.2">
      <c r="B17" s="78"/>
      <c r="C17" s="78"/>
      <c r="D17" s="77"/>
    </row>
    <row r="18" spans="1:10" ht="13.2" x14ac:dyDescent="0.25">
      <c r="F18" s="24"/>
      <c r="G18" s="79"/>
    </row>
    <row r="19" spans="1:10" ht="18" x14ac:dyDescent="0.35">
      <c r="B19" s="105" t="s">
        <v>48</v>
      </c>
      <c r="C19" s="106"/>
      <c r="D19" s="106"/>
    </row>
    <row r="20" spans="1:10" ht="12.6" customHeight="1" x14ac:dyDescent="0.35">
      <c r="D20" s="107"/>
      <c r="F20" s="105" t="s">
        <v>47</v>
      </c>
      <c r="G20" s="106"/>
      <c r="I20" s="131" t="s">
        <v>62</v>
      </c>
      <c r="J20" s="131" t="s">
        <v>63</v>
      </c>
    </row>
    <row r="21" spans="1:10" ht="12.6" x14ac:dyDescent="0.2">
      <c r="A21" s="109"/>
      <c r="B21" s="163" t="s">
        <v>15</v>
      </c>
      <c r="C21" s="164"/>
      <c r="D21" s="118" t="s">
        <v>8</v>
      </c>
      <c r="E21" s="117"/>
      <c r="F21" s="13" t="s">
        <v>49</v>
      </c>
      <c r="I21" s="130">
        <v>2028</v>
      </c>
      <c r="J21" s="130">
        <v>0.75</v>
      </c>
    </row>
    <row r="22" spans="1:10" ht="12.6" x14ac:dyDescent="0.2">
      <c r="B22" s="161" t="s">
        <v>33</v>
      </c>
      <c r="C22" s="162"/>
      <c r="D22" s="22">
        <v>100</v>
      </c>
      <c r="F22" s="113" t="s">
        <v>40</v>
      </c>
      <c r="G22" s="111" t="s">
        <v>12</v>
      </c>
      <c r="H22" s="110"/>
      <c r="I22" s="130">
        <v>2029</v>
      </c>
      <c r="J22" s="130">
        <v>1.5</v>
      </c>
    </row>
    <row r="23" spans="1:10" ht="12" x14ac:dyDescent="0.2">
      <c r="B23" s="161" t="s">
        <v>16</v>
      </c>
      <c r="C23" s="162"/>
      <c r="D23" s="22">
        <v>85</v>
      </c>
      <c r="F23" s="100" t="s">
        <v>51</v>
      </c>
      <c r="G23" s="101">
        <v>1</v>
      </c>
      <c r="I23" s="130">
        <v>2030</v>
      </c>
      <c r="J23" s="130">
        <v>1.5</v>
      </c>
    </row>
    <row r="24" spans="1:10" ht="12" x14ac:dyDescent="0.2">
      <c r="B24" s="161" t="s">
        <v>6</v>
      </c>
      <c r="C24" s="162"/>
      <c r="D24" s="22">
        <v>60</v>
      </c>
      <c r="F24" s="104" t="s">
        <v>69</v>
      </c>
      <c r="G24" s="101">
        <v>0.75</v>
      </c>
      <c r="I24" s="130">
        <v>2031</v>
      </c>
      <c r="J24" s="130">
        <v>1</v>
      </c>
    </row>
    <row r="25" spans="1:10" ht="12" x14ac:dyDescent="0.2">
      <c r="B25" s="161" t="s">
        <v>34</v>
      </c>
      <c r="C25" s="162"/>
      <c r="D25" s="22">
        <v>30</v>
      </c>
      <c r="F25" s="104" t="s">
        <v>70</v>
      </c>
      <c r="G25" s="101">
        <v>0.5</v>
      </c>
      <c r="I25" s="130">
        <v>2032</v>
      </c>
      <c r="J25" s="130">
        <v>1</v>
      </c>
    </row>
    <row r="26" spans="1:10" ht="12" x14ac:dyDescent="0.2">
      <c r="B26" s="161" t="s">
        <v>30</v>
      </c>
      <c r="C26" s="162"/>
      <c r="D26" s="22">
        <v>10</v>
      </c>
      <c r="F26" s="130" t="s">
        <v>68</v>
      </c>
      <c r="G26" s="141">
        <v>0.5</v>
      </c>
      <c r="I26" s="130">
        <v>2033</v>
      </c>
      <c r="J26" s="130">
        <v>1</v>
      </c>
    </row>
    <row r="27" spans="1:10" ht="12" x14ac:dyDescent="0.2">
      <c r="B27" s="159" t="s">
        <v>35</v>
      </c>
      <c r="C27" s="160"/>
      <c r="D27" s="82">
        <v>0</v>
      </c>
      <c r="F27" s="100" t="s">
        <v>52</v>
      </c>
      <c r="G27" s="101">
        <v>0</v>
      </c>
      <c r="I27" s="130">
        <v>2034</v>
      </c>
      <c r="J27" s="130">
        <v>1</v>
      </c>
    </row>
    <row r="28" spans="1:10" ht="12" x14ac:dyDescent="0.2">
      <c r="B28" s="19" t="s">
        <v>60</v>
      </c>
      <c r="C28" s="24"/>
      <c r="D28" s="81"/>
      <c r="I28" s="130">
        <v>2035</v>
      </c>
      <c r="J28" s="130">
        <v>0.5</v>
      </c>
    </row>
    <row r="29" spans="1:10" ht="12" x14ac:dyDescent="0.2">
      <c r="B29" s="19"/>
      <c r="F29" s="108" t="s">
        <v>50</v>
      </c>
      <c r="G29" s="107"/>
      <c r="I29" s="130">
        <v>2036</v>
      </c>
      <c r="J29" s="130">
        <v>0.5</v>
      </c>
    </row>
    <row r="30" spans="1:10" ht="12.6" x14ac:dyDescent="0.2">
      <c r="F30" s="113" t="s">
        <v>41</v>
      </c>
      <c r="G30" s="129" t="s">
        <v>12</v>
      </c>
      <c r="I30" s="130">
        <v>2037</v>
      </c>
      <c r="J30" s="130">
        <v>0.5</v>
      </c>
    </row>
    <row r="31" spans="1:10" ht="12" x14ac:dyDescent="0.2">
      <c r="F31" s="100" t="s">
        <v>42</v>
      </c>
      <c r="G31" s="101">
        <v>1</v>
      </c>
      <c r="I31" s="130">
        <v>2038</v>
      </c>
      <c r="J31" s="130">
        <v>0.5</v>
      </c>
    </row>
    <row r="32" spans="1:10" ht="12" x14ac:dyDescent="0.2">
      <c r="F32" s="100" t="s">
        <v>43</v>
      </c>
      <c r="G32" s="101">
        <v>0.5</v>
      </c>
      <c r="I32" s="130">
        <v>2039</v>
      </c>
      <c r="J32" s="130">
        <v>0.5</v>
      </c>
    </row>
    <row r="33" spans="2:10" ht="12" x14ac:dyDescent="0.2">
      <c r="F33" s="100" t="s">
        <v>44</v>
      </c>
      <c r="G33" s="101">
        <v>0</v>
      </c>
      <c r="I33" s="130">
        <v>2040</v>
      </c>
      <c r="J33" s="130">
        <v>0.5</v>
      </c>
    </row>
    <row r="34" spans="2:10" ht="12" x14ac:dyDescent="0.2">
      <c r="F34" s="100" t="s">
        <v>45</v>
      </c>
      <c r="G34" s="101" t="s">
        <v>46</v>
      </c>
      <c r="I34" s="130">
        <v>2041</v>
      </c>
      <c r="J34" s="130">
        <v>0.25</v>
      </c>
    </row>
    <row r="35" spans="2:10" x14ac:dyDescent="0.2">
      <c r="I35" s="13" t="s">
        <v>49</v>
      </c>
      <c r="J35" s="13"/>
    </row>
    <row r="46" spans="2:10" x14ac:dyDescent="0.2">
      <c r="B46" s="1"/>
    </row>
    <row r="48" spans="2:10" x14ac:dyDescent="0.2">
      <c r="B48" s="1"/>
    </row>
    <row r="49" spans="2:15" x14ac:dyDescent="0.2">
      <c r="B49" s="1"/>
      <c r="M49" s="14"/>
      <c r="O49" s="18"/>
    </row>
    <row r="50" spans="2:15" x14ac:dyDescent="0.2">
      <c r="B50" s="1"/>
      <c r="M50" s="14"/>
      <c r="O50" s="18"/>
    </row>
    <row r="51" spans="2:15" x14ac:dyDescent="0.2">
      <c r="B51" s="1"/>
      <c r="M51" s="14"/>
      <c r="O51" s="18"/>
    </row>
    <row r="52" spans="2:15" x14ac:dyDescent="0.2">
      <c r="B52" s="1"/>
      <c r="M52" s="14"/>
      <c r="O52" s="18"/>
    </row>
    <row r="53" spans="2:15" x14ac:dyDescent="0.2">
      <c r="B53" s="1"/>
      <c r="M53" s="14"/>
      <c r="O53" s="18"/>
    </row>
    <row r="54" spans="2:15" x14ac:dyDescent="0.2">
      <c r="B54" s="1"/>
      <c r="M54" s="14"/>
      <c r="O54" s="18"/>
    </row>
    <row r="55" spans="2:15" x14ac:dyDescent="0.2">
      <c r="B55" s="1"/>
      <c r="C55" s="1"/>
      <c r="M55" s="14"/>
      <c r="O55" s="18"/>
    </row>
    <row r="56" spans="2:15" x14ac:dyDescent="0.2">
      <c r="M56" s="14"/>
      <c r="O56" s="18"/>
    </row>
    <row r="58" spans="2:15" x14ac:dyDescent="0.2">
      <c r="D58" s="16"/>
    </row>
    <row r="59" spans="2:15" x14ac:dyDescent="0.2">
      <c r="D59" s="16"/>
    </row>
    <row r="60" spans="2:15" x14ac:dyDescent="0.2">
      <c r="D60" s="16"/>
    </row>
    <row r="61" spans="2:15" x14ac:dyDescent="0.2">
      <c r="D61" s="17"/>
    </row>
    <row r="62" spans="2:15" x14ac:dyDescent="0.2">
      <c r="D62" s="15"/>
    </row>
    <row r="64" spans="2:15" x14ac:dyDescent="0.2">
      <c r="D64" s="15"/>
    </row>
  </sheetData>
  <mergeCells count="8">
    <mergeCell ref="B3:D3"/>
    <mergeCell ref="B27:C27"/>
    <mergeCell ref="B26:C26"/>
    <mergeCell ref="B25:C25"/>
    <mergeCell ref="B24:C24"/>
    <mergeCell ref="B23:C23"/>
    <mergeCell ref="B22:C22"/>
    <mergeCell ref="B21:C21"/>
  </mergeCells>
  <phoneticPr fontId="2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pageSetUpPr fitToPage="1"/>
  </sheetPr>
  <dimension ref="B1:BN102"/>
  <sheetViews>
    <sheetView tabSelected="1" topLeftCell="A30" zoomScaleNormal="100" workbookViewId="0">
      <selection activeCell="D45" sqref="D45"/>
    </sheetView>
  </sheetViews>
  <sheetFormatPr defaultRowHeight="10.199999999999999" x14ac:dyDescent="0.2"/>
  <cols>
    <col min="1" max="1" width="2.75" customWidth="1"/>
    <col min="2" max="2" width="7.25" customWidth="1"/>
    <col min="3" max="3" width="112.375" customWidth="1"/>
    <col min="4" max="4" width="20.125" customWidth="1"/>
    <col min="5" max="5" width="20" customWidth="1"/>
    <col min="6" max="6" width="20.125" style="3" customWidth="1"/>
    <col min="7" max="8" width="13.75" style="3" customWidth="1"/>
    <col min="9" max="11" width="13.75" customWidth="1"/>
    <col min="12" max="12" width="14" customWidth="1"/>
    <col min="13" max="13" width="13.75" customWidth="1"/>
    <col min="14" max="15" width="13.875" customWidth="1"/>
    <col min="16" max="16" width="14" customWidth="1"/>
    <col min="17" max="18" width="13.75" customWidth="1"/>
    <col min="19" max="19" width="15" customWidth="1"/>
    <col min="20" max="21" width="11.875" bestFit="1" customWidth="1"/>
    <col min="22" max="22" width="2.25" customWidth="1"/>
    <col min="23" max="23" width="3.25" customWidth="1"/>
    <col min="24" max="24" width="10.25" bestFit="1" customWidth="1"/>
    <col min="33" max="34" width="3.25" customWidth="1"/>
    <col min="45" max="46" width="3" customWidth="1"/>
    <col min="47" max="47" width="3.375" customWidth="1"/>
    <col min="48" max="57" width="11.625" bestFit="1" customWidth="1"/>
    <col min="58" max="58" width="3" customWidth="1"/>
    <col min="59" max="59" width="2.625" customWidth="1"/>
    <col min="60" max="60" width="3.375" customWidth="1"/>
    <col min="61" max="70" width="11.625" bestFit="1" customWidth="1"/>
    <col min="71" max="71" width="3" customWidth="1"/>
    <col min="72" max="72" width="4.125" customWidth="1"/>
    <col min="73" max="73" width="2.875" customWidth="1"/>
    <col min="74" max="75" width="11.625" bestFit="1" customWidth="1"/>
    <col min="76" max="76" width="11.75" bestFit="1" customWidth="1"/>
    <col min="77" max="77" width="2.875" customWidth="1"/>
    <col min="78" max="78" width="3.25" customWidth="1"/>
  </cols>
  <sheetData>
    <row r="1" spans="2:66" ht="21" x14ac:dyDescent="0.4">
      <c r="B1" s="20" t="s">
        <v>10</v>
      </c>
      <c r="C1" s="26"/>
      <c r="D1" s="26"/>
      <c r="E1" s="26"/>
      <c r="F1" s="27"/>
      <c r="G1" s="27"/>
      <c r="AY1" s="4" t="e">
        <f>SUM(#REF!)</f>
        <v>#REF!</v>
      </c>
      <c r="AZ1" s="4" t="e">
        <f>SUM(#REF!)</f>
        <v>#REF!</v>
      </c>
      <c r="BA1" s="4" t="e">
        <f>SUM(#REF!)</f>
        <v>#REF!</v>
      </c>
      <c r="BB1" s="4" t="e">
        <f>SUM(#REF!)</f>
        <v>#REF!</v>
      </c>
      <c r="BC1" s="4" t="e">
        <f>SUM(#REF!)</f>
        <v>#REF!</v>
      </c>
      <c r="BD1" s="4" t="e">
        <f>SUM(#REF!)</f>
        <v>#REF!</v>
      </c>
      <c r="BE1" s="4" t="e">
        <f>SUM(#REF!)</f>
        <v>#REF!</v>
      </c>
      <c r="BF1" s="4" t="e">
        <f>SUM(#REF!)</f>
        <v>#REF!</v>
      </c>
      <c r="BG1" s="4" t="e">
        <f>SUM(#REF!)</f>
        <v>#REF!</v>
      </c>
      <c r="BH1" s="4" t="e">
        <f>SUM(#REF!)</f>
        <v>#REF!</v>
      </c>
      <c r="BL1" s="6"/>
      <c r="BM1" s="6"/>
      <c r="BN1" s="6"/>
    </row>
    <row r="2" spans="2:66" x14ac:dyDescent="0.2">
      <c r="B2" s="26"/>
      <c r="C2" s="26"/>
      <c r="D2" s="26"/>
      <c r="E2" s="26"/>
      <c r="F2" s="27"/>
      <c r="G2" s="27"/>
      <c r="AY2" s="4"/>
      <c r="AZ2" s="4"/>
      <c r="BA2" s="4"/>
      <c r="BB2" s="4"/>
      <c r="BC2" s="4"/>
      <c r="BD2" s="4"/>
      <c r="BE2" s="4"/>
      <c r="BF2" s="4"/>
      <c r="BG2" s="4"/>
      <c r="BH2" s="4"/>
      <c r="BL2" s="6"/>
      <c r="BM2" s="6"/>
      <c r="BN2" s="6"/>
    </row>
    <row r="3" spans="2:66" ht="18" x14ac:dyDescent="0.35">
      <c r="B3" s="157" t="s">
        <v>23</v>
      </c>
      <c r="C3" s="157"/>
      <c r="D3" s="157"/>
      <c r="E3" s="26"/>
      <c r="F3" s="26"/>
      <c r="G3" s="26"/>
      <c r="H3"/>
      <c r="AX3" s="4"/>
      <c r="AY3" s="4"/>
      <c r="AZ3" s="4"/>
      <c r="BA3" s="4"/>
      <c r="BB3" s="4"/>
      <c r="BC3" s="4"/>
      <c r="BD3" s="4"/>
      <c r="BE3" s="4"/>
      <c r="BF3" s="4"/>
      <c r="BG3" s="4"/>
      <c r="BK3" s="6"/>
      <c r="BL3" s="6"/>
      <c r="BM3" s="6"/>
    </row>
    <row r="4" spans="2:66" ht="10.8" thickBot="1" x14ac:dyDescent="0.25">
      <c r="B4" s="28"/>
      <c r="C4" s="26"/>
      <c r="D4" s="26"/>
      <c r="E4" s="26"/>
      <c r="F4" s="26"/>
      <c r="G4" s="26"/>
      <c r="H4"/>
      <c r="AX4" s="4"/>
      <c r="AY4" s="4"/>
      <c r="AZ4" s="4"/>
      <c r="BA4" s="4"/>
      <c r="BB4" s="4"/>
      <c r="BC4" s="4"/>
      <c r="BD4" s="4"/>
      <c r="BE4" s="4"/>
      <c r="BF4" s="4"/>
      <c r="BG4" s="4"/>
      <c r="BK4" s="6"/>
      <c r="BL4" s="6"/>
      <c r="BM4" s="6"/>
    </row>
    <row r="5" spans="2:66" ht="13.8" x14ac:dyDescent="0.3">
      <c r="B5" s="36" t="s">
        <v>0</v>
      </c>
      <c r="C5" s="37" t="s">
        <v>1</v>
      </c>
      <c r="D5" s="50" t="s">
        <v>12</v>
      </c>
      <c r="E5" s="50" t="s">
        <v>24</v>
      </c>
      <c r="F5" s="50" t="s">
        <v>23</v>
      </c>
      <c r="G5" s="54"/>
      <c r="H5"/>
      <c r="AX5" s="4"/>
      <c r="AY5" s="4"/>
      <c r="AZ5" s="4"/>
      <c r="BA5" s="4"/>
      <c r="BB5" s="4"/>
      <c r="BC5" s="4"/>
      <c r="BD5" s="4"/>
      <c r="BE5" s="4"/>
      <c r="BF5" s="4"/>
      <c r="BG5" s="4"/>
      <c r="BK5" s="6"/>
      <c r="BL5" s="6"/>
      <c r="BM5" s="6"/>
    </row>
    <row r="6" spans="2:66" ht="13.8" x14ac:dyDescent="0.3">
      <c r="B6" s="41" t="str">
        <f>'Scores en gewichten'!B6</f>
        <v>G1</v>
      </c>
      <c r="C6" s="42" t="str">
        <f>'Scores en gewichten'!C6</f>
        <v>Ontwikkelplan</v>
      </c>
      <c r="D6" s="55">
        <f>'Scores en gewichten'!D6</f>
        <v>0.17499999999999999</v>
      </c>
      <c r="E6" s="72">
        <f>F17</f>
        <v>30</v>
      </c>
      <c r="F6" s="53">
        <f>IF(E6="Ongeldige inschrijving","Ongeldige inschrijving",D6*E6)</f>
        <v>5.25</v>
      </c>
      <c r="G6" s="35"/>
      <c r="H6"/>
      <c r="AX6" s="4"/>
      <c r="AY6" s="4"/>
      <c r="AZ6" s="4"/>
      <c r="BA6" s="4"/>
      <c r="BB6" s="4"/>
      <c r="BC6" s="4"/>
      <c r="BD6" s="4"/>
      <c r="BE6" s="4"/>
      <c r="BF6" s="4"/>
      <c r="BG6" s="4"/>
      <c r="BK6" s="6"/>
      <c r="BL6" s="6"/>
      <c r="BM6" s="6"/>
    </row>
    <row r="7" spans="2:66" ht="13.8" x14ac:dyDescent="0.3">
      <c r="B7" s="41" t="str">
        <f>'Scores en gewichten'!B7</f>
        <v>G2</v>
      </c>
      <c r="C7" s="42" t="str">
        <f>'Scores en gewichten'!C7</f>
        <v>Aanbod Gewogen Dienstregelinguren</v>
      </c>
      <c r="D7" s="55">
        <f>'Scores en gewichten'!D7</f>
        <v>0.31</v>
      </c>
      <c r="E7" s="83">
        <f>D45</f>
        <v>4.7881300964545517</v>
      </c>
      <c r="F7" s="53">
        <f>IF(E7="Ongeldige inschrijving","Ongeldige inschrijving",D7*E7)</f>
        <v>1.4843203299009111</v>
      </c>
      <c r="G7" s="35"/>
      <c r="H7"/>
      <c r="AX7" s="4"/>
      <c r="AY7" s="4"/>
      <c r="AZ7" s="4"/>
      <c r="BA7" s="4"/>
      <c r="BB7" s="4"/>
      <c r="BC7" s="4"/>
      <c r="BD7" s="4"/>
      <c r="BE7" s="4"/>
      <c r="BF7" s="4"/>
      <c r="BG7" s="4"/>
      <c r="BK7" s="6"/>
      <c r="BL7" s="6"/>
      <c r="BM7" s="6"/>
    </row>
    <row r="8" spans="2:66" ht="13.8" x14ac:dyDescent="0.3">
      <c r="B8" s="41" t="str">
        <f>'Scores en gewichten'!B8</f>
        <v>G3</v>
      </c>
      <c r="C8" s="42" t="str">
        <f>'Scores en gewichten'!C8</f>
        <v>Exploitatieplan</v>
      </c>
      <c r="D8" s="55">
        <f>'Scores en gewichten'!D8</f>
        <v>0.39</v>
      </c>
      <c r="E8" s="83">
        <f>F18</f>
        <v>100</v>
      </c>
      <c r="F8" s="53">
        <f>IF(E8="Ongeldige inschrijving","Ongeldige inschrijving",D8*E8)</f>
        <v>39</v>
      </c>
      <c r="G8" s="35"/>
      <c r="H8"/>
      <c r="AX8" s="4"/>
      <c r="AY8" s="4"/>
      <c r="AZ8" s="4"/>
      <c r="BA8" s="4"/>
      <c r="BB8" s="4"/>
      <c r="BC8" s="4"/>
      <c r="BD8" s="4"/>
      <c r="BE8" s="4"/>
      <c r="BF8" s="4"/>
      <c r="BG8" s="4"/>
      <c r="BK8" s="6"/>
      <c r="BL8" s="6"/>
      <c r="BM8" s="6"/>
    </row>
    <row r="9" spans="2:66" ht="13.8" x14ac:dyDescent="0.3">
      <c r="B9" s="41" t="str">
        <f>'Scores en gewichten'!B9</f>
        <v>G4</v>
      </c>
      <c r="C9" s="42" t="str">
        <f>'Scores en gewichten'!C9</f>
        <v>Materieelplan</v>
      </c>
      <c r="D9" s="55">
        <f>'Scores en gewichten'!D9</f>
        <v>0.05</v>
      </c>
      <c r="E9" s="83">
        <f>F19</f>
        <v>100</v>
      </c>
      <c r="F9" s="53">
        <f t="shared" ref="F9" si="0">IF(E9="Ongeldige inschrijving","Ongeldige inschrijving",D9*E9)</f>
        <v>5</v>
      </c>
      <c r="G9" s="35"/>
      <c r="H9"/>
      <c r="AX9" s="4"/>
      <c r="AY9" s="4"/>
      <c r="AZ9" s="4"/>
      <c r="BA9" s="4"/>
      <c r="BB9" s="4"/>
      <c r="BC9" s="4"/>
      <c r="BD9" s="4"/>
      <c r="BE9" s="4"/>
      <c r="BF9" s="4"/>
      <c r="BG9" s="4"/>
      <c r="BK9" s="6"/>
      <c r="BL9" s="6"/>
      <c r="BM9" s="6"/>
    </row>
    <row r="10" spans="2:66" ht="13.8" x14ac:dyDescent="0.3">
      <c r="B10" s="41" t="str">
        <f>'Scores en gewichten'!B10</f>
        <v>G5</v>
      </c>
      <c r="C10" s="42" t="str">
        <f>'Scores en gewichten'!C10</f>
        <v>Zero-Emissie</v>
      </c>
      <c r="D10" s="55">
        <f>'Scores en gewichten'!D10</f>
        <v>7.4999999999999997E-2</v>
      </c>
      <c r="E10" s="72">
        <f>D73</f>
        <v>63.178135995417662</v>
      </c>
      <c r="F10" s="53">
        <f>IF(E10="Ongeldige inschrijving","Ongeldige inschrijving",D10*E10)</f>
        <v>4.7383601996563245</v>
      </c>
      <c r="G10" s="35"/>
      <c r="H10"/>
      <c r="AX10" s="4"/>
      <c r="AY10" s="4"/>
      <c r="AZ10" s="4"/>
      <c r="BA10" s="4"/>
      <c r="BB10" s="4"/>
      <c r="BC10" s="4"/>
      <c r="BD10" s="4"/>
      <c r="BE10" s="4"/>
      <c r="BF10" s="4"/>
      <c r="BG10" s="4"/>
      <c r="BK10" s="6"/>
      <c r="BL10" s="6"/>
      <c r="BM10" s="6"/>
    </row>
    <row r="11" spans="2:66" ht="14.4" thickBot="1" x14ac:dyDescent="0.35">
      <c r="B11" s="43"/>
      <c r="C11" s="44" t="s">
        <v>26</v>
      </c>
      <c r="D11" s="51">
        <f>SUM(D6:D10)</f>
        <v>1</v>
      </c>
      <c r="E11" s="52"/>
      <c r="F11" s="84">
        <f>SUM(F6:F10)</f>
        <v>55.472680529557238</v>
      </c>
      <c r="G11" s="34"/>
      <c r="H11"/>
      <c r="AX11" s="4"/>
      <c r="AY11" s="4"/>
      <c r="AZ11" s="4"/>
      <c r="BA11" s="4"/>
      <c r="BB11" s="4"/>
      <c r="BC11" s="4"/>
      <c r="BD11" s="4"/>
      <c r="BE11" s="4"/>
      <c r="BF11" s="4"/>
      <c r="BG11" s="4"/>
      <c r="BK11" s="6"/>
      <c r="BL11" s="6"/>
      <c r="BM11" s="6"/>
    </row>
    <row r="12" spans="2:66" ht="13.8" x14ac:dyDescent="0.3">
      <c r="B12" s="42"/>
      <c r="C12" s="40"/>
      <c r="D12" s="27"/>
      <c r="E12" s="27"/>
      <c r="F12" s="45"/>
      <c r="G12" s="26"/>
      <c r="H12"/>
      <c r="AX12" s="4"/>
      <c r="AY12" s="4"/>
      <c r="AZ12" s="4"/>
      <c r="BA12" s="4"/>
      <c r="BB12" s="4"/>
      <c r="BC12" s="4"/>
      <c r="BD12" s="4"/>
      <c r="BE12" s="4"/>
      <c r="BF12" s="4"/>
      <c r="BG12" s="4"/>
      <c r="BK12" s="6"/>
      <c r="BL12" s="6"/>
      <c r="BM12" s="6"/>
    </row>
    <row r="13" spans="2:66" x14ac:dyDescent="0.2">
      <c r="B13" s="26"/>
      <c r="C13" s="26"/>
      <c r="D13" s="27"/>
      <c r="E13" s="27"/>
      <c r="F13" s="27"/>
      <c r="G13" s="26"/>
      <c r="H13"/>
      <c r="AX13" s="4"/>
      <c r="AY13" s="4"/>
      <c r="AZ13" s="4"/>
      <c r="BA13" s="4"/>
      <c r="BB13" s="4"/>
      <c r="BC13" s="4"/>
      <c r="BD13" s="4"/>
      <c r="BE13" s="4"/>
      <c r="BF13" s="4"/>
      <c r="BG13" s="4"/>
      <c r="BK13" s="6"/>
      <c r="BL13" s="6"/>
      <c r="BM13" s="6"/>
    </row>
    <row r="14" spans="2:66" ht="18" x14ac:dyDescent="0.35">
      <c r="B14" s="157" t="s">
        <v>25</v>
      </c>
      <c r="C14" s="157"/>
      <c r="D14" s="157"/>
      <c r="E14" s="26"/>
      <c r="F14" s="27"/>
      <c r="G14" s="26"/>
      <c r="H14"/>
      <c r="AX14" s="4"/>
      <c r="AY14" s="4"/>
      <c r="AZ14" s="4"/>
      <c r="BA14" s="4"/>
      <c r="BB14" s="4"/>
      <c r="BC14" s="4"/>
      <c r="BD14" s="4"/>
      <c r="BE14" s="4"/>
      <c r="BF14" s="4"/>
      <c r="BG14" s="4"/>
      <c r="BK14" s="6"/>
      <c r="BL14" s="6"/>
      <c r="BM14" s="6"/>
    </row>
    <row r="15" spans="2:66" ht="10.8" thickBot="1" x14ac:dyDescent="0.25">
      <c r="B15" s="29"/>
      <c r="C15" s="26"/>
      <c r="D15" s="26"/>
      <c r="E15" s="26"/>
      <c r="F15" s="27"/>
      <c r="G15" s="26"/>
      <c r="H15"/>
      <c r="AX15" s="4"/>
      <c r="AY15" s="4"/>
      <c r="AZ15" s="4"/>
      <c r="BA15" s="4"/>
      <c r="BB15" s="4"/>
      <c r="BC15" s="4"/>
      <c r="BD15" s="4"/>
      <c r="BE15" s="4"/>
      <c r="BF15" s="4"/>
      <c r="BG15" s="4"/>
      <c r="BK15" s="6"/>
      <c r="BL15" s="6"/>
      <c r="BM15" s="6"/>
    </row>
    <row r="16" spans="2:66" ht="13.8" x14ac:dyDescent="0.3">
      <c r="B16" s="36" t="s">
        <v>0</v>
      </c>
      <c r="C16" s="37" t="s">
        <v>1</v>
      </c>
      <c r="D16" s="38" t="s">
        <v>36</v>
      </c>
      <c r="E16" s="38"/>
      <c r="F16" s="38" t="s">
        <v>8</v>
      </c>
      <c r="G16" s="54"/>
      <c r="H16"/>
      <c r="AX16" s="4"/>
      <c r="AY16" s="4"/>
      <c r="AZ16" s="4"/>
      <c r="BA16" s="4"/>
      <c r="BB16" s="4"/>
      <c r="BC16" s="4"/>
      <c r="BD16" s="4"/>
      <c r="BE16" s="4"/>
      <c r="BF16" s="4"/>
      <c r="BG16" s="4"/>
      <c r="BK16" s="6"/>
      <c r="BL16" s="6"/>
      <c r="BM16" s="6"/>
    </row>
    <row r="17" spans="2:65" ht="13.8" x14ac:dyDescent="0.3">
      <c r="B17" s="41" t="str">
        <f>B6</f>
        <v>G1</v>
      </c>
      <c r="C17" s="42" t="str">
        <f>C6</f>
        <v>Ontwikkelplan</v>
      </c>
      <c r="D17" s="96" t="s">
        <v>34</v>
      </c>
      <c r="E17" s="49"/>
      <c r="F17" s="69">
        <f>VLOOKUP(D17,'Scores en gewichten'!$B$22:$D$28,3,FALSE)</f>
        <v>30</v>
      </c>
      <c r="G17" s="35"/>
      <c r="H17"/>
      <c r="AX17" s="4"/>
      <c r="AY17" s="4"/>
      <c r="AZ17" s="4"/>
      <c r="BA17" s="4"/>
      <c r="BB17" s="4"/>
      <c r="BC17" s="4"/>
      <c r="BD17" s="4"/>
      <c r="BE17" s="4"/>
      <c r="BF17" s="4"/>
      <c r="BG17" s="4"/>
      <c r="BK17" s="6"/>
      <c r="BL17" s="6"/>
      <c r="BM17" s="6"/>
    </row>
    <row r="18" spans="2:65" ht="13.8" x14ac:dyDescent="0.3">
      <c r="B18" s="41" t="str">
        <f t="shared" ref="B18:C19" si="1">B8</f>
        <v>G3</v>
      </c>
      <c r="C18" s="42" t="str">
        <f t="shared" si="1"/>
        <v>Exploitatieplan</v>
      </c>
      <c r="D18" s="96" t="s">
        <v>33</v>
      </c>
      <c r="E18" s="49"/>
      <c r="F18" s="49">
        <f>VLOOKUP(D18,'Scores en gewichten'!$B$22:$D$28,3,FALSE)</f>
        <v>100</v>
      </c>
      <c r="G18" s="35"/>
      <c r="H18"/>
      <c r="AX18" s="4"/>
      <c r="AY18" s="4"/>
      <c r="AZ18" s="4"/>
      <c r="BA18" s="4"/>
      <c r="BB18" s="4"/>
      <c r="BC18" s="4"/>
      <c r="BD18" s="4"/>
      <c r="BE18" s="4"/>
      <c r="BF18" s="4"/>
      <c r="BG18" s="4"/>
      <c r="BK18" s="6"/>
      <c r="BL18" s="6"/>
      <c r="BM18" s="6"/>
    </row>
    <row r="19" spans="2:65" ht="14.4" thickBot="1" x14ac:dyDescent="0.35">
      <c r="B19" s="43" t="str">
        <f t="shared" si="1"/>
        <v>G4</v>
      </c>
      <c r="C19" s="48" t="str">
        <f t="shared" si="1"/>
        <v>Materieelplan</v>
      </c>
      <c r="D19" s="97" t="s">
        <v>33</v>
      </c>
      <c r="E19" s="98"/>
      <c r="F19" s="98">
        <f>VLOOKUP(D19,'Scores en gewichten'!$B$22:$D$28,3,FALSE)</f>
        <v>100</v>
      </c>
      <c r="G19" s="34"/>
      <c r="H19"/>
      <c r="AX19" s="4"/>
      <c r="AY19" s="4"/>
      <c r="AZ19" s="4"/>
      <c r="BA19" s="4"/>
      <c r="BB19" s="4"/>
      <c r="BC19" s="4"/>
      <c r="BD19" s="4"/>
      <c r="BE19" s="4"/>
      <c r="BF19" s="4"/>
      <c r="BG19" s="4"/>
      <c r="BK19" s="6"/>
      <c r="BL19" s="6"/>
      <c r="BM19" s="6"/>
    </row>
    <row r="20" spans="2:65" ht="13.8" x14ac:dyDescent="0.3">
      <c r="B20" s="42"/>
      <c r="C20" s="42"/>
      <c r="D20" s="99"/>
      <c r="E20" s="49"/>
      <c r="F20" s="49"/>
      <c r="G20" s="26"/>
      <c r="H20"/>
      <c r="AX20" s="4"/>
      <c r="AY20" s="4"/>
      <c r="AZ20" s="4"/>
      <c r="BA20" s="4"/>
      <c r="BB20" s="4"/>
      <c r="BC20" s="4"/>
      <c r="BD20" s="4"/>
      <c r="BE20" s="4"/>
      <c r="BF20" s="4"/>
      <c r="BG20" s="4"/>
      <c r="BK20" s="6"/>
      <c r="BL20" s="6"/>
      <c r="BM20" s="6"/>
    </row>
    <row r="21" spans="2:65" x14ac:dyDescent="0.2">
      <c r="B21" s="26"/>
      <c r="C21" s="26"/>
      <c r="D21" s="27"/>
      <c r="E21" s="27"/>
      <c r="F21" s="27"/>
      <c r="G21" s="26"/>
      <c r="H21"/>
      <c r="AX21" s="4"/>
      <c r="AY21" s="4"/>
      <c r="AZ21" s="4"/>
      <c r="BA21" s="4"/>
      <c r="BB21" s="4"/>
      <c r="BC21" s="4"/>
      <c r="BD21" s="4"/>
      <c r="BE21" s="4"/>
      <c r="BF21" s="4"/>
      <c r="BG21" s="4"/>
      <c r="BK21" s="6"/>
      <c r="BL21" s="6"/>
      <c r="BM21" s="6"/>
    </row>
    <row r="22" spans="2:65" ht="18" x14ac:dyDescent="0.35">
      <c r="B22" s="157" t="s">
        <v>38</v>
      </c>
      <c r="C22" s="157"/>
      <c r="D22" s="157"/>
      <c r="E22" s="26"/>
      <c r="F22" s="27"/>
      <c r="G22" s="26"/>
      <c r="H22"/>
      <c r="AX22" s="4"/>
      <c r="AY22" s="4"/>
      <c r="AZ22" s="4"/>
      <c r="BA22" s="4"/>
      <c r="BB22" s="4"/>
      <c r="BC22" s="4"/>
      <c r="BD22" s="4"/>
      <c r="BE22" s="4"/>
      <c r="BF22" s="4"/>
      <c r="BG22" s="4"/>
      <c r="BK22" s="6"/>
      <c r="BL22" s="6"/>
      <c r="BM22" s="6"/>
    </row>
    <row r="23" spans="2:65" ht="10.8" thickBot="1" x14ac:dyDescent="0.25">
      <c r="B23" s="26"/>
      <c r="C23" s="26"/>
      <c r="D23" s="26"/>
      <c r="E23" s="26"/>
      <c r="F23" s="27"/>
      <c r="G23" s="26"/>
      <c r="H23"/>
      <c r="AX23" s="4"/>
      <c r="AY23" s="4"/>
      <c r="AZ23" s="4"/>
      <c r="BA23" s="4"/>
      <c r="BB23" s="4"/>
      <c r="BC23" s="4"/>
      <c r="BD23" s="4"/>
      <c r="BE23" s="4"/>
      <c r="BF23" s="4"/>
      <c r="BG23" s="4"/>
      <c r="BK23" s="6"/>
      <c r="BL23" s="6"/>
      <c r="BM23" s="6"/>
    </row>
    <row r="24" spans="2:65" ht="13.8" x14ac:dyDescent="0.3">
      <c r="B24" s="46"/>
      <c r="C24" s="47" t="str">
        <f>'Scores en gewichten'!F12</f>
        <v>Minimumaantal te bieden Gewogen Dienstregelinguren</v>
      </c>
      <c r="D24" s="47">
        <f>'Scores en gewichten'!G12</f>
        <v>600000</v>
      </c>
      <c r="E24" s="56"/>
      <c r="F24" s="64"/>
      <c r="G24" s="30"/>
      <c r="H24"/>
      <c r="AX24" s="4"/>
      <c r="AY24" s="4"/>
      <c r="AZ24" s="4"/>
      <c r="BA24" s="4"/>
      <c r="BB24" s="4"/>
      <c r="BC24" s="4"/>
      <c r="BD24" s="4"/>
      <c r="BE24" s="4"/>
      <c r="BF24" s="4"/>
      <c r="BG24" s="4"/>
      <c r="BK24" s="6"/>
      <c r="BL24" s="6"/>
      <c r="BM24" s="6"/>
    </row>
    <row r="25" spans="2:65" ht="13.8" x14ac:dyDescent="0.3">
      <c r="B25" s="41"/>
      <c r="C25" s="42" t="str">
        <f>'Scores en gewichten'!F13</f>
        <v>Aantal Gewogen Dienstregelinguren dat tot maximale score leidt</v>
      </c>
      <c r="D25" s="42">
        <f>'Scores en gewichten'!G13</f>
        <v>725000</v>
      </c>
      <c r="E25" s="57"/>
      <c r="F25" s="65"/>
      <c r="G25" s="68"/>
      <c r="H25"/>
      <c r="AX25" s="4"/>
      <c r="AY25" s="4"/>
      <c r="AZ25" s="4"/>
      <c r="BA25" s="4"/>
      <c r="BB25" s="4"/>
      <c r="BC25" s="4"/>
      <c r="BD25" s="4"/>
      <c r="BE25" s="4"/>
      <c r="BF25" s="4"/>
      <c r="BG25" s="4"/>
      <c r="BK25" s="6"/>
      <c r="BL25" s="6"/>
      <c r="BM25" s="6"/>
    </row>
    <row r="26" spans="2:65" ht="13.8" x14ac:dyDescent="0.3">
      <c r="B26" s="41"/>
      <c r="C26" s="42"/>
      <c r="D26" s="58"/>
      <c r="E26" s="58"/>
      <c r="F26" s="66"/>
      <c r="G26" s="68"/>
      <c r="H26"/>
      <c r="AX26" s="4"/>
      <c r="AY26" s="4"/>
      <c r="AZ26" s="4"/>
      <c r="BA26" s="4"/>
      <c r="BB26" s="4"/>
      <c r="BC26" s="4"/>
      <c r="BD26" s="4"/>
      <c r="BE26" s="4"/>
      <c r="BF26" s="4"/>
      <c r="BG26" s="4"/>
      <c r="BK26" s="6"/>
      <c r="BL26" s="6"/>
      <c r="BM26" s="6"/>
    </row>
    <row r="27" spans="2:65" ht="14.4" x14ac:dyDescent="0.3">
      <c r="B27" s="41"/>
      <c r="C27" s="158" t="s">
        <v>37</v>
      </c>
      <c r="D27" s="158"/>
      <c r="E27" s="158"/>
      <c r="F27" s="158"/>
      <c r="G27" s="68"/>
      <c r="H27"/>
      <c r="AX27" s="4"/>
      <c r="AY27" s="4"/>
      <c r="AZ27" s="4"/>
      <c r="BA27" s="4"/>
      <c r="BB27" s="4"/>
      <c r="BC27" s="4"/>
      <c r="BD27" s="4"/>
      <c r="BE27" s="4"/>
      <c r="BF27" s="4"/>
      <c r="BG27" s="4"/>
      <c r="BK27" s="6"/>
      <c r="BL27" s="6"/>
      <c r="BM27" s="6"/>
    </row>
    <row r="28" spans="2:65" ht="13.8" x14ac:dyDescent="0.3">
      <c r="B28" s="39"/>
      <c r="C28" s="61" t="str">
        <f>'Scores en gewichten'!F5</f>
        <v>Type vervoer en type Materieel</v>
      </c>
      <c r="D28" s="62" t="s">
        <v>19</v>
      </c>
      <c r="E28" s="62" t="s">
        <v>20</v>
      </c>
      <c r="F28" s="62" t="s">
        <v>21</v>
      </c>
      <c r="G28" s="70"/>
      <c r="H28"/>
      <c r="AX28" s="4"/>
      <c r="AY28" s="4"/>
      <c r="AZ28" s="4"/>
      <c r="BA28" s="4"/>
      <c r="BB28" s="4"/>
      <c r="BC28" s="4"/>
      <c r="BD28" s="4"/>
      <c r="BE28" s="4"/>
      <c r="BF28" s="4"/>
      <c r="BG28" s="4"/>
      <c r="BK28" s="6"/>
      <c r="BL28" s="6"/>
      <c r="BM28" s="6"/>
    </row>
    <row r="29" spans="2:65" ht="13.8" x14ac:dyDescent="0.3">
      <c r="B29" s="41"/>
      <c r="C29" s="60" t="str">
        <f>'Scores en gewichten'!F6</f>
        <v>Vast Vervoer uitgevoerd met een Grote of Gelede Bus*</v>
      </c>
      <c r="D29" s="63">
        <v>100000</v>
      </c>
      <c r="E29" s="63">
        <v>140000</v>
      </c>
      <c r="F29" s="63">
        <v>1000</v>
      </c>
      <c r="G29" s="68"/>
      <c r="H29"/>
      <c r="AX29" s="4"/>
      <c r="AY29" s="4"/>
      <c r="AZ29" s="4"/>
      <c r="BA29" s="4"/>
      <c r="BB29" s="4"/>
      <c r="BC29" s="4"/>
      <c r="BD29" s="4"/>
      <c r="BE29" s="4"/>
      <c r="BF29" s="4"/>
      <c r="BG29" s="4"/>
      <c r="BK29" s="6"/>
      <c r="BL29" s="6"/>
      <c r="BM29" s="6"/>
    </row>
    <row r="30" spans="2:65" ht="13.8" x14ac:dyDescent="0.3">
      <c r="B30" s="41"/>
      <c r="C30" s="60" t="str">
        <f>'Scores en gewichten'!F7</f>
        <v>Vast Vervoer uitgevoerd met een Standaardbus*</v>
      </c>
      <c r="D30" s="63">
        <v>80000</v>
      </c>
      <c r="E30" s="63">
        <v>100000</v>
      </c>
      <c r="F30" s="63">
        <v>1000</v>
      </c>
      <c r="G30" s="68"/>
      <c r="H30"/>
      <c r="AX30" s="4"/>
      <c r="AY30" s="4"/>
      <c r="AZ30" s="4"/>
      <c r="BA30" s="4"/>
      <c r="BB30" s="4"/>
      <c r="BC30" s="4"/>
      <c r="BD30" s="4"/>
      <c r="BE30" s="4"/>
      <c r="BF30" s="4"/>
      <c r="BG30" s="4"/>
      <c r="BK30" s="6"/>
      <c r="BL30" s="6"/>
      <c r="BM30" s="6"/>
    </row>
    <row r="31" spans="2:65" ht="13.8" x14ac:dyDescent="0.3">
      <c r="B31" s="41"/>
      <c r="C31" s="60" t="str">
        <f>'Scores en gewichten'!F8</f>
        <v>Vast Vervoer uitgevoerd met een Kleine Bus*</v>
      </c>
      <c r="D31" s="63">
        <v>50000</v>
      </c>
      <c r="E31" s="63">
        <v>100000</v>
      </c>
      <c r="F31" s="63">
        <v>1000</v>
      </c>
      <c r="G31" s="68"/>
      <c r="H31"/>
      <c r="AX31" s="4"/>
      <c r="AY31" s="4"/>
      <c r="AZ31" s="4"/>
      <c r="BA31" s="4"/>
      <c r="BB31" s="4"/>
      <c r="BC31" s="4"/>
      <c r="BD31" s="4"/>
      <c r="BE31" s="4"/>
      <c r="BF31" s="4"/>
      <c r="BG31" s="4"/>
      <c r="BK31" s="6"/>
      <c r="BL31" s="6"/>
      <c r="BM31" s="6"/>
    </row>
    <row r="32" spans="2:65" ht="13.8" x14ac:dyDescent="0.3">
      <c r="B32" s="41"/>
      <c r="C32" s="60" t="str">
        <f>'Scores en gewichten'!F9</f>
        <v>Vast Vervoer uitgevoerd met een Auto*</v>
      </c>
      <c r="D32" s="63">
        <v>1000</v>
      </c>
      <c r="E32" s="63">
        <v>1000</v>
      </c>
      <c r="F32" s="63">
        <v>1000</v>
      </c>
      <c r="G32" s="68"/>
      <c r="H32"/>
      <c r="AX32" s="4"/>
      <c r="AY32" s="4"/>
      <c r="AZ32" s="4"/>
      <c r="BA32" s="4"/>
      <c r="BB32" s="4"/>
      <c r="BC32" s="4"/>
      <c r="BD32" s="4"/>
      <c r="BE32" s="4"/>
      <c r="BF32" s="4"/>
      <c r="BG32" s="4"/>
      <c r="BK32" s="6"/>
      <c r="BL32" s="6"/>
      <c r="BM32" s="6"/>
    </row>
    <row r="33" spans="2:65" ht="13.8" x14ac:dyDescent="0.3">
      <c r="B33" s="41"/>
      <c r="C33" s="60" t="str">
        <f>'Scores en gewichten'!F10</f>
        <v>Vraagafhankelijk vervoer uitgevoerd met een Auto</v>
      </c>
      <c r="D33" s="63">
        <v>1000</v>
      </c>
      <c r="E33" s="63">
        <v>1000</v>
      </c>
      <c r="F33" s="63">
        <v>1000</v>
      </c>
      <c r="G33" s="68"/>
      <c r="H33"/>
      <c r="AX33" s="4"/>
      <c r="AY33" s="4"/>
      <c r="AZ33" s="4"/>
      <c r="BA33" s="4"/>
      <c r="BB33" s="4"/>
      <c r="BC33" s="4"/>
      <c r="BD33" s="4"/>
      <c r="BE33" s="4"/>
      <c r="BF33" s="4"/>
      <c r="BG33" s="4"/>
      <c r="BK33" s="6"/>
      <c r="BL33" s="6"/>
      <c r="BM33" s="6"/>
    </row>
    <row r="34" spans="2:65" ht="13.8" x14ac:dyDescent="0.3">
      <c r="B34" s="39"/>
      <c r="C34" s="40" t="s">
        <v>7</v>
      </c>
      <c r="D34" s="42"/>
      <c r="E34" s="42"/>
      <c r="F34" s="67">
        <f>SUM(D29:F33)</f>
        <v>579000</v>
      </c>
      <c r="G34" s="68"/>
      <c r="H34"/>
    </row>
    <row r="35" spans="2:65" ht="13.8" x14ac:dyDescent="0.3">
      <c r="B35" s="39"/>
      <c r="C35" s="40"/>
      <c r="D35" s="42"/>
      <c r="E35" s="42"/>
      <c r="F35" s="67"/>
      <c r="G35" s="68"/>
      <c r="H35"/>
    </row>
    <row r="36" spans="2:65" ht="14.4" x14ac:dyDescent="0.3">
      <c r="B36" s="39"/>
      <c r="C36" s="158" t="s">
        <v>57</v>
      </c>
      <c r="D36" s="158"/>
      <c r="E36" s="158"/>
      <c r="F36" s="158"/>
      <c r="G36" s="68"/>
      <c r="H36"/>
    </row>
    <row r="37" spans="2:65" ht="13.8" x14ac:dyDescent="0.3">
      <c r="B37" s="39"/>
      <c r="C37" s="61" t="str">
        <f>C28</f>
        <v>Type vervoer en type Materieel</v>
      </c>
      <c r="D37" s="62" t="s">
        <v>19</v>
      </c>
      <c r="E37" s="62" t="s">
        <v>20</v>
      </c>
      <c r="F37" s="62" t="s">
        <v>21</v>
      </c>
      <c r="G37" s="68"/>
      <c r="H37"/>
    </row>
    <row r="38" spans="2:65" ht="13.8" x14ac:dyDescent="0.3">
      <c r="B38" s="41"/>
      <c r="C38" s="42" t="str">
        <f>C29</f>
        <v>Vast Vervoer uitgevoerd met een Grote of Gelede Bus*</v>
      </c>
      <c r="D38" s="42">
        <f>VLOOKUP($C38,'Scores en gewichten'!$F$6:$G$14,2,FALSE)*VLOOKUP(D$37,'Scores en gewichten'!$I$6:$J$8,2,FALSE)*Voorbeeldberekening!D29</f>
        <v>126499.99999999999</v>
      </c>
      <c r="E38" s="42">
        <f>VLOOKUP($C38,'Scores en gewichten'!$F$6:$G$14,2,FALSE)*VLOOKUP(E$37,'Scores en gewichten'!$I$6:$J$8,2,FALSE)*Voorbeeldberekening!E29</f>
        <v>154000</v>
      </c>
      <c r="F38" s="42">
        <f>VLOOKUP($C38,'Scores en gewichten'!$F$6:$G$14,2,FALSE)*VLOOKUP(F$37,'Scores en gewichten'!$I$6:$J$8,2,FALSE)*Voorbeeldberekening!F29</f>
        <v>0</v>
      </c>
      <c r="G38" s="68"/>
      <c r="H38"/>
    </row>
    <row r="39" spans="2:65" ht="13.8" x14ac:dyDescent="0.3">
      <c r="B39" s="41"/>
      <c r="C39" s="42" t="str">
        <f>C30</f>
        <v>Vast Vervoer uitgevoerd met een Standaardbus*</v>
      </c>
      <c r="D39" s="42">
        <f>VLOOKUP($C39,'Scores en gewichten'!$F$6:$G$14,2,FALSE)*VLOOKUP(D$37,'Scores en gewichten'!$I$6:$J$8,2,FALSE)*Voorbeeldberekening!D30</f>
        <v>92000</v>
      </c>
      <c r="E39" s="42">
        <f>VLOOKUP($C39,'Scores en gewichten'!$F$6:$G$14,2,FALSE)*VLOOKUP(E$37,'Scores en gewichten'!$I$6:$J$8,2,FALSE)*Voorbeeldberekening!E30</f>
        <v>100000</v>
      </c>
      <c r="F39" s="42">
        <f>VLOOKUP($C39,'Scores en gewichten'!$F$6:$G$14,2,FALSE)*VLOOKUP(F$37,'Scores en gewichten'!$I$6:$J$8,2,FALSE)*Voorbeeldberekening!F30</f>
        <v>0</v>
      </c>
      <c r="G39" s="68"/>
      <c r="H39"/>
    </row>
    <row r="40" spans="2:65" ht="13.8" x14ac:dyDescent="0.3">
      <c r="B40" s="41"/>
      <c r="C40" s="42" t="str">
        <f>C31</f>
        <v>Vast Vervoer uitgevoerd met een Kleine Bus*</v>
      </c>
      <c r="D40" s="42">
        <f>VLOOKUP($C40,'Scores en gewichten'!$F$6:$G$14,2,FALSE)*VLOOKUP(D$37,'Scores en gewichten'!$I$6:$J$8,2,FALSE)*Voorbeeldberekening!D31</f>
        <v>51749.999999999993</v>
      </c>
      <c r="E40" s="42">
        <f>VLOOKUP($C40,'Scores en gewichten'!$F$6:$G$14,2,FALSE)*VLOOKUP(E$37,'Scores en gewichten'!$I$6:$J$8,2,FALSE)*Voorbeeldberekening!E31</f>
        <v>90000</v>
      </c>
      <c r="F40" s="42">
        <f>VLOOKUP($C40,'Scores en gewichten'!$F$6:$G$14,2,FALSE)*VLOOKUP(F$37,'Scores en gewichten'!$I$6:$J$8,2,FALSE)*Voorbeeldberekening!F31</f>
        <v>0</v>
      </c>
      <c r="G40" s="68"/>
      <c r="H40"/>
    </row>
    <row r="41" spans="2:65" ht="13.8" x14ac:dyDescent="0.3">
      <c r="B41" s="41"/>
      <c r="C41" s="42" t="str">
        <f t="shared" ref="C41:C42" si="2">C32</f>
        <v>Vast Vervoer uitgevoerd met een Auto*</v>
      </c>
      <c r="D41" s="42">
        <f>VLOOKUP($C41,'Scores en gewichten'!$F$6:$G$14,2,FALSE)*VLOOKUP(D$37,'Scores en gewichten'!$I$6:$J$8,2,FALSE)*Voorbeeldberekening!D32</f>
        <v>690</v>
      </c>
      <c r="E41" s="42">
        <f>VLOOKUP($C41,'Scores en gewichten'!$F$6:$G$14,2,FALSE)*VLOOKUP(E$37,'Scores en gewichten'!$I$6:$J$8,2,FALSE)*Voorbeeldberekening!E32</f>
        <v>600</v>
      </c>
      <c r="F41" s="42">
        <f>VLOOKUP($C41,'Scores en gewichten'!$F$6:$G$14,2,FALSE)*VLOOKUP(F$37,'Scores en gewichten'!$I$6:$J$8,2,FALSE)*Voorbeeldberekening!F32</f>
        <v>0</v>
      </c>
      <c r="G41" s="68"/>
      <c r="H41"/>
    </row>
    <row r="42" spans="2:65" ht="13.8" x14ac:dyDescent="0.3">
      <c r="B42" s="41"/>
      <c r="C42" s="42" t="str">
        <f t="shared" si="2"/>
        <v>Vraagafhankelijk vervoer uitgevoerd met een Auto</v>
      </c>
      <c r="D42" s="42">
        <f>VLOOKUP($C42,'Scores en gewichten'!$F$6:$G$14,2,FALSE)*VLOOKUP(D$37,'Scores en gewichten'!$I$6:$J$8,2,FALSE)*Voorbeeldberekening!D33</f>
        <v>207</v>
      </c>
      <c r="E42" s="42">
        <f>VLOOKUP($C42,'Scores en gewichten'!$F$6:$G$14,2,FALSE)*VLOOKUP(E$37,'Scores en gewichten'!$I$6:$J$8,2,FALSE)*Voorbeeldberekening!E33</f>
        <v>180</v>
      </c>
      <c r="F42" s="42">
        <f>VLOOKUP($C42,'Scores en gewichten'!$F$6:$G$14,2,FALSE)*VLOOKUP(F$37,'Scores en gewichten'!$I$6:$J$8,2,FALSE)*Voorbeeldberekening!F33</f>
        <v>0</v>
      </c>
      <c r="G42" s="68"/>
      <c r="H42"/>
    </row>
    <row r="43" spans="2:65" ht="13.8" x14ac:dyDescent="0.3">
      <c r="B43" s="59"/>
      <c r="C43" s="71" t="s">
        <v>26</v>
      </c>
      <c r="D43" s="42"/>
      <c r="E43" s="42"/>
      <c r="F43" s="67">
        <f>SUM(D38:F42)</f>
        <v>615927</v>
      </c>
      <c r="G43" s="68"/>
      <c r="H43"/>
    </row>
    <row r="44" spans="2:65" ht="13.8" x14ac:dyDescent="0.3">
      <c r="B44" s="59"/>
      <c r="C44" s="71"/>
      <c r="D44" s="42"/>
      <c r="E44" s="42"/>
      <c r="F44" s="67"/>
      <c r="G44" s="68"/>
      <c r="H44"/>
    </row>
    <row r="45" spans="2:65" ht="13.2" customHeight="1" x14ac:dyDescent="0.3">
      <c r="B45" s="59"/>
      <c r="C45" s="71" t="s">
        <v>61</v>
      </c>
      <c r="D45" s="140">
        <f>IF(F43&lt;D24,"Ongeldige inschrijving",IF(F43&gt;D25,100,-98.304*(F43/100000)^3+1953.792*(F43/100000)^2-12825.472*(F43/100000)+27849.984))</f>
        <v>4.7881300964545517</v>
      </c>
      <c r="E45" s="42"/>
      <c r="F45" s="67"/>
      <c r="G45" s="68"/>
      <c r="H45"/>
    </row>
    <row r="46" spans="2:65" ht="14.4" customHeight="1" thickBot="1" x14ac:dyDescent="0.25">
      <c r="B46" s="33"/>
      <c r="C46" s="31"/>
      <c r="D46" s="31"/>
      <c r="E46" s="31"/>
      <c r="F46" s="31"/>
      <c r="G46" s="32"/>
      <c r="H46"/>
    </row>
    <row r="47" spans="2:65" ht="13.8" customHeight="1" x14ac:dyDescent="0.2">
      <c r="B47" s="29"/>
      <c r="C47" s="26"/>
      <c r="D47" s="26"/>
      <c r="E47" s="26"/>
      <c r="F47" s="26"/>
      <c r="G47" s="27"/>
      <c r="H47"/>
    </row>
    <row r="48" spans="2:65" ht="13.8" customHeight="1" x14ac:dyDescent="0.2">
      <c r="B48" s="29"/>
      <c r="C48" s="26"/>
      <c r="D48" s="26"/>
      <c r="E48" s="26"/>
      <c r="F48" s="26"/>
      <c r="G48" s="27"/>
    </row>
    <row r="49" spans="2:63" ht="18" x14ac:dyDescent="0.35">
      <c r="B49" s="157" t="s">
        <v>47</v>
      </c>
      <c r="C49" s="157"/>
      <c r="D49" s="157"/>
      <c r="E49" s="26"/>
      <c r="F49" s="27"/>
      <c r="G49" s="26"/>
    </row>
    <row r="50" spans="2:63" ht="14.4" customHeight="1" thickBot="1" x14ac:dyDescent="0.25">
      <c r="B50" s="26"/>
      <c r="C50" s="26"/>
      <c r="D50" s="26"/>
      <c r="E50" s="26"/>
      <c r="F50" s="26"/>
      <c r="G50" s="26"/>
    </row>
    <row r="51" spans="2:63" ht="13.8" customHeight="1" x14ac:dyDescent="0.2">
      <c r="B51" s="88"/>
      <c r="C51" s="89"/>
      <c r="D51" s="89"/>
      <c r="E51" s="89"/>
      <c r="F51" s="89"/>
      <c r="G51" s="89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132"/>
    </row>
    <row r="52" spans="2:63" ht="14.4" x14ac:dyDescent="0.3">
      <c r="B52" s="91"/>
      <c r="C52" s="144" t="s">
        <v>53</v>
      </c>
      <c r="D52" s="144"/>
      <c r="E52" s="144"/>
      <c r="F52" s="144"/>
      <c r="G52" s="144"/>
      <c r="H52" s="144"/>
      <c r="I52" s="145"/>
      <c r="J52" s="145"/>
      <c r="K52" s="145"/>
      <c r="L52" s="145"/>
      <c r="M52" s="145"/>
      <c r="N52" s="145"/>
      <c r="O52" s="145"/>
      <c r="P52" s="145"/>
      <c r="Q52" s="145"/>
      <c r="R52" s="133"/>
    </row>
    <row r="53" spans="2:63" ht="13.8" x14ac:dyDescent="0.3">
      <c r="B53" s="91"/>
      <c r="C53" s="61" t="str">
        <f>'Scores en gewichten'!F22</f>
        <v>Type  Materieel</v>
      </c>
      <c r="D53" s="62">
        <v>2028</v>
      </c>
      <c r="E53" s="62">
        <v>2029</v>
      </c>
      <c r="F53" s="62">
        <v>2030</v>
      </c>
      <c r="G53" s="62">
        <v>2031</v>
      </c>
      <c r="H53" s="62">
        <v>2032</v>
      </c>
      <c r="I53" s="62">
        <v>2033</v>
      </c>
      <c r="J53" s="62">
        <v>2034</v>
      </c>
      <c r="K53" s="62">
        <v>2035</v>
      </c>
      <c r="L53" s="62">
        <v>2036</v>
      </c>
      <c r="M53" s="62">
        <v>2037</v>
      </c>
      <c r="N53" s="62">
        <v>2038</v>
      </c>
      <c r="O53" s="62">
        <v>2039</v>
      </c>
      <c r="P53" s="62">
        <v>2040</v>
      </c>
      <c r="Q53" s="62">
        <v>2041</v>
      </c>
      <c r="R53" s="134" t="s">
        <v>7</v>
      </c>
    </row>
    <row r="54" spans="2:63" ht="13.8" x14ac:dyDescent="0.3">
      <c r="B54" s="91"/>
      <c r="C54" s="42" t="str">
        <f>'Scores en gewichten'!F23</f>
        <v>Zero-Emissiebus rijdend op Hernieuwbare Energie</v>
      </c>
      <c r="D54" s="142">
        <v>60</v>
      </c>
      <c r="E54" s="142">
        <v>60</v>
      </c>
      <c r="F54" s="142">
        <v>60</v>
      </c>
      <c r="G54" s="92">
        <v>75</v>
      </c>
      <c r="H54" s="92">
        <v>80</v>
      </c>
      <c r="I54" s="92">
        <v>80</v>
      </c>
      <c r="J54" s="92">
        <v>80</v>
      </c>
      <c r="K54" s="92">
        <v>80</v>
      </c>
      <c r="L54" s="92">
        <v>80</v>
      </c>
      <c r="M54" s="92">
        <v>80</v>
      </c>
      <c r="N54" s="92">
        <v>80</v>
      </c>
      <c r="O54" s="92">
        <v>80</v>
      </c>
      <c r="P54" s="92">
        <v>80</v>
      </c>
      <c r="Q54" s="143">
        <v>80</v>
      </c>
      <c r="R54" s="137">
        <f>SUM(D54:Q54)</f>
        <v>1055</v>
      </c>
    </row>
    <row r="55" spans="2:63" ht="13.8" x14ac:dyDescent="0.3">
      <c r="B55" s="91"/>
      <c r="C55" s="42" t="str">
        <f>'Scores en gewichten'!F24</f>
        <v>Zero-Emissiebus rijdend op elektriciteit opgewekt met een aggregaat die werkt op bio-brandstoffen (o.a.Bio-CNG)</v>
      </c>
      <c r="D55" s="142">
        <v>20</v>
      </c>
      <c r="E55" s="142">
        <v>20</v>
      </c>
      <c r="F55" s="142">
        <v>20</v>
      </c>
      <c r="G55" s="143">
        <v>20</v>
      </c>
      <c r="H55" s="143">
        <v>20</v>
      </c>
      <c r="I55" s="143">
        <v>20</v>
      </c>
      <c r="J55" s="143">
        <v>20</v>
      </c>
      <c r="K55" s="143">
        <v>20</v>
      </c>
      <c r="L55" s="143">
        <v>20</v>
      </c>
      <c r="M55" s="143">
        <v>20</v>
      </c>
      <c r="N55" s="143">
        <v>20</v>
      </c>
      <c r="O55" s="143">
        <v>20</v>
      </c>
      <c r="P55" s="143">
        <v>20</v>
      </c>
      <c r="Q55" s="143">
        <v>20</v>
      </c>
      <c r="R55" s="137">
        <f t="shared" ref="R55:R58" si="3">SUM(D55:Q55)</f>
        <v>280</v>
      </c>
    </row>
    <row r="56" spans="2:63" ht="13.8" x14ac:dyDescent="0.3">
      <c r="B56" s="91"/>
      <c r="C56" s="42" t="str">
        <f>'Scores en gewichten'!F25</f>
        <v>Zero-Emissiebus rijdend op elektriciteit opgewekt met een aggregaat die werkt op fossiele brandstoffen (minimaal Stage 5 norm)</v>
      </c>
      <c r="D56" s="142">
        <v>0</v>
      </c>
      <c r="E56" s="142">
        <v>0</v>
      </c>
      <c r="F56" s="142">
        <v>0</v>
      </c>
      <c r="G56" s="142">
        <v>0</v>
      </c>
      <c r="H56" s="142">
        <v>0</v>
      </c>
      <c r="I56" s="142">
        <v>0</v>
      </c>
      <c r="J56" s="142">
        <v>0</v>
      </c>
      <c r="K56" s="142">
        <v>0</v>
      </c>
      <c r="L56" s="142">
        <v>0</v>
      </c>
      <c r="M56" s="142">
        <v>0</v>
      </c>
      <c r="N56" s="142">
        <v>0</v>
      </c>
      <c r="O56" s="142">
        <v>0</v>
      </c>
      <c r="P56" s="142">
        <v>0</v>
      </c>
      <c r="Q56" s="142">
        <v>0</v>
      </c>
      <c r="R56" s="137">
        <f t="shared" si="3"/>
        <v>0</v>
      </c>
    </row>
    <row r="57" spans="2:63" ht="13.8" x14ac:dyDescent="0.3">
      <c r="B57" s="91"/>
      <c r="C57" s="42" t="str">
        <f>'Scores en gewichten'!F26</f>
        <v>Zero-Emissiebus rijdend op grijze netsroom</v>
      </c>
      <c r="D57" s="142">
        <v>20</v>
      </c>
      <c r="E57" s="142">
        <v>20</v>
      </c>
      <c r="F57" s="142">
        <v>20</v>
      </c>
      <c r="G57" s="143">
        <v>5</v>
      </c>
      <c r="H57" s="143">
        <v>0</v>
      </c>
      <c r="I57" s="143">
        <v>0</v>
      </c>
      <c r="J57" s="143">
        <v>0</v>
      </c>
      <c r="K57" s="143">
        <v>0</v>
      </c>
      <c r="L57" s="143">
        <v>0</v>
      </c>
      <c r="M57" s="143">
        <v>0</v>
      </c>
      <c r="N57" s="143">
        <v>0</v>
      </c>
      <c r="O57" s="143">
        <v>0</v>
      </c>
      <c r="P57" s="143">
        <v>0</v>
      </c>
      <c r="Q57" s="143">
        <v>0</v>
      </c>
      <c r="R57" s="137">
        <f t="shared" si="3"/>
        <v>65</v>
      </c>
    </row>
    <row r="58" spans="2:63" ht="13.8" x14ac:dyDescent="0.3">
      <c r="B58" s="91"/>
      <c r="C58" s="42" t="str">
        <f>'Scores en gewichten'!F27</f>
        <v>Bus rijdend op fossiele brandstoffen</v>
      </c>
      <c r="D58" s="142">
        <v>0</v>
      </c>
      <c r="E58" s="142">
        <v>0</v>
      </c>
      <c r="F58" s="142">
        <v>0</v>
      </c>
      <c r="G58" s="143">
        <v>0</v>
      </c>
      <c r="H58" s="143">
        <v>0</v>
      </c>
      <c r="I58" s="143">
        <v>0</v>
      </c>
      <c r="J58" s="143">
        <v>0</v>
      </c>
      <c r="K58" s="143">
        <v>0</v>
      </c>
      <c r="L58" s="143">
        <v>0</v>
      </c>
      <c r="M58" s="143">
        <v>0</v>
      </c>
      <c r="N58" s="143">
        <v>0</v>
      </c>
      <c r="O58" s="143">
        <v>0</v>
      </c>
      <c r="P58" s="143">
        <v>0</v>
      </c>
      <c r="Q58" s="143">
        <v>0</v>
      </c>
      <c r="R58" s="137">
        <f t="shared" si="3"/>
        <v>0</v>
      </c>
    </row>
    <row r="59" spans="2:63" ht="13.8" x14ac:dyDescent="0.3">
      <c r="B59" s="91"/>
      <c r="C59" s="102" t="s">
        <v>64</v>
      </c>
      <c r="D59" s="138">
        <f>SUM(D54:D57)</f>
        <v>100</v>
      </c>
      <c r="E59" s="138">
        <f t="shared" ref="E59:Q59" si="4">SUM(E54:E57)</f>
        <v>100</v>
      </c>
      <c r="F59" s="138">
        <f t="shared" si="4"/>
        <v>100</v>
      </c>
      <c r="G59" s="138">
        <f t="shared" si="4"/>
        <v>100</v>
      </c>
      <c r="H59" s="138">
        <f t="shared" si="4"/>
        <v>100</v>
      </c>
      <c r="I59" s="138">
        <f t="shared" si="4"/>
        <v>100</v>
      </c>
      <c r="J59" s="138">
        <f t="shared" si="4"/>
        <v>100</v>
      </c>
      <c r="K59" s="138">
        <f t="shared" si="4"/>
        <v>100</v>
      </c>
      <c r="L59" s="138">
        <f t="shared" si="4"/>
        <v>100</v>
      </c>
      <c r="M59" s="138">
        <f t="shared" si="4"/>
        <v>100</v>
      </c>
      <c r="N59" s="138">
        <f t="shared" si="4"/>
        <v>100</v>
      </c>
      <c r="O59" s="138">
        <f t="shared" si="4"/>
        <v>100</v>
      </c>
      <c r="P59" s="138">
        <f t="shared" si="4"/>
        <v>100</v>
      </c>
      <c r="Q59" s="154">
        <f t="shared" si="4"/>
        <v>100</v>
      </c>
      <c r="R59" s="135"/>
    </row>
    <row r="60" spans="2:63" ht="13.8" customHeight="1" x14ac:dyDescent="0.3">
      <c r="B60" s="91"/>
      <c r="C60" s="102" t="s">
        <v>65</v>
      </c>
      <c r="D60" s="146">
        <f>SUM((D54*'Scores en gewichten'!$G$23)+(D55*'Scores en gewichten'!$G$24)+(D56*'Scores en gewichten'!$G$25)+(D57*'Scores en gewichten'!$G$27))</f>
        <v>75</v>
      </c>
      <c r="E60" s="146">
        <f>SUM((E54*'Scores en gewichten'!$G$23)+(E55*'Scores en gewichten'!$G$24)+(E56*'Scores en gewichten'!$G$25)+(E57*'Scores en gewichten'!$G$27))</f>
        <v>75</v>
      </c>
      <c r="F60" s="146">
        <f>SUM((F54*'Scores en gewichten'!$G$23)+(F55*'Scores en gewichten'!$G$24)+(F56*'Scores en gewichten'!$G$25)+(F57*'Scores en gewichten'!$G$27))</f>
        <v>75</v>
      </c>
      <c r="G60" s="146">
        <f>SUM((G54*'Scores en gewichten'!$G$23)+(G55*'Scores en gewichten'!$G$24)+(G56*'Scores en gewichten'!$G$25)+(G57*'Scores en gewichten'!$G$27))</f>
        <v>90</v>
      </c>
      <c r="H60" s="146">
        <f>SUM((H54*'Scores en gewichten'!$G$23)+(H55*'Scores en gewichten'!$G$24)+(H56*'Scores en gewichten'!$G$25)+(H57*'Scores en gewichten'!$G$27))</f>
        <v>95</v>
      </c>
      <c r="I60" s="146">
        <f>SUM((I54*'Scores en gewichten'!$G$23)+(I55*'Scores en gewichten'!$G$24)+(I56*'Scores en gewichten'!$G$25)+(I57*'Scores en gewichten'!$G$27))</f>
        <v>95</v>
      </c>
      <c r="J60" s="146">
        <f>SUM((J54*'Scores en gewichten'!$G$23)+(J55*'Scores en gewichten'!$G$24)+(J56*'Scores en gewichten'!$G$25)+(J57*'Scores en gewichten'!$G$27))</f>
        <v>95</v>
      </c>
      <c r="K60" s="146">
        <f>SUM((K54*'Scores en gewichten'!$G$23)+(K55*'Scores en gewichten'!$G$24)+(K56*'Scores en gewichten'!$G$25)+(K57*'Scores en gewichten'!$G$27))</f>
        <v>95</v>
      </c>
      <c r="L60" s="146">
        <f>SUM((L54*'Scores en gewichten'!$G$23)+(L55*'Scores en gewichten'!$G$24)+(L56*'Scores en gewichten'!$G$25)+(L57*'Scores en gewichten'!$G$27))</f>
        <v>95</v>
      </c>
      <c r="M60" s="146">
        <f>SUM((M54*'Scores en gewichten'!$G$23)+(M55*'Scores en gewichten'!$G$24)+(M56*'Scores en gewichten'!$G$25)+(M57*'Scores en gewichten'!$G$27))</f>
        <v>95</v>
      </c>
      <c r="N60" s="146">
        <f>SUM((N54*'Scores en gewichten'!$G$23)+(N55*'Scores en gewichten'!$G$24)+(N56*'Scores en gewichten'!$G$25)+(N57*'Scores en gewichten'!$G$27))</f>
        <v>95</v>
      </c>
      <c r="O60" s="146">
        <f>SUM((O54*'Scores en gewichten'!$G$23)+(O55*'Scores en gewichten'!$G$24)+(O56*'Scores en gewichten'!$G$25)+(O57*'Scores en gewichten'!$G$27))</f>
        <v>95</v>
      </c>
      <c r="P60" s="146">
        <f>SUM((P54*'Scores en gewichten'!$G$23)+(P55*'Scores en gewichten'!$G$24)+(P56*'Scores en gewichten'!$G$25)+(P57*'Scores en gewichten'!$G$27))</f>
        <v>95</v>
      </c>
      <c r="Q60" s="146">
        <f>SUM((Q54*'Scores en gewichten'!$G$23)+(Q55*'Scores en gewichten'!$G$24)+(Q56*'Scores en gewichten'!$G$25)+(Q57*'Scores en gewichten'!$G$27))</f>
        <v>95</v>
      </c>
      <c r="R60" s="136"/>
    </row>
    <row r="61" spans="2:63" ht="13.8" customHeight="1" x14ac:dyDescent="0.3">
      <c r="B61" s="91"/>
      <c r="C61" s="102" t="s">
        <v>66</v>
      </c>
      <c r="D61" s="146">
        <f>D60/D59</f>
        <v>0.75</v>
      </c>
      <c r="E61" s="146">
        <f t="shared" ref="E61:Q61" si="5">E60/E59</f>
        <v>0.75</v>
      </c>
      <c r="F61" s="146">
        <f t="shared" si="5"/>
        <v>0.75</v>
      </c>
      <c r="G61" s="146">
        <f t="shared" si="5"/>
        <v>0.9</v>
      </c>
      <c r="H61" s="146">
        <f t="shared" si="5"/>
        <v>0.95</v>
      </c>
      <c r="I61" s="146">
        <f t="shared" si="5"/>
        <v>0.95</v>
      </c>
      <c r="J61" s="146">
        <f t="shared" si="5"/>
        <v>0.95</v>
      </c>
      <c r="K61" s="146">
        <f t="shared" si="5"/>
        <v>0.95</v>
      </c>
      <c r="L61" s="146">
        <f t="shared" si="5"/>
        <v>0.95</v>
      </c>
      <c r="M61" s="146">
        <f t="shared" si="5"/>
        <v>0.95</v>
      </c>
      <c r="N61" s="146">
        <f t="shared" si="5"/>
        <v>0.95</v>
      </c>
      <c r="O61" s="146">
        <f t="shared" si="5"/>
        <v>0.95</v>
      </c>
      <c r="P61" s="146">
        <f t="shared" si="5"/>
        <v>0.95</v>
      </c>
      <c r="Q61" s="146">
        <f t="shared" si="5"/>
        <v>0.95</v>
      </c>
      <c r="R61" s="139">
        <f>SUM((D61*'Scores en gewichten'!J21)+(E61*'Scores en gewichten'!J22)+(F61*'Scores en gewichten'!J23)+(G61*'Scores en gewichten'!J24)+(H61*'Scores en gewichten'!J25)+(I61*'Scores en gewichten'!J26)+(J61*'Scores en gewichten'!J27)+(K61*'Scores en gewichten'!J28)+(L61*'Scores en gewichten'!J29)+(M61*'Scores en gewichten'!J30)+(N61*'Scores en gewichten'!J31)+(O61*'Scores en gewichten'!J32)+(P61*'Scores en gewichten'!J33)+(Q61*'Scores en gewichten'!J34))/11</f>
        <v>0.87727272727272709</v>
      </c>
    </row>
    <row r="62" spans="2:63" ht="13.8" customHeight="1" x14ac:dyDescent="0.3">
      <c r="B62" s="91"/>
      <c r="C62" s="102"/>
      <c r="D62" s="146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26"/>
    </row>
    <row r="63" spans="2:63" ht="13.8" customHeight="1" x14ac:dyDescent="0.3">
      <c r="B63" s="91"/>
      <c r="C63" s="102" t="s">
        <v>67</v>
      </c>
      <c r="D63" s="146" t="str">
        <f>IF((D54/D59)&gt;0.6667,"Voldoende","Minder dan geëist minimum")</f>
        <v>Minder dan geëist minimum</v>
      </c>
      <c r="E63" s="146" t="str">
        <f t="shared" ref="E63:Q63" si="6">IF((E54/E59)&gt;0.6667,"Voldoende","Minder dan geëist minimum")</f>
        <v>Minder dan geëist minimum</v>
      </c>
      <c r="F63" s="146" t="str">
        <f t="shared" si="6"/>
        <v>Minder dan geëist minimum</v>
      </c>
      <c r="G63" s="146" t="str">
        <f t="shared" si="6"/>
        <v>Voldoende</v>
      </c>
      <c r="H63" s="146" t="str">
        <f t="shared" si="6"/>
        <v>Voldoende</v>
      </c>
      <c r="I63" s="146" t="str">
        <f t="shared" si="6"/>
        <v>Voldoende</v>
      </c>
      <c r="J63" s="146" t="str">
        <f t="shared" si="6"/>
        <v>Voldoende</v>
      </c>
      <c r="K63" s="146" t="str">
        <f t="shared" si="6"/>
        <v>Voldoende</v>
      </c>
      <c r="L63" s="146" t="str">
        <f t="shared" si="6"/>
        <v>Voldoende</v>
      </c>
      <c r="M63" s="146" t="str">
        <f t="shared" si="6"/>
        <v>Voldoende</v>
      </c>
      <c r="N63" s="146" t="str">
        <f t="shared" si="6"/>
        <v>Voldoende</v>
      </c>
      <c r="O63" s="146" t="str">
        <f t="shared" si="6"/>
        <v>Voldoende</v>
      </c>
      <c r="P63" s="146" t="str">
        <f t="shared" si="6"/>
        <v>Voldoende</v>
      </c>
      <c r="Q63" s="146" t="str">
        <f t="shared" si="6"/>
        <v>Voldoende</v>
      </c>
      <c r="R63" s="126"/>
    </row>
    <row r="64" spans="2:63" ht="13.8" x14ac:dyDescent="0.3">
      <c r="B64" s="91"/>
      <c r="C64" s="102"/>
      <c r="D64" s="40"/>
      <c r="E64" s="147"/>
      <c r="F64" s="40"/>
      <c r="G64" s="148"/>
      <c r="H64" s="148"/>
      <c r="R64" s="124"/>
      <c r="AV64" s="4"/>
      <c r="AW64" s="4"/>
      <c r="AX64" s="4"/>
      <c r="AY64" s="4"/>
      <c r="AZ64" s="4"/>
      <c r="BA64" s="4"/>
      <c r="BB64" s="4"/>
      <c r="BC64" s="4"/>
      <c r="BD64" s="4"/>
      <c r="BE64" s="4"/>
      <c r="BI64" s="6"/>
      <c r="BJ64" s="6"/>
      <c r="BK64" s="6"/>
    </row>
    <row r="65" spans="2:18" ht="13.8" x14ac:dyDescent="0.3">
      <c r="B65" s="91"/>
      <c r="C65" s="40" t="s">
        <v>55</v>
      </c>
      <c r="D65" s="149">
        <f>100*(((R61*100)-66.67)/(100-66.67))</f>
        <v>63.178135995417662</v>
      </c>
      <c r="E65" s="148"/>
      <c r="F65" s="148"/>
      <c r="G65" s="148"/>
      <c r="H65" s="148"/>
      <c r="R65" s="124"/>
    </row>
    <row r="66" spans="2:18" ht="13.8" x14ac:dyDescent="0.3">
      <c r="B66" s="91"/>
      <c r="C66" s="40"/>
      <c r="D66" s="40"/>
      <c r="E66" s="40"/>
      <c r="F66" s="40"/>
      <c r="G66" s="148"/>
      <c r="H66" s="148"/>
      <c r="R66" s="124"/>
    </row>
    <row r="67" spans="2:18" ht="14.4" x14ac:dyDescent="0.3">
      <c r="B67" s="91"/>
      <c r="C67" s="144" t="s">
        <v>54</v>
      </c>
      <c r="D67" s="144"/>
      <c r="E67" s="150"/>
      <c r="F67" s="150"/>
      <c r="G67" s="150"/>
      <c r="H67" s="150"/>
      <c r="R67" s="124"/>
    </row>
    <row r="68" spans="2:18" ht="13.8" x14ac:dyDescent="0.3">
      <c r="B68" s="91"/>
      <c r="C68" s="93" t="s">
        <v>41</v>
      </c>
      <c r="D68" s="93" t="s">
        <v>12</v>
      </c>
      <c r="E68" s="3"/>
      <c r="R68" s="124"/>
    </row>
    <row r="69" spans="2:18" ht="13.8" x14ac:dyDescent="0.3">
      <c r="B69" s="91"/>
      <c r="C69" s="142" t="s">
        <v>42</v>
      </c>
      <c r="D69" s="151">
        <f>VLOOKUP(C69,'Scores en gewichten'!$F$30:$G$33,2,FALSE)</f>
        <v>1</v>
      </c>
      <c r="E69" s="42"/>
      <c r="F69" s="26"/>
      <c r="G69" s="26"/>
      <c r="H69" s="26"/>
      <c r="R69" s="124"/>
    </row>
    <row r="70" spans="2:18" ht="13.8" x14ac:dyDescent="0.3">
      <c r="B70" s="91"/>
      <c r="D70" s="152"/>
      <c r="E70" s="42"/>
      <c r="F70" s="26"/>
      <c r="G70" s="26"/>
      <c r="H70" s="26"/>
      <c r="R70" s="124"/>
    </row>
    <row r="71" spans="2:18" ht="13.8" x14ac:dyDescent="0.3">
      <c r="B71" s="91"/>
      <c r="C71" s="40" t="s">
        <v>58</v>
      </c>
      <c r="D71" s="153">
        <f>D69</f>
        <v>1</v>
      </c>
      <c r="E71" s="26"/>
      <c r="F71" s="26"/>
      <c r="G71" s="26"/>
      <c r="H71"/>
      <c r="R71" s="124"/>
    </row>
    <row r="72" spans="2:18" ht="13.8" x14ac:dyDescent="0.3">
      <c r="B72" s="91"/>
      <c r="C72" s="40"/>
      <c r="D72" s="153"/>
      <c r="E72" s="26"/>
      <c r="F72" s="26"/>
      <c r="G72" s="26"/>
      <c r="H72"/>
      <c r="R72" s="124"/>
    </row>
    <row r="73" spans="2:18" ht="14.4" thickBot="1" x14ac:dyDescent="0.35">
      <c r="B73" s="94"/>
      <c r="C73" s="44" t="s">
        <v>56</v>
      </c>
      <c r="D73" s="103">
        <f>D65*D71</f>
        <v>63.178135995417662</v>
      </c>
      <c r="E73" s="31"/>
      <c r="F73" s="31"/>
      <c r="G73" s="31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25"/>
    </row>
    <row r="74" spans="2:18" ht="12.6" x14ac:dyDescent="0.2">
      <c r="B74" s="87"/>
      <c r="C74" s="87"/>
      <c r="D74" s="87"/>
      <c r="E74" s="87"/>
      <c r="F74" s="86"/>
      <c r="G74" s="86"/>
    </row>
    <row r="75" spans="2:18" ht="12.6" x14ac:dyDescent="0.2">
      <c r="B75" s="87"/>
      <c r="C75" s="87"/>
      <c r="D75" s="87"/>
      <c r="E75" s="87"/>
      <c r="F75" s="86"/>
      <c r="G75" s="86"/>
    </row>
    <row r="76" spans="2:18" ht="12.6" x14ac:dyDescent="0.2">
      <c r="B76" s="87"/>
      <c r="C76" s="87"/>
      <c r="D76" s="87"/>
      <c r="E76" s="87"/>
      <c r="F76" s="86"/>
      <c r="G76" s="86"/>
    </row>
    <row r="77" spans="2:18" ht="12.6" x14ac:dyDescent="0.2">
      <c r="B77" s="87"/>
      <c r="C77" s="87"/>
      <c r="D77" s="87"/>
      <c r="E77" s="87"/>
      <c r="F77" s="86"/>
      <c r="G77" s="86"/>
    </row>
    <row r="78" spans="2:18" ht="12.6" x14ac:dyDescent="0.2">
      <c r="B78" s="87"/>
      <c r="C78" s="87"/>
      <c r="D78" s="87"/>
      <c r="E78" s="87"/>
      <c r="F78" s="86"/>
      <c r="G78" s="86"/>
    </row>
    <row r="79" spans="2:18" ht="12.6" x14ac:dyDescent="0.2">
      <c r="B79" s="87"/>
      <c r="C79" s="87"/>
      <c r="D79" s="87"/>
      <c r="E79" s="87"/>
      <c r="F79" s="86"/>
      <c r="G79" s="86"/>
    </row>
    <row r="80" spans="2:18" ht="12.6" x14ac:dyDescent="0.2">
      <c r="B80" s="87"/>
      <c r="C80" s="87"/>
      <c r="D80" s="87"/>
      <c r="E80" s="87"/>
      <c r="F80" s="86"/>
      <c r="G80" s="86"/>
    </row>
    <row r="81" spans="2:24" ht="12.6" x14ac:dyDescent="0.2">
      <c r="B81" s="87"/>
      <c r="C81" s="87"/>
      <c r="D81" s="87"/>
      <c r="E81" s="87"/>
      <c r="F81" s="86"/>
      <c r="G81" s="86"/>
    </row>
    <row r="84" spans="2:24" x14ac:dyDescent="0.2">
      <c r="I84" s="3"/>
      <c r="J84" s="9"/>
      <c r="K84" s="9"/>
      <c r="O84" s="7"/>
      <c r="P84" s="8"/>
      <c r="Q84" s="12"/>
      <c r="R84" s="12"/>
      <c r="S84" s="12"/>
    </row>
    <row r="85" spans="2:24" x14ac:dyDescent="0.2">
      <c r="I85" s="3"/>
      <c r="J85" s="3"/>
      <c r="K85" s="3"/>
      <c r="O85" s="7"/>
      <c r="P85" s="8"/>
      <c r="Q85" s="12"/>
      <c r="R85" s="12"/>
      <c r="S85" s="12"/>
    </row>
    <row r="86" spans="2:24" x14ac:dyDescent="0.2">
      <c r="I86" s="3"/>
      <c r="J86" s="3"/>
      <c r="K86" s="3"/>
      <c r="O86" s="7"/>
      <c r="P86" s="8"/>
      <c r="Q86" s="12"/>
      <c r="R86" s="12"/>
      <c r="S86" s="12"/>
    </row>
    <row r="87" spans="2:24" x14ac:dyDescent="0.2">
      <c r="I87" s="3"/>
      <c r="J87" s="9"/>
      <c r="K87" s="9"/>
      <c r="O87" s="7"/>
      <c r="P87" s="8"/>
      <c r="Q87" s="12"/>
      <c r="R87" s="12"/>
      <c r="S87" s="12"/>
    </row>
    <row r="88" spans="2:24" x14ac:dyDescent="0.2">
      <c r="I88" s="3"/>
      <c r="J88" s="9"/>
      <c r="K88" s="9"/>
      <c r="O88" s="7"/>
      <c r="P88" s="8"/>
      <c r="Q88" s="12"/>
      <c r="R88" s="12"/>
      <c r="S88" s="12"/>
    </row>
    <row r="89" spans="2:24" x14ac:dyDescent="0.2">
      <c r="I89" s="3"/>
      <c r="J89" s="3"/>
      <c r="K89" s="3"/>
      <c r="O89" s="7"/>
      <c r="P89" s="8"/>
      <c r="Q89" s="12"/>
      <c r="R89" s="12"/>
      <c r="S89" s="12"/>
    </row>
    <row r="90" spans="2:24" x14ac:dyDescent="0.2">
      <c r="B90" s="1"/>
      <c r="I90" s="3"/>
      <c r="J90" s="3"/>
      <c r="K90" s="3"/>
      <c r="O90" s="7"/>
      <c r="P90" s="8"/>
      <c r="Q90" s="12"/>
      <c r="R90" s="12"/>
      <c r="S90" s="12"/>
    </row>
    <row r="91" spans="2:24" x14ac:dyDescent="0.2">
      <c r="B91" s="1"/>
      <c r="I91" s="3"/>
      <c r="J91" s="9"/>
      <c r="K91" s="9"/>
      <c r="O91" s="7"/>
      <c r="P91" s="8"/>
      <c r="Q91" s="12"/>
      <c r="R91" s="12"/>
      <c r="S91" s="12"/>
    </row>
    <row r="92" spans="2:24" x14ac:dyDescent="0.2">
      <c r="I92" s="3"/>
      <c r="J92" s="3"/>
      <c r="K92" s="3"/>
      <c r="O92" s="7"/>
      <c r="P92" s="8"/>
      <c r="Q92" s="12"/>
      <c r="R92" s="12"/>
      <c r="S92" s="12"/>
    </row>
    <row r="93" spans="2:24" x14ac:dyDescent="0.2">
      <c r="I93" s="3"/>
      <c r="J93" s="3"/>
      <c r="K93" s="3"/>
      <c r="O93" s="7"/>
      <c r="P93" s="8"/>
      <c r="Q93" s="12"/>
      <c r="R93" s="12"/>
      <c r="S93" s="12"/>
    </row>
    <row r="94" spans="2:24" x14ac:dyDescent="0.2">
      <c r="I94" s="3"/>
      <c r="J94" s="3"/>
      <c r="K94" s="3"/>
      <c r="O94" s="7"/>
      <c r="P94" s="8"/>
      <c r="Q94" s="12"/>
      <c r="R94" s="12"/>
      <c r="S94" s="12"/>
    </row>
    <row r="95" spans="2:24" x14ac:dyDescent="0.2">
      <c r="I95" s="3"/>
      <c r="J95" s="9"/>
      <c r="K95" s="9"/>
      <c r="O95" s="7"/>
      <c r="P95" s="8"/>
      <c r="Q95" s="13"/>
      <c r="R95" s="13"/>
      <c r="S95" s="12"/>
    </row>
    <row r="96" spans="2:24" x14ac:dyDescent="0.2">
      <c r="I96" s="3"/>
      <c r="J96" s="9"/>
      <c r="K96" s="9"/>
      <c r="Q96" s="13"/>
      <c r="R96" s="13"/>
      <c r="S96" s="12"/>
      <c r="X96" s="5"/>
    </row>
    <row r="97" spans="4:16" x14ac:dyDescent="0.2">
      <c r="I97" s="3"/>
      <c r="J97" s="3"/>
      <c r="K97" s="3"/>
    </row>
    <row r="98" spans="4:16" x14ac:dyDescent="0.2">
      <c r="I98" s="3"/>
      <c r="J98" s="3"/>
      <c r="K98" s="3"/>
    </row>
    <row r="100" spans="4:16" x14ac:dyDescent="0.2">
      <c r="J100" s="1"/>
      <c r="K100" s="1"/>
      <c r="O100" s="10"/>
      <c r="P100" s="11"/>
    </row>
    <row r="101" spans="4:16" x14ac:dyDescent="0.2">
      <c r="J101" s="1"/>
      <c r="K101" s="1"/>
      <c r="O101" s="10"/>
      <c r="P101" s="11"/>
    </row>
    <row r="102" spans="4:16" x14ac:dyDescent="0.2">
      <c r="D102" s="2"/>
      <c r="E102" s="2"/>
    </row>
  </sheetData>
  <mergeCells count="6">
    <mergeCell ref="B49:D49"/>
    <mergeCell ref="B3:D3"/>
    <mergeCell ref="B14:D14"/>
    <mergeCell ref="B22:D22"/>
    <mergeCell ref="C27:F27"/>
    <mergeCell ref="C36:F36"/>
  </mergeCells>
  <conditionalFormatting sqref="D45">
    <cfRule type="cellIs" dxfId="2" priority="5" operator="equal">
      <formula>"Ongeldige Inschrijving"</formula>
    </cfRule>
  </conditionalFormatting>
  <conditionalFormatting sqref="D71">
    <cfRule type="cellIs" dxfId="1" priority="2" operator="equal">
      <formula>"Uitsluiting"</formula>
    </cfRule>
  </conditionalFormatting>
  <conditionalFormatting sqref="D59:R63">
    <cfRule type="cellIs" dxfId="0" priority="1" operator="equal">
      <formula>"Ongeldig"</formula>
    </cfRule>
  </conditionalFormatting>
  <pageMargins left="0.25" right="0.25" top="0.75" bottom="0.75" header="0.3" footer="0.3"/>
  <pageSetup paperSize="8" scale="3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F67411F1-F5D0-4211-A502-976E14CC1D9B}">
          <x14:formula1>
            <xm:f>'Scores en gewichten'!$B$22:$B$27</xm:f>
          </x14:formula1>
          <xm:sqref>D17:D19</xm:sqref>
        </x14:dataValidation>
        <x14:dataValidation type="list" allowBlank="1" showInputMessage="1" showErrorMessage="1" xr:uid="{9E4208AE-0BD4-41B8-BCD0-69CC9D77B41E}">
          <x14:formula1>
            <xm:f>'Scores en gewichten'!$F$31:$F$34</xm:f>
          </x14:formula1>
          <xm:sqref>C69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5CF15AE4010E499EA82E2B1DA921A9" ma:contentTypeVersion="11" ma:contentTypeDescription="Create a new document." ma:contentTypeScope="" ma:versionID="d67f104abe9d0d50f60f810ddb7956a7">
  <xsd:schema xmlns:xsd="http://www.w3.org/2001/XMLSchema" xmlns:xs="http://www.w3.org/2001/XMLSchema" xmlns:p="http://schemas.microsoft.com/office/2006/metadata/properties" xmlns:ns2="a7eb6bcf-cc33-465f-b0a0-0691c366e1bb" xmlns:ns3="3e3bfcdc-4705-42cc-a283-89cdd8a00123" targetNamespace="http://schemas.microsoft.com/office/2006/metadata/properties" ma:root="true" ma:fieldsID="7f866f00e19d78ad3305ebdf6c2f95be" ns2:_="" ns3:_="">
    <xsd:import namespace="a7eb6bcf-cc33-465f-b0a0-0691c366e1bb"/>
    <xsd:import namespace="3e3bfcdc-4705-42cc-a283-89cdd8a001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eb6bcf-cc33-465f-b0a0-0691c366e1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859e886-a775-442a-93ba-94374e8de7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3bfcdc-4705-42cc-a283-89cdd8a0012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2392af-a9cb-4e3b-9e0d-f4d54da72bd0}" ma:internalName="TaxCatchAll" ma:showField="CatchAllData" ma:web="3e3bfcdc-4705-42cc-a283-89cdd8a001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3bfcdc-4705-42cc-a283-89cdd8a00123" xsi:nil="true"/>
    <lcf76f155ced4ddcb4097134ff3c332f xmlns="a7eb6bcf-cc33-465f-b0a0-0691c366e1b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EFD12C9-4A40-45E9-9292-DEB830393E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B9A073-BFEE-4C6B-AF9A-34BA4EDCE0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eb6bcf-cc33-465f-b0a0-0691c366e1bb"/>
    <ds:schemaRef ds:uri="3e3bfcdc-4705-42cc-a283-89cdd8a001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D28729-BBE5-4369-A6A0-3FAB7E0262C3}">
  <ds:schemaRefs>
    <ds:schemaRef ds:uri="http://schemas.microsoft.com/office/2006/metadata/properties"/>
    <ds:schemaRef ds:uri="http://purl.org/dc/dcmitype/"/>
    <ds:schemaRef ds:uri="a7eb6bcf-cc33-465f-b0a0-0691c366e1bb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3e3bfcdc-4705-42cc-a283-89cdd8a0012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Scores en gewichten</vt:lpstr>
      <vt:lpstr>Voorbeeldberekening</vt:lpstr>
      <vt:lpstr>Voorbeeldberekening!Afdrukbereik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Jesper Vos</cp:lastModifiedBy>
  <cp:revision/>
  <cp:lastPrinted>2024-02-28T08:38:11Z</cp:lastPrinted>
  <dcterms:created xsi:type="dcterms:W3CDTF">2018-11-05T09:55:18Z</dcterms:created>
  <dcterms:modified xsi:type="dcterms:W3CDTF">2026-04-02T13:24:17Z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0x010100365CF15AE4010E499EA82E2B1DA921A9</vt:lpwstr>
  </property>
  <property fmtid="{D5CDD505-2E9C-101B-9397-08002B2CF9AE}" pid="3" name="Order">
    <vt:r8>70200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_dlc_DocIdItemGuid">
    <vt:lpwstr>43d4d0df-81be-486e-ab51-0c5c70a60930</vt:lpwstr>
  </property>
  <property fmtid="{D5CDD505-2E9C-101B-9397-08002B2CF9AE}" pid="8" name="MediaServiceImageTags">
    <vt:lpwstr/>
  </property>
</Properties>
</file>